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hhinz\Dropbox\Linkfish\MS Linkfish\Submission files\"/>
    </mc:Choice>
  </mc:AlternateContent>
  <xr:revisionPtr revIDLastSave="0" documentId="13_ncr:1_{088A70EB-8F39-4648-A73B-206C4546E17B}" xr6:coauthVersionLast="37" xr6:coauthVersionMax="37" xr10:uidLastSave="{00000000-0000-0000-0000-000000000000}"/>
  <bookViews>
    <workbookView xWindow="0" yWindow="0" windowWidth="30930" windowHeight="11415" tabRatio="918" xr2:uid="{00000000-000D-0000-FFFF-FFFF00000000}"/>
  </bookViews>
  <sheets>
    <sheet name="Conversion formulas" sheetId="26" r:id="rId1"/>
    <sheet name="28 Inachus" sheetId="47" r:id="rId2"/>
    <sheet name="27 Mysidacea" sheetId="46" r:id="rId3"/>
    <sheet name="26 Polyplacophora " sheetId="45" r:id="rId4"/>
    <sheet name="25 Echinoidea " sheetId="44" r:id="rId5"/>
    <sheet name="24 Macropodia" sheetId="36" r:id="rId6"/>
    <sheet name="23 Portunidae" sheetId="43" r:id="rId7"/>
    <sheet name="22 Majidae" sheetId="42" r:id="rId8"/>
    <sheet name="21 Alpheidae " sheetId="41" r:id="rId9"/>
    <sheet name="20 Paguridae" sheetId="40" r:id="rId10"/>
    <sheet name="19 Asteroidae" sheetId="39" r:id="rId11"/>
    <sheet name="18 Sipunculidae" sheetId="38" r:id="rId12"/>
    <sheet name="17 Nudibranchia" sheetId="37" r:id="rId13"/>
    <sheet name="16 Galathea" sheetId="35" r:id="rId14"/>
    <sheet name="15 Natantia" sheetId="12" r:id="rId15"/>
    <sheet name="14 Cumacea" sheetId="33" r:id="rId16"/>
    <sheet name="13 Amphiura" sheetId="34" r:id="rId17"/>
    <sheet name="12 Tanaidacea" sheetId="3" r:id="rId18"/>
    <sheet name="11 Diptera" sheetId="14" r:id="rId19"/>
    <sheet name="10 Isopoda" sheetId="6" r:id="rId20"/>
    <sheet name="9 Nematoda" sheetId="15" r:id="rId21"/>
    <sheet name="8 Acari" sheetId="28" r:id="rId22"/>
    <sheet name="7 Caprellids" sheetId="16" r:id="rId23"/>
    <sheet name="6 Ostracoda" sheetId="2" r:id="rId24"/>
    <sheet name="5 Polychaeta" sheetId="13" r:id="rId25"/>
    <sheet name="4 Bivalves" sheetId="18" r:id="rId26"/>
    <sheet name="3 Amphipoda" sheetId="8" r:id="rId27"/>
    <sheet name="2 Gastropoda" sheetId="27" r:id="rId28"/>
    <sheet name="1 Harpcaticoids" sheetId="17" r:id="rId29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47" l="1"/>
  <c r="B4" i="47"/>
  <c r="B5" i="47"/>
  <c r="C5" i="47" s="1"/>
  <c r="D5" i="47" s="1"/>
  <c r="E5" i="47" s="1"/>
  <c r="B6" i="47"/>
  <c r="C6" i="47" s="1"/>
  <c r="D6" i="47" s="1"/>
  <c r="E6" i="47" s="1"/>
  <c r="B7" i="47"/>
  <c r="B8" i="47"/>
  <c r="B9" i="47"/>
  <c r="C9" i="47" s="1"/>
  <c r="D9" i="47" s="1"/>
  <c r="E9" i="47" s="1"/>
  <c r="B10" i="47"/>
  <c r="C10" i="47" s="1"/>
  <c r="D10" i="47" s="1"/>
  <c r="E10" i="47" s="1"/>
  <c r="B11" i="47"/>
  <c r="B12" i="47"/>
  <c r="B13" i="47"/>
  <c r="C13" i="47" s="1"/>
  <c r="D13" i="47" s="1"/>
  <c r="E13" i="47" s="1"/>
  <c r="B14" i="47"/>
  <c r="C14" i="47" s="1"/>
  <c r="D14" i="47" s="1"/>
  <c r="E14" i="47" s="1"/>
  <c r="B15" i="47"/>
  <c r="B16" i="47"/>
  <c r="B17" i="47"/>
  <c r="C17" i="47" s="1"/>
  <c r="D17" i="47" s="1"/>
  <c r="E17" i="47" s="1"/>
  <c r="B18" i="47"/>
  <c r="C18" i="47" s="1"/>
  <c r="D18" i="47" s="1"/>
  <c r="E18" i="47" s="1"/>
  <c r="B19" i="47"/>
  <c r="B20" i="47"/>
  <c r="B21" i="47"/>
  <c r="C21" i="47" s="1"/>
  <c r="D21" i="47" s="1"/>
  <c r="E21" i="47" s="1"/>
  <c r="B22" i="47"/>
  <c r="C22" i="47" s="1"/>
  <c r="D22" i="47" s="1"/>
  <c r="E22" i="47" s="1"/>
  <c r="B23" i="47"/>
  <c r="B24" i="47"/>
  <c r="B25" i="47"/>
  <c r="C25" i="47" s="1"/>
  <c r="D25" i="47" s="1"/>
  <c r="E25" i="47" s="1"/>
  <c r="B26" i="47"/>
  <c r="C26" i="47" s="1"/>
  <c r="D26" i="47" s="1"/>
  <c r="E26" i="47" s="1"/>
  <c r="B27" i="47"/>
  <c r="B28" i="47"/>
  <c r="B29" i="47"/>
  <c r="C29" i="47" s="1"/>
  <c r="D29" i="47" s="1"/>
  <c r="E29" i="47" s="1"/>
  <c r="B2" i="47"/>
  <c r="C2" i="47" s="1"/>
  <c r="D2" i="47" s="1"/>
  <c r="E2" i="47" s="1"/>
  <c r="C28" i="47"/>
  <c r="D28" i="47" s="1"/>
  <c r="E28" i="47" s="1"/>
  <c r="C27" i="47"/>
  <c r="D27" i="47" s="1"/>
  <c r="E27" i="47" s="1"/>
  <c r="C24" i="47"/>
  <c r="D24" i="47" s="1"/>
  <c r="E24" i="47" s="1"/>
  <c r="C23" i="47"/>
  <c r="D23" i="47" s="1"/>
  <c r="E23" i="47" s="1"/>
  <c r="C20" i="47"/>
  <c r="D20" i="47" s="1"/>
  <c r="E20" i="47" s="1"/>
  <c r="C19" i="47"/>
  <c r="D19" i="47" s="1"/>
  <c r="E19" i="47" s="1"/>
  <c r="C16" i="47"/>
  <c r="D16" i="47" s="1"/>
  <c r="E16" i="47" s="1"/>
  <c r="C15" i="47"/>
  <c r="D15" i="47" s="1"/>
  <c r="E15" i="47" s="1"/>
  <c r="C12" i="47"/>
  <c r="D12" i="47" s="1"/>
  <c r="E12" i="47" s="1"/>
  <c r="C11" i="47"/>
  <c r="D11" i="47" s="1"/>
  <c r="E11" i="47" s="1"/>
  <c r="C8" i="47"/>
  <c r="D8" i="47" s="1"/>
  <c r="E8" i="47" s="1"/>
  <c r="C7" i="47"/>
  <c r="D7" i="47" s="1"/>
  <c r="E7" i="47" s="1"/>
  <c r="C4" i="47"/>
  <c r="D4" i="47" s="1"/>
  <c r="E4" i="47" s="1"/>
  <c r="C3" i="47"/>
  <c r="D3" i="47" s="1"/>
  <c r="E3" i="47" s="1"/>
  <c r="C4" i="46"/>
  <c r="C5" i="46"/>
  <c r="C12" i="46"/>
  <c r="C13" i="46"/>
  <c r="C20" i="46"/>
  <c r="C21" i="46"/>
  <c r="C28" i="46"/>
  <c r="C29" i="46"/>
  <c r="B3" i="46"/>
  <c r="C3" i="46" s="1"/>
  <c r="B4" i="46"/>
  <c r="B5" i="46"/>
  <c r="B6" i="46"/>
  <c r="C6" i="46" s="1"/>
  <c r="B7" i="46"/>
  <c r="C7" i="46" s="1"/>
  <c r="B8" i="46"/>
  <c r="C8" i="46" s="1"/>
  <c r="B9" i="46"/>
  <c r="C9" i="46" s="1"/>
  <c r="B10" i="46"/>
  <c r="C10" i="46" s="1"/>
  <c r="B11" i="46"/>
  <c r="C11" i="46" s="1"/>
  <c r="B12" i="46"/>
  <c r="B13" i="46"/>
  <c r="B14" i="46"/>
  <c r="C14" i="46" s="1"/>
  <c r="B15" i="46"/>
  <c r="C15" i="46" s="1"/>
  <c r="B16" i="46"/>
  <c r="C16" i="46" s="1"/>
  <c r="B17" i="46"/>
  <c r="C17" i="46" s="1"/>
  <c r="B18" i="46"/>
  <c r="C18" i="46" s="1"/>
  <c r="B19" i="46"/>
  <c r="C19" i="46" s="1"/>
  <c r="B20" i="46"/>
  <c r="B21" i="46"/>
  <c r="B22" i="46"/>
  <c r="C22" i="46" s="1"/>
  <c r="B23" i="46"/>
  <c r="C23" i="46" s="1"/>
  <c r="B24" i="46"/>
  <c r="C24" i="46" s="1"/>
  <c r="B25" i="46"/>
  <c r="C25" i="46" s="1"/>
  <c r="B26" i="46"/>
  <c r="C26" i="46" s="1"/>
  <c r="B27" i="46"/>
  <c r="C27" i="46" s="1"/>
  <c r="B28" i="46"/>
  <c r="B29" i="46"/>
  <c r="B2" i="46"/>
  <c r="C2" i="46" s="1"/>
  <c r="D5" i="45"/>
  <c r="C3" i="45"/>
  <c r="D3" i="45" s="1"/>
  <c r="C4" i="45"/>
  <c r="D4" i="45" s="1"/>
  <c r="C5" i="45"/>
  <c r="C6" i="45"/>
  <c r="D6" i="45" s="1"/>
  <c r="C2" i="45"/>
  <c r="D2" i="45" s="1"/>
  <c r="E3" i="44"/>
  <c r="E10" i="44"/>
  <c r="E11" i="44"/>
  <c r="E19" i="44"/>
  <c r="E26" i="44"/>
  <c r="E27" i="44"/>
  <c r="B3" i="44"/>
  <c r="C3" i="44" s="1"/>
  <c r="D3" i="44" s="1"/>
  <c r="B4" i="44"/>
  <c r="B5" i="44"/>
  <c r="B6" i="44"/>
  <c r="C6" i="44" s="1"/>
  <c r="D6" i="44" s="1"/>
  <c r="E6" i="44" s="1"/>
  <c r="B7" i="44"/>
  <c r="C7" i="44" s="1"/>
  <c r="D7" i="44" s="1"/>
  <c r="E7" i="44" s="1"/>
  <c r="B8" i="44"/>
  <c r="B9" i="44"/>
  <c r="B10" i="44"/>
  <c r="C10" i="44" s="1"/>
  <c r="D10" i="44" s="1"/>
  <c r="B11" i="44"/>
  <c r="C11" i="44" s="1"/>
  <c r="D11" i="44" s="1"/>
  <c r="B12" i="44"/>
  <c r="B13" i="44"/>
  <c r="B14" i="44"/>
  <c r="B15" i="44"/>
  <c r="C15" i="44" s="1"/>
  <c r="D15" i="44" s="1"/>
  <c r="E15" i="44" s="1"/>
  <c r="B16" i="44"/>
  <c r="B17" i="44"/>
  <c r="C17" i="44" s="1"/>
  <c r="D17" i="44" s="1"/>
  <c r="E17" i="44" s="1"/>
  <c r="B18" i="44"/>
  <c r="B19" i="44"/>
  <c r="C19" i="44" s="1"/>
  <c r="D19" i="44" s="1"/>
  <c r="B20" i="44"/>
  <c r="B21" i="44"/>
  <c r="B22" i="44"/>
  <c r="C22" i="44" s="1"/>
  <c r="D22" i="44" s="1"/>
  <c r="E22" i="44" s="1"/>
  <c r="B23" i="44"/>
  <c r="C23" i="44" s="1"/>
  <c r="D23" i="44" s="1"/>
  <c r="E23" i="44" s="1"/>
  <c r="B24" i="44"/>
  <c r="B25" i="44"/>
  <c r="B26" i="44"/>
  <c r="C26" i="44" s="1"/>
  <c r="D26" i="44" s="1"/>
  <c r="B27" i="44"/>
  <c r="C27" i="44" s="1"/>
  <c r="D27" i="44" s="1"/>
  <c r="B28" i="44"/>
  <c r="B29" i="44"/>
  <c r="B2" i="44"/>
  <c r="C29" i="44"/>
  <c r="D29" i="44" s="1"/>
  <c r="E29" i="44" s="1"/>
  <c r="C28" i="44"/>
  <c r="D28" i="44" s="1"/>
  <c r="E28" i="44" s="1"/>
  <c r="C25" i="44"/>
  <c r="D25" i="44" s="1"/>
  <c r="E25" i="44" s="1"/>
  <c r="C24" i="44"/>
  <c r="D24" i="44" s="1"/>
  <c r="E24" i="44" s="1"/>
  <c r="C21" i="44"/>
  <c r="D21" i="44" s="1"/>
  <c r="E21" i="44" s="1"/>
  <c r="C20" i="44"/>
  <c r="D20" i="44" s="1"/>
  <c r="E20" i="44" s="1"/>
  <c r="C18" i="44"/>
  <c r="D18" i="44" s="1"/>
  <c r="E18" i="44" s="1"/>
  <c r="C16" i="44"/>
  <c r="D16" i="44" s="1"/>
  <c r="E16" i="44" s="1"/>
  <c r="C14" i="44"/>
  <c r="D14" i="44" s="1"/>
  <c r="E14" i="44" s="1"/>
  <c r="C13" i="44"/>
  <c r="D13" i="44" s="1"/>
  <c r="E13" i="44" s="1"/>
  <c r="C12" i="44"/>
  <c r="D12" i="44" s="1"/>
  <c r="E12" i="44" s="1"/>
  <c r="C9" i="44"/>
  <c r="D9" i="44" s="1"/>
  <c r="E9" i="44" s="1"/>
  <c r="C8" i="44"/>
  <c r="D8" i="44" s="1"/>
  <c r="E8" i="44" s="1"/>
  <c r="C5" i="44"/>
  <c r="D5" i="44" s="1"/>
  <c r="E5" i="44" s="1"/>
  <c r="C4" i="44"/>
  <c r="D4" i="44" s="1"/>
  <c r="E4" i="44" s="1"/>
  <c r="C2" i="44"/>
  <c r="D2" i="44" s="1"/>
  <c r="E2" i="44" s="1"/>
  <c r="G26" i="26"/>
  <c r="E9" i="43"/>
  <c r="E17" i="43"/>
  <c r="E25" i="43"/>
  <c r="B3" i="43"/>
  <c r="B4" i="43"/>
  <c r="B5" i="43"/>
  <c r="B6" i="43"/>
  <c r="B7" i="43"/>
  <c r="B8" i="43"/>
  <c r="C8" i="43" s="1"/>
  <c r="D8" i="43" s="1"/>
  <c r="E8" i="43" s="1"/>
  <c r="B9" i="43"/>
  <c r="C9" i="43" s="1"/>
  <c r="B10" i="43"/>
  <c r="B11" i="43"/>
  <c r="B12" i="43"/>
  <c r="B13" i="43"/>
  <c r="B14" i="43"/>
  <c r="B15" i="43"/>
  <c r="B16" i="43"/>
  <c r="C16" i="43" s="1"/>
  <c r="D16" i="43" s="1"/>
  <c r="E16" i="43" s="1"/>
  <c r="B17" i="43"/>
  <c r="C17" i="43" s="1"/>
  <c r="B18" i="43"/>
  <c r="B19" i="43"/>
  <c r="B20" i="43"/>
  <c r="B21" i="43"/>
  <c r="B22" i="43"/>
  <c r="B23" i="43"/>
  <c r="B24" i="43"/>
  <c r="C24" i="43" s="1"/>
  <c r="D24" i="43" s="1"/>
  <c r="E24" i="43" s="1"/>
  <c r="B25" i="43"/>
  <c r="C25" i="43" s="1"/>
  <c r="B26" i="43"/>
  <c r="B27" i="43"/>
  <c r="B28" i="43"/>
  <c r="B29" i="43"/>
  <c r="B2" i="43"/>
  <c r="C29" i="43"/>
  <c r="D29" i="43" s="1"/>
  <c r="E29" i="43" s="1"/>
  <c r="C28" i="43"/>
  <c r="D28" i="43" s="1"/>
  <c r="E28" i="43" s="1"/>
  <c r="C27" i="43"/>
  <c r="D27" i="43" s="1"/>
  <c r="E27" i="43" s="1"/>
  <c r="C26" i="43"/>
  <c r="D26" i="43" s="1"/>
  <c r="E26" i="43" s="1"/>
  <c r="D25" i="43"/>
  <c r="D23" i="43"/>
  <c r="E23" i="43" s="1"/>
  <c r="C23" i="43"/>
  <c r="C22" i="43"/>
  <c r="D22" i="43" s="1"/>
  <c r="E22" i="43" s="1"/>
  <c r="C21" i="43"/>
  <c r="D21" i="43" s="1"/>
  <c r="E21" i="43" s="1"/>
  <c r="C20" i="43"/>
  <c r="D20" i="43" s="1"/>
  <c r="E20" i="43" s="1"/>
  <c r="C19" i="43"/>
  <c r="D19" i="43" s="1"/>
  <c r="E19" i="43" s="1"/>
  <c r="C18" i="43"/>
  <c r="D18" i="43" s="1"/>
  <c r="E18" i="43" s="1"/>
  <c r="D17" i="43"/>
  <c r="D15" i="43"/>
  <c r="E15" i="43" s="1"/>
  <c r="C15" i="43"/>
  <c r="C14" i="43"/>
  <c r="D14" i="43" s="1"/>
  <c r="E14" i="43" s="1"/>
  <c r="C13" i="43"/>
  <c r="D13" i="43" s="1"/>
  <c r="E13" i="43" s="1"/>
  <c r="C12" i="43"/>
  <c r="D12" i="43" s="1"/>
  <c r="E12" i="43" s="1"/>
  <c r="C11" i="43"/>
  <c r="D11" i="43" s="1"/>
  <c r="E11" i="43" s="1"/>
  <c r="C10" i="43"/>
  <c r="D10" i="43" s="1"/>
  <c r="E10" i="43" s="1"/>
  <c r="D9" i="43"/>
  <c r="D7" i="43"/>
  <c r="E7" i="43" s="1"/>
  <c r="C7" i="43"/>
  <c r="C6" i="43"/>
  <c r="D6" i="43" s="1"/>
  <c r="E6" i="43" s="1"/>
  <c r="C5" i="43"/>
  <c r="D5" i="43" s="1"/>
  <c r="E5" i="43" s="1"/>
  <c r="C4" i="43"/>
  <c r="D4" i="43" s="1"/>
  <c r="E4" i="43" s="1"/>
  <c r="C3" i="43"/>
  <c r="D3" i="43" s="1"/>
  <c r="E3" i="43" s="1"/>
  <c r="C2" i="43"/>
  <c r="D2" i="43" s="1"/>
  <c r="E2" i="43" s="1"/>
  <c r="G23" i="26"/>
  <c r="E11" i="42"/>
  <c r="E27" i="42"/>
  <c r="B3" i="42"/>
  <c r="C3" i="42" s="1"/>
  <c r="D3" i="42" s="1"/>
  <c r="E3" i="42" s="1"/>
  <c r="B4" i="42"/>
  <c r="B5" i="42"/>
  <c r="B6" i="42"/>
  <c r="C6" i="42" s="1"/>
  <c r="D6" i="42" s="1"/>
  <c r="E6" i="42" s="1"/>
  <c r="B7" i="42"/>
  <c r="B8" i="42"/>
  <c r="C8" i="42" s="1"/>
  <c r="D8" i="42" s="1"/>
  <c r="E8" i="42" s="1"/>
  <c r="B9" i="42"/>
  <c r="B10" i="42"/>
  <c r="C10" i="42" s="1"/>
  <c r="D10" i="42" s="1"/>
  <c r="E10" i="42" s="1"/>
  <c r="B11" i="42"/>
  <c r="B12" i="42"/>
  <c r="C12" i="42" s="1"/>
  <c r="D12" i="42" s="1"/>
  <c r="E12" i="42" s="1"/>
  <c r="B13" i="42"/>
  <c r="B14" i="42"/>
  <c r="C14" i="42" s="1"/>
  <c r="D14" i="42" s="1"/>
  <c r="E14" i="42" s="1"/>
  <c r="B15" i="42"/>
  <c r="B16" i="42"/>
  <c r="B17" i="42"/>
  <c r="B18" i="42"/>
  <c r="C18" i="42" s="1"/>
  <c r="D18" i="42" s="1"/>
  <c r="E18" i="42" s="1"/>
  <c r="B19" i="42"/>
  <c r="C19" i="42" s="1"/>
  <c r="D19" i="42" s="1"/>
  <c r="E19" i="42" s="1"/>
  <c r="B20" i="42"/>
  <c r="B21" i="42"/>
  <c r="C21" i="42" s="1"/>
  <c r="D21" i="42" s="1"/>
  <c r="E21" i="42" s="1"/>
  <c r="B22" i="42"/>
  <c r="C22" i="42" s="1"/>
  <c r="D22" i="42" s="1"/>
  <c r="E22" i="42" s="1"/>
  <c r="B23" i="42"/>
  <c r="C23" i="42" s="1"/>
  <c r="D23" i="42" s="1"/>
  <c r="E23" i="42" s="1"/>
  <c r="B24" i="42"/>
  <c r="C24" i="42" s="1"/>
  <c r="D24" i="42" s="1"/>
  <c r="E24" i="42" s="1"/>
  <c r="B25" i="42"/>
  <c r="C25" i="42" s="1"/>
  <c r="D25" i="42" s="1"/>
  <c r="E25" i="42" s="1"/>
  <c r="B26" i="42"/>
  <c r="C26" i="42" s="1"/>
  <c r="D26" i="42" s="1"/>
  <c r="E26" i="42" s="1"/>
  <c r="B27" i="42"/>
  <c r="B28" i="42"/>
  <c r="C28" i="42" s="1"/>
  <c r="D28" i="42" s="1"/>
  <c r="E28" i="42" s="1"/>
  <c r="B29" i="42"/>
  <c r="C29" i="42" s="1"/>
  <c r="D29" i="42" s="1"/>
  <c r="E29" i="42" s="1"/>
  <c r="B2" i="42"/>
  <c r="C2" i="42" s="1"/>
  <c r="D2" i="42" s="1"/>
  <c r="E2" i="42" s="1"/>
  <c r="C27" i="42"/>
  <c r="D27" i="42" s="1"/>
  <c r="C20" i="42"/>
  <c r="D20" i="42" s="1"/>
  <c r="E20" i="42" s="1"/>
  <c r="C17" i="42"/>
  <c r="D17" i="42" s="1"/>
  <c r="E17" i="42" s="1"/>
  <c r="C16" i="42"/>
  <c r="D16" i="42" s="1"/>
  <c r="E16" i="42" s="1"/>
  <c r="C15" i="42"/>
  <c r="D15" i="42" s="1"/>
  <c r="E15" i="42" s="1"/>
  <c r="C13" i="42"/>
  <c r="D13" i="42" s="1"/>
  <c r="E13" i="42" s="1"/>
  <c r="C11" i="42"/>
  <c r="D11" i="42" s="1"/>
  <c r="C9" i="42"/>
  <c r="D9" i="42" s="1"/>
  <c r="E9" i="42" s="1"/>
  <c r="C7" i="42"/>
  <c r="D7" i="42" s="1"/>
  <c r="E7" i="42" s="1"/>
  <c r="C5" i="42"/>
  <c r="D5" i="42" s="1"/>
  <c r="E5" i="42" s="1"/>
  <c r="C4" i="42"/>
  <c r="D4" i="42" s="1"/>
  <c r="E4" i="42" s="1"/>
  <c r="B3" i="41"/>
  <c r="B4" i="41"/>
  <c r="B5" i="41"/>
  <c r="B6" i="41"/>
  <c r="B7" i="41"/>
  <c r="B8" i="41"/>
  <c r="B9" i="41"/>
  <c r="B10" i="41"/>
  <c r="B11" i="41"/>
  <c r="B12" i="41"/>
  <c r="B13" i="41"/>
  <c r="B14" i="41"/>
  <c r="B15" i="41"/>
  <c r="B16" i="41"/>
  <c r="B17" i="41"/>
  <c r="B18" i="41"/>
  <c r="B2" i="41"/>
  <c r="C3" i="41"/>
  <c r="D3" i="41" s="1"/>
  <c r="E3" i="41" s="1"/>
  <c r="F3" i="41" s="1"/>
  <c r="C4" i="41"/>
  <c r="C5" i="41"/>
  <c r="C6" i="41"/>
  <c r="D6" i="41" s="1"/>
  <c r="E6" i="41" s="1"/>
  <c r="F6" i="41" s="1"/>
  <c r="C7" i="41"/>
  <c r="D7" i="41" s="1"/>
  <c r="E7" i="41" s="1"/>
  <c r="F7" i="41" s="1"/>
  <c r="C8" i="41"/>
  <c r="D8" i="41" s="1"/>
  <c r="E8" i="41" s="1"/>
  <c r="F8" i="41" s="1"/>
  <c r="C9" i="41"/>
  <c r="C10" i="41"/>
  <c r="D10" i="41" s="1"/>
  <c r="E10" i="41" s="1"/>
  <c r="F10" i="41" s="1"/>
  <c r="C11" i="41"/>
  <c r="D11" i="41" s="1"/>
  <c r="E11" i="41" s="1"/>
  <c r="F11" i="41" s="1"/>
  <c r="C12" i="41"/>
  <c r="D12" i="41" s="1"/>
  <c r="E12" i="41" s="1"/>
  <c r="F12" i="41" s="1"/>
  <c r="C13" i="41"/>
  <c r="C14" i="41"/>
  <c r="D14" i="41" s="1"/>
  <c r="E14" i="41" s="1"/>
  <c r="F14" i="41" s="1"/>
  <c r="C15" i="41"/>
  <c r="D15" i="41" s="1"/>
  <c r="E15" i="41" s="1"/>
  <c r="F15" i="41" s="1"/>
  <c r="C16" i="41"/>
  <c r="D16" i="41" s="1"/>
  <c r="E16" i="41" s="1"/>
  <c r="F16" i="41" s="1"/>
  <c r="C17" i="41"/>
  <c r="C18" i="41"/>
  <c r="D18" i="41" s="1"/>
  <c r="E18" i="41" s="1"/>
  <c r="F18" i="41" s="1"/>
  <c r="C2" i="41"/>
  <c r="D2" i="41" s="1"/>
  <c r="E2" i="41" s="1"/>
  <c r="F2" i="41" s="1"/>
  <c r="D17" i="41"/>
  <c r="E17" i="41" s="1"/>
  <c r="F17" i="41" s="1"/>
  <c r="D13" i="41"/>
  <c r="E13" i="41" s="1"/>
  <c r="F13" i="41" s="1"/>
  <c r="D9" i="41"/>
  <c r="E9" i="41" s="1"/>
  <c r="F9" i="41" s="1"/>
  <c r="D5" i="41"/>
  <c r="E5" i="41" s="1"/>
  <c r="F5" i="41" s="1"/>
  <c r="D4" i="41"/>
  <c r="E4" i="41" s="1"/>
  <c r="F4" i="41" s="1"/>
  <c r="D5" i="40"/>
  <c r="E5" i="40" s="1"/>
  <c r="F5" i="40" s="1"/>
  <c r="D9" i="40"/>
  <c r="E9" i="40" s="1"/>
  <c r="F9" i="40" s="1"/>
  <c r="D10" i="40"/>
  <c r="E10" i="40" s="1"/>
  <c r="F10" i="40" s="1"/>
  <c r="D13" i="40"/>
  <c r="E13" i="40" s="1"/>
  <c r="F13" i="40" s="1"/>
  <c r="D14" i="40"/>
  <c r="E14" i="40" s="1"/>
  <c r="F14" i="40" s="1"/>
  <c r="B3" i="40"/>
  <c r="B4" i="40"/>
  <c r="B5" i="40"/>
  <c r="B6" i="40"/>
  <c r="B7" i="40"/>
  <c r="B8" i="40"/>
  <c r="B9" i="40"/>
  <c r="B10" i="40"/>
  <c r="B11" i="40"/>
  <c r="B12" i="40"/>
  <c r="B13" i="40"/>
  <c r="B14" i="40"/>
  <c r="B15" i="40"/>
  <c r="B16" i="40"/>
  <c r="B17" i="40"/>
  <c r="B18" i="40"/>
  <c r="C3" i="40"/>
  <c r="D3" i="40" s="1"/>
  <c r="E3" i="40" s="1"/>
  <c r="F3" i="40" s="1"/>
  <c r="C4" i="40"/>
  <c r="D4" i="40" s="1"/>
  <c r="E4" i="40" s="1"/>
  <c r="F4" i="40" s="1"/>
  <c r="C5" i="40"/>
  <c r="C6" i="40"/>
  <c r="D6" i="40" s="1"/>
  <c r="E6" i="40" s="1"/>
  <c r="F6" i="40" s="1"/>
  <c r="C7" i="40"/>
  <c r="D7" i="40" s="1"/>
  <c r="E7" i="40" s="1"/>
  <c r="F7" i="40" s="1"/>
  <c r="C8" i="40"/>
  <c r="D8" i="40" s="1"/>
  <c r="E8" i="40" s="1"/>
  <c r="F8" i="40" s="1"/>
  <c r="C9" i="40"/>
  <c r="C10" i="40"/>
  <c r="C11" i="40"/>
  <c r="D11" i="40" s="1"/>
  <c r="E11" i="40" s="1"/>
  <c r="F11" i="40" s="1"/>
  <c r="C12" i="40"/>
  <c r="D12" i="40" s="1"/>
  <c r="E12" i="40" s="1"/>
  <c r="F12" i="40" s="1"/>
  <c r="C13" i="40"/>
  <c r="C14" i="40"/>
  <c r="C15" i="40"/>
  <c r="D15" i="40" s="1"/>
  <c r="E15" i="40" s="1"/>
  <c r="F15" i="40" s="1"/>
  <c r="C16" i="40"/>
  <c r="D16" i="40" s="1"/>
  <c r="E16" i="40" s="1"/>
  <c r="F16" i="40" s="1"/>
  <c r="C17" i="40"/>
  <c r="D17" i="40" s="1"/>
  <c r="E17" i="40" s="1"/>
  <c r="F17" i="40" s="1"/>
  <c r="C18" i="40"/>
  <c r="D18" i="40" s="1"/>
  <c r="E18" i="40" s="1"/>
  <c r="F18" i="40" s="1"/>
  <c r="B2" i="40"/>
  <c r="F8" i="39"/>
  <c r="F13" i="39"/>
  <c r="F17" i="39"/>
  <c r="F23" i="39"/>
  <c r="F29" i="39"/>
  <c r="C2" i="40"/>
  <c r="D2" i="40" s="1"/>
  <c r="E2" i="40" s="1"/>
  <c r="F2" i="40" s="1"/>
  <c r="B3" i="39"/>
  <c r="B4" i="39"/>
  <c r="B5" i="39"/>
  <c r="B6" i="39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2" i="39"/>
  <c r="C3" i="39"/>
  <c r="C4" i="39"/>
  <c r="C5" i="39"/>
  <c r="C6" i="39"/>
  <c r="C7" i="39"/>
  <c r="C8" i="39"/>
  <c r="C9" i="39"/>
  <c r="C10" i="39"/>
  <c r="C11" i="39"/>
  <c r="C12" i="39"/>
  <c r="C13" i="39"/>
  <c r="C14" i="39"/>
  <c r="C15" i="39"/>
  <c r="C16" i="39"/>
  <c r="C17" i="39"/>
  <c r="C18" i="39"/>
  <c r="D18" i="39" s="1"/>
  <c r="E18" i="39" s="1"/>
  <c r="F18" i="39" s="1"/>
  <c r="C19" i="39"/>
  <c r="D19" i="39" s="1"/>
  <c r="E19" i="39" s="1"/>
  <c r="F19" i="39" s="1"/>
  <c r="C20" i="39"/>
  <c r="C21" i="39"/>
  <c r="C22" i="39"/>
  <c r="D22" i="39" s="1"/>
  <c r="E22" i="39" s="1"/>
  <c r="F22" i="39" s="1"/>
  <c r="C23" i="39"/>
  <c r="C24" i="39"/>
  <c r="D24" i="39" s="1"/>
  <c r="E24" i="39" s="1"/>
  <c r="F24" i="39" s="1"/>
  <c r="C25" i="39"/>
  <c r="C26" i="39"/>
  <c r="D26" i="39" s="1"/>
  <c r="E26" i="39" s="1"/>
  <c r="F26" i="39" s="1"/>
  <c r="C27" i="39"/>
  <c r="D27" i="39" s="1"/>
  <c r="E27" i="39" s="1"/>
  <c r="F27" i="39" s="1"/>
  <c r="C28" i="39"/>
  <c r="D28" i="39" s="1"/>
  <c r="E28" i="39" s="1"/>
  <c r="F28" i="39" s="1"/>
  <c r="C29" i="39"/>
  <c r="C2" i="39"/>
  <c r="D29" i="39"/>
  <c r="E29" i="39" s="1"/>
  <c r="D25" i="39"/>
  <c r="E25" i="39" s="1"/>
  <c r="F25" i="39" s="1"/>
  <c r="D23" i="39"/>
  <c r="E23" i="39" s="1"/>
  <c r="D21" i="39"/>
  <c r="E21" i="39" s="1"/>
  <c r="F21" i="39" s="1"/>
  <c r="D20" i="39"/>
  <c r="E20" i="39" s="1"/>
  <c r="F20" i="39" s="1"/>
  <c r="D17" i="39"/>
  <c r="E17" i="39" s="1"/>
  <c r="D16" i="39"/>
  <c r="E16" i="39" s="1"/>
  <c r="F16" i="39" s="1"/>
  <c r="D15" i="39"/>
  <c r="E15" i="39" s="1"/>
  <c r="F15" i="39" s="1"/>
  <c r="D14" i="39"/>
  <c r="E14" i="39" s="1"/>
  <c r="F14" i="39" s="1"/>
  <c r="D13" i="39"/>
  <c r="E13" i="39" s="1"/>
  <c r="D12" i="39"/>
  <c r="E12" i="39" s="1"/>
  <c r="F12" i="39" s="1"/>
  <c r="D11" i="39"/>
  <c r="E11" i="39" s="1"/>
  <c r="F11" i="39" s="1"/>
  <c r="D10" i="39"/>
  <c r="E10" i="39" s="1"/>
  <c r="F10" i="39" s="1"/>
  <c r="D9" i="39"/>
  <c r="E9" i="39" s="1"/>
  <c r="F9" i="39" s="1"/>
  <c r="D8" i="39"/>
  <c r="E8" i="39" s="1"/>
  <c r="D7" i="39"/>
  <c r="E7" i="39" s="1"/>
  <c r="F7" i="39" s="1"/>
  <c r="D6" i="39"/>
  <c r="E6" i="39" s="1"/>
  <c r="F6" i="39" s="1"/>
  <c r="D5" i="39"/>
  <c r="E5" i="39" s="1"/>
  <c r="F5" i="39" s="1"/>
  <c r="D4" i="39"/>
  <c r="E4" i="39" s="1"/>
  <c r="F4" i="39" s="1"/>
  <c r="D3" i="39"/>
  <c r="E3" i="39" s="1"/>
  <c r="F3" i="39" s="1"/>
  <c r="D2" i="39"/>
  <c r="E2" i="39" s="1"/>
  <c r="F2" i="39" s="1"/>
  <c r="B2" i="37"/>
  <c r="C2" i="37" s="1"/>
  <c r="D2" i="37" s="1"/>
  <c r="E2" i="37" s="1"/>
  <c r="B3" i="37"/>
  <c r="C3" i="37" s="1"/>
  <c r="D3" i="37" s="1"/>
  <c r="E3" i="37" s="1"/>
  <c r="B4" i="37"/>
  <c r="C4" i="37" s="1"/>
  <c r="D4" i="37" s="1"/>
  <c r="E4" i="37" s="1"/>
  <c r="B5" i="37"/>
  <c r="C5" i="37" s="1"/>
  <c r="D5" i="37" s="1"/>
  <c r="E5" i="37" s="1"/>
  <c r="B6" i="37"/>
  <c r="C6" i="37" s="1"/>
  <c r="D6" i="37" s="1"/>
  <c r="E6" i="37" s="1"/>
  <c r="B7" i="37"/>
  <c r="C7" i="37" s="1"/>
  <c r="D7" i="37" s="1"/>
  <c r="E7" i="37" s="1"/>
  <c r="B8" i="37"/>
  <c r="C8" i="37" s="1"/>
  <c r="D8" i="37" s="1"/>
  <c r="E8" i="37" s="1"/>
  <c r="B9" i="37"/>
  <c r="C9" i="37" s="1"/>
  <c r="D9" i="37" s="1"/>
  <c r="E9" i="37" s="1"/>
  <c r="B10" i="37"/>
  <c r="C10" i="37" s="1"/>
  <c r="D10" i="37" s="1"/>
  <c r="E10" i="37" s="1"/>
  <c r="B11" i="37"/>
  <c r="C11" i="37" s="1"/>
  <c r="D11" i="37" s="1"/>
  <c r="E11" i="37" s="1"/>
  <c r="B12" i="37"/>
  <c r="C12" i="37" s="1"/>
  <c r="D12" i="37" s="1"/>
  <c r="E12" i="37" s="1"/>
  <c r="B13" i="37"/>
  <c r="C13" i="37" s="1"/>
  <c r="D13" i="37" s="1"/>
  <c r="E13" i="37" s="1"/>
  <c r="B14" i="37"/>
  <c r="C14" i="37" s="1"/>
  <c r="D14" i="37" s="1"/>
  <c r="E14" i="37" s="1"/>
  <c r="B15" i="37"/>
  <c r="C15" i="37" s="1"/>
  <c r="D15" i="37" s="1"/>
  <c r="E15" i="37" s="1"/>
  <c r="B16" i="37"/>
  <c r="C16" i="37" s="1"/>
  <c r="D16" i="37" s="1"/>
  <c r="E16" i="37" s="1"/>
  <c r="B17" i="37"/>
  <c r="C17" i="37" s="1"/>
  <c r="D17" i="37" s="1"/>
  <c r="E17" i="37" s="1"/>
  <c r="B18" i="37"/>
  <c r="C18" i="37" s="1"/>
  <c r="D18" i="37" s="1"/>
  <c r="E18" i="37" s="1"/>
  <c r="B19" i="37"/>
  <c r="C19" i="37" s="1"/>
  <c r="D19" i="37" s="1"/>
  <c r="E19" i="37" s="1"/>
  <c r="B20" i="37"/>
  <c r="C20" i="37" s="1"/>
  <c r="D20" i="37" s="1"/>
  <c r="E20" i="37" s="1"/>
  <c r="B21" i="37"/>
  <c r="C21" i="37" s="1"/>
  <c r="D21" i="37" s="1"/>
  <c r="E21" i="37" s="1"/>
  <c r="B22" i="37"/>
  <c r="C22" i="37" s="1"/>
  <c r="D22" i="37" s="1"/>
  <c r="E22" i="37" s="1"/>
  <c r="B23" i="37"/>
  <c r="C23" i="37" s="1"/>
  <c r="D23" i="37" s="1"/>
  <c r="E23" i="37" s="1"/>
  <c r="B24" i="37"/>
  <c r="C24" i="37" s="1"/>
  <c r="D24" i="37" s="1"/>
  <c r="E24" i="37" s="1"/>
  <c r="B25" i="37"/>
  <c r="C25" i="37" s="1"/>
  <c r="D25" i="37" s="1"/>
  <c r="E25" i="37" s="1"/>
  <c r="B26" i="37"/>
  <c r="C26" i="37" s="1"/>
  <c r="D26" i="37" s="1"/>
  <c r="E26" i="37" s="1"/>
  <c r="B27" i="37"/>
  <c r="C27" i="37" s="1"/>
  <c r="D27" i="37" s="1"/>
  <c r="E27" i="37" s="1"/>
  <c r="B55" i="37"/>
  <c r="C55" i="37" s="1"/>
  <c r="D55" i="37" s="1"/>
  <c r="E55" i="37" s="1"/>
  <c r="B56" i="37"/>
  <c r="C56" i="37" s="1"/>
  <c r="D56" i="37" s="1"/>
  <c r="E56" i="37" s="1"/>
  <c r="B57" i="37"/>
  <c r="C57" i="37" s="1"/>
  <c r="D57" i="37" s="1"/>
  <c r="E57" i="37" s="1"/>
  <c r="B58" i="37"/>
  <c r="C58" i="37" s="1"/>
  <c r="D58" i="37" s="1"/>
  <c r="E58" i="37" s="1"/>
  <c r="B59" i="37"/>
  <c r="C59" i="37" s="1"/>
  <c r="D59" i="37" s="1"/>
  <c r="E59" i="37" s="1"/>
  <c r="B60" i="37"/>
  <c r="C60" i="37" s="1"/>
  <c r="D60" i="37" s="1"/>
  <c r="E60" i="37" s="1"/>
  <c r="B61" i="37"/>
  <c r="C61" i="37" s="1"/>
  <c r="D61" i="37" s="1"/>
  <c r="E61" i="37" s="1"/>
  <c r="B62" i="37"/>
  <c r="C62" i="37" s="1"/>
  <c r="D62" i="37" s="1"/>
  <c r="E62" i="37" s="1"/>
  <c r="B63" i="37"/>
  <c r="C63" i="37" s="1"/>
  <c r="D63" i="37" s="1"/>
  <c r="E63" i="37" s="1"/>
  <c r="B64" i="37"/>
  <c r="C64" i="37" s="1"/>
  <c r="D64" i="37" s="1"/>
  <c r="E64" i="37" s="1"/>
  <c r="B65" i="37"/>
  <c r="C65" i="37" s="1"/>
  <c r="D65" i="37" s="1"/>
  <c r="E65" i="37" s="1"/>
  <c r="B66" i="37"/>
  <c r="C66" i="37" s="1"/>
  <c r="D66" i="37" s="1"/>
  <c r="E66" i="37" s="1"/>
  <c r="B67" i="37"/>
  <c r="C67" i="37" s="1"/>
  <c r="D67" i="37" s="1"/>
  <c r="E67" i="37" s="1"/>
  <c r="B68" i="37"/>
  <c r="C68" i="37" s="1"/>
  <c r="D68" i="37" s="1"/>
  <c r="E68" i="37" s="1"/>
  <c r="B69" i="37"/>
  <c r="C69" i="37" s="1"/>
  <c r="D69" i="37" s="1"/>
  <c r="E69" i="37" s="1"/>
  <c r="B70" i="37"/>
  <c r="C70" i="37" s="1"/>
  <c r="D70" i="37" s="1"/>
  <c r="E70" i="37" s="1"/>
  <c r="B71" i="37"/>
  <c r="C71" i="37" s="1"/>
  <c r="D71" i="37" s="1"/>
  <c r="E71" i="37" s="1"/>
  <c r="B72" i="37"/>
  <c r="C72" i="37" s="1"/>
  <c r="D72" i="37" s="1"/>
  <c r="E72" i="37" s="1"/>
  <c r="B73" i="37"/>
  <c r="C73" i="37" s="1"/>
  <c r="D73" i="37" s="1"/>
  <c r="E73" i="37" s="1"/>
  <c r="B74" i="37"/>
  <c r="C74" i="37" s="1"/>
  <c r="D74" i="37" s="1"/>
  <c r="E74" i="37" s="1"/>
  <c r="B75" i="37"/>
  <c r="C75" i="37" s="1"/>
  <c r="D75" i="37" s="1"/>
  <c r="E75" i="37" s="1"/>
  <c r="B76" i="37"/>
  <c r="C76" i="37" s="1"/>
  <c r="D76" i="37" s="1"/>
  <c r="E76" i="37" s="1"/>
  <c r="B77" i="37"/>
  <c r="C77" i="37" s="1"/>
  <c r="D77" i="37" s="1"/>
  <c r="E77" i="37" s="1"/>
  <c r="B78" i="37"/>
  <c r="C78" i="37" s="1"/>
  <c r="D78" i="37" s="1"/>
  <c r="E78" i="37" s="1"/>
  <c r="B79" i="37"/>
  <c r="C79" i="37" s="1"/>
  <c r="D79" i="37" s="1"/>
  <c r="E79" i="37" s="1"/>
  <c r="B54" i="37"/>
  <c r="C54" i="37" s="1"/>
  <c r="D54" i="37" s="1"/>
  <c r="E54" i="37" s="1"/>
  <c r="B29" i="37"/>
  <c r="C29" i="37" s="1"/>
  <c r="D29" i="37" s="1"/>
  <c r="E29" i="37" s="1"/>
  <c r="B30" i="37"/>
  <c r="C30" i="37" s="1"/>
  <c r="D30" i="37" s="1"/>
  <c r="E30" i="37" s="1"/>
  <c r="B31" i="37"/>
  <c r="C31" i="37" s="1"/>
  <c r="D31" i="37" s="1"/>
  <c r="E31" i="37" s="1"/>
  <c r="B32" i="37"/>
  <c r="C32" i="37" s="1"/>
  <c r="D32" i="37" s="1"/>
  <c r="E32" i="37" s="1"/>
  <c r="B33" i="37"/>
  <c r="C33" i="37" s="1"/>
  <c r="D33" i="37" s="1"/>
  <c r="E33" i="37" s="1"/>
  <c r="B34" i="37"/>
  <c r="C34" i="37" s="1"/>
  <c r="D34" i="37" s="1"/>
  <c r="E34" i="37" s="1"/>
  <c r="B35" i="37"/>
  <c r="C35" i="37" s="1"/>
  <c r="D35" i="37" s="1"/>
  <c r="E35" i="37" s="1"/>
  <c r="B36" i="37"/>
  <c r="C36" i="37" s="1"/>
  <c r="D36" i="37" s="1"/>
  <c r="E36" i="37" s="1"/>
  <c r="B37" i="37"/>
  <c r="C37" i="37" s="1"/>
  <c r="D37" i="37" s="1"/>
  <c r="E37" i="37" s="1"/>
  <c r="B38" i="37"/>
  <c r="C38" i="37" s="1"/>
  <c r="D38" i="37" s="1"/>
  <c r="E38" i="37" s="1"/>
  <c r="B39" i="37"/>
  <c r="C39" i="37" s="1"/>
  <c r="D39" i="37" s="1"/>
  <c r="E39" i="37" s="1"/>
  <c r="B40" i="37"/>
  <c r="C40" i="37" s="1"/>
  <c r="D40" i="37" s="1"/>
  <c r="E40" i="37" s="1"/>
  <c r="B41" i="37"/>
  <c r="C41" i="37" s="1"/>
  <c r="D41" i="37" s="1"/>
  <c r="E41" i="37" s="1"/>
  <c r="B42" i="37"/>
  <c r="C42" i="37" s="1"/>
  <c r="D42" i="37" s="1"/>
  <c r="E42" i="37" s="1"/>
  <c r="B43" i="37"/>
  <c r="C43" i="37" s="1"/>
  <c r="D43" i="37" s="1"/>
  <c r="E43" i="37" s="1"/>
  <c r="B44" i="37"/>
  <c r="C44" i="37" s="1"/>
  <c r="D44" i="37" s="1"/>
  <c r="E44" i="37" s="1"/>
  <c r="B45" i="37"/>
  <c r="C45" i="37" s="1"/>
  <c r="D45" i="37" s="1"/>
  <c r="E45" i="37" s="1"/>
  <c r="B46" i="37"/>
  <c r="C46" i="37" s="1"/>
  <c r="D46" i="37" s="1"/>
  <c r="E46" i="37" s="1"/>
  <c r="B47" i="37"/>
  <c r="C47" i="37" s="1"/>
  <c r="D47" i="37" s="1"/>
  <c r="E47" i="37" s="1"/>
  <c r="B48" i="37"/>
  <c r="C48" i="37" s="1"/>
  <c r="D48" i="37" s="1"/>
  <c r="E48" i="37" s="1"/>
  <c r="B49" i="37"/>
  <c r="C49" i="37" s="1"/>
  <c r="D49" i="37" s="1"/>
  <c r="E49" i="37" s="1"/>
  <c r="B50" i="37"/>
  <c r="C50" i="37" s="1"/>
  <c r="D50" i="37" s="1"/>
  <c r="E50" i="37" s="1"/>
  <c r="B51" i="37"/>
  <c r="C51" i="37" s="1"/>
  <c r="D51" i="37" s="1"/>
  <c r="E51" i="37" s="1"/>
  <c r="B52" i="37"/>
  <c r="C52" i="37" s="1"/>
  <c r="D52" i="37" s="1"/>
  <c r="E52" i="37" s="1"/>
  <c r="B53" i="37"/>
  <c r="C53" i="37" s="1"/>
  <c r="D53" i="37" s="1"/>
  <c r="E53" i="37" s="1"/>
  <c r="B28" i="37"/>
  <c r="C28" i="37" s="1"/>
  <c r="D28" i="37" s="1"/>
  <c r="E28" i="37" s="1"/>
  <c r="C5" i="38" l="1"/>
  <c r="C6" i="38"/>
  <c r="C9" i="38"/>
  <c r="C10" i="38"/>
  <c r="C13" i="38"/>
  <c r="C14" i="38"/>
  <c r="C17" i="38"/>
  <c r="C18" i="38"/>
  <c r="C21" i="38"/>
  <c r="C22" i="38"/>
  <c r="C25" i="38"/>
  <c r="C26" i="38"/>
  <c r="C29" i="38"/>
  <c r="C30" i="38"/>
  <c r="C33" i="38"/>
  <c r="C34" i="38"/>
  <c r="C37" i="38"/>
  <c r="C38" i="38"/>
  <c r="C41" i="38"/>
  <c r="C42" i="38"/>
  <c r="C45" i="38"/>
  <c r="C46" i="38"/>
  <c r="C49" i="38"/>
  <c r="C50" i="38"/>
  <c r="C53" i="38"/>
  <c r="C57" i="38"/>
  <c r="C58" i="38"/>
  <c r="C61" i="38"/>
  <c r="C62" i="38"/>
  <c r="C65" i="38"/>
  <c r="C66" i="38"/>
  <c r="C69" i="38"/>
  <c r="C70" i="38"/>
  <c r="C73" i="38"/>
  <c r="C74" i="38"/>
  <c r="C77" i="38"/>
  <c r="C78" i="38"/>
  <c r="B55" i="38"/>
  <c r="C55" i="38" s="1"/>
  <c r="B56" i="38"/>
  <c r="C56" i="38" s="1"/>
  <c r="B57" i="38"/>
  <c r="B58" i="38"/>
  <c r="B59" i="38"/>
  <c r="C59" i="38" s="1"/>
  <c r="B60" i="38"/>
  <c r="C60" i="38" s="1"/>
  <c r="B61" i="38"/>
  <c r="B62" i="38"/>
  <c r="B63" i="38"/>
  <c r="C63" i="38" s="1"/>
  <c r="B64" i="38"/>
  <c r="C64" i="38" s="1"/>
  <c r="B65" i="38"/>
  <c r="B66" i="38"/>
  <c r="B67" i="38"/>
  <c r="C67" i="38" s="1"/>
  <c r="B68" i="38"/>
  <c r="C68" i="38" s="1"/>
  <c r="B69" i="38"/>
  <c r="B70" i="38"/>
  <c r="B71" i="38"/>
  <c r="C71" i="38" s="1"/>
  <c r="B72" i="38"/>
  <c r="C72" i="38" s="1"/>
  <c r="B73" i="38"/>
  <c r="B74" i="38"/>
  <c r="B75" i="38"/>
  <c r="C75" i="38" s="1"/>
  <c r="B76" i="38"/>
  <c r="C76" i="38" s="1"/>
  <c r="B77" i="38"/>
  <c r="B78" i="38"/>
  <c r="B79" i="38"/>
  <c r="C79" i="38" s="1"/>
  <c r="B54" i="38"/>
  <c r="C54" i="38" s="1"/>
  <c r="B29" i="38"/>
  <c r="B30" i="38"/>
  <c r="B31" i="38"/>
  <c r="C31" i="38" s="1"/>
  <c r="B32" i="38"/>
  <c r="C32" i="38" s="1"/>
  <c r="B33" i="38"/>
  <c r="B34" i="38"/>
  <c r="B35" i="38"/>
  <c r="C35" i="38" s="1"/>
  <c r="B36" i="38"/>
  <c r="C36" i="38" s="1"/>
  <c r="B37" i="38"/>
  <c r="B38" i="38"/>
  <c r="B39" i="38"/>
  <c r="C39" i="38" s="1"/>
  <c r="B40" i="38"/>
  <c r="C40" i="38" s="1"/>
  <c r="B41" i="38"/>
  <c r="B42" i="38"/>
  <c r="B43" i="38"/>
  <c r="C43" i="38" s="1"/>
  <c r="B44" i="38"/>
  <c r="C44" i="38" s="1"/>
  <c r="B45" i="38"/>
  <c r="B46" i="38"/>
  <c r="B47" i="38"/>
  <c r="C47" i="38" s="1"/>
  <c r="B48" i="38"/>
  <c r="C48" i="38" s="1"/>
  <c r="B49" i="38"/>
  <c r="B50" i="38"/>
  <c r="B51" i="38"/>
  <c r="C51" i="38" s="1"/>
  <c r="B52" i="38"/>
  <c r="C52" i="38" s="1"/>
  <c r="B53" i="38"/>
  <c r="B28" i="38"/>
  <c r="C28" i="38" s="1"/>
  <c r="B3" i="38"/>
  <c r="C3" i="38" s="1"/>
  <c r="B4" i="38"/>
  <c r="C4" i="38" s="1"/>
  <c r="B5" i="38"/>
  <c r="B6" i="38"/>
  <c r="B7" i="38"/>
  <c r="C7" i="38" s="1"/>
  <c r="B8" i="38"/>
  <c r="C8" i="38" s="1"/>
  <c r="B9" i="38"/>
  <c r="B10" i="38"/>
  <c r="B11" i="38"/>
  <c r="C11" i="38" s="1"/>
  <c r="B12" i="38"/>
  <c r="C12" i="38" s="1"/>
  <c r="B13" i="38"/>
  <c r="B14" i="38"/>
  <c r="B15" i="38"/>
  <c r="C15" i="38" s="1"/>
  <c r="B16" i="38"/>
  <c r="C16" i="38" s="1"/>
  <c r="B17" i="38"/>
  <c r="B18" i="38"/>
  <c r="B19" i="38"/>
  <c r="C19" i="38" s="1"/>
  <c r="B20" i="38"/>
  <c r="C20" i="38" s="1"/>
  <c r="B21" i="38"/>
  <c r="B22" i="38"/>
  <c r="B23" i="38"/>
  <c r="C23" i="38" s="1"/>
  <c r="B24" i="38"/>
  <c r="C24" i="38" s="1"/>
  <c r="B25" i="38"/>
  <c r="B26" i="38"/>
  <c r="B27" i="38"/>
  <c r="C27" i="38" s="1"/>
  <c r="B2" i="38"/>
  <c r="C2" i="38" s="1"/>
  <c r="B3" i="36"/>
  <c r="B4" i="36"/>
  <c r="B5" i="36"/>
  <c r="B6" i="36"/>
  <c r="C6" i="36" s="1"/>
  <c r="D6" i="36" s="1"/>
  <c r="E6" i="36" s="1"/>
  <c r="B7" i="36"/>
  <c r="B8" i="36"/>
  <c r="B9" i="36"/>
  <c r="B10" i="36"/>
  <c r="C10" i="36" s="1"/>
  <c r="D10" i="36" s="1"/>
  <c r="E10" i="36" s="1"/>
  <c r="B11" i="36"/>
  <c r="B12" i="36"/>
  <c r="B13" i="36"/>
  <c r="B14" i="36"/>
  <c r="C14" i="36" s="1"/>
  <c r="D14" i="36" s="1"/>
  <c r="E14" i="36" s="1"/>
  <c r="B15" i="36"/>
  <c r="B16" i="36"/>
  <c r="B17" i="36"/>
  <c r="B18" i="36"/>
  <c r="C18" i="36" s="1"/>
  <c r="D18" i="36" s="1"/>
  <c r="E18" i="36" s="1"/>
  <c r="B19" i="36"/>
  <c r="B20" i="36"/>
  <c r="B21" i="36"/>
  <c r="B22" i="36"/>
  <c r="C22" i="36" s="1"/>
  <c r="D22" i="36" s="1"/>
  <c r="E22" i="36" s="1"/>
  <c r="B23" i="36"/>
  <c r="B24" i="36"/>
  <c r="B25" i="36"/>
  <c r="B26" i="36"/>
  <c r="C26" i="36" s="1"/>
  <c r="D26" i="36" s="1"/>
  <c r="E26" i="36" s="1"/>
  <c r="B27" i="36"/>
  <c r="C27" i="36" s="1"/>
  <c r="D27" i="36" s="1"/>
  <c r="E27" i="36" s="1"/>
  <c r="B28" i="36"/>
  <c r="B29" i="36"/>
  <c r="C29" i="36" s="1"/>
  <c r="D29" i="36" s="1"/>
  <c r="E29" i="36" s="1"/>
  <c r="B2" i="36"/>
  <c r="C2" i="36" s="1"/>
  <c r="D2" i="36" s="1"/>
  <c r="E2" i="36" s="1"/>
  <c r="C28" i="36"/>
  <c r="D28" i="36" s="1"/>
  <c r="E28" i="36" s="1"/>
  <c r="C25" i="36"/>
  <c r="D25" i="36" s="1"/>
  <c r="E25" i="36" s="1"/>
  <c r="C24" i="36"/>
  <c r="D24" i="36" s="1"/>
  <c r="E24" i="36" s="1"/>
  <c r="C23" i="36"/>
  <c r="D23" i="36" s="1"/>
  <c r="E23" i="36" s="1"/>
  <c r="C21" i="36"/>
  <c r="D21" i="36" s="1"/>
  <c r="E21" i="36" s="1"/>
  <c r="C20" i="36"/>
  <c r="D20" i="36" s="1"/>
  <c r="E20" i="36" s="1"/>
  <c r="C19" i="36"/>
  <c r="D19" i="36" s="1"/>
  <c r="E19" i="36" s="1"/>
  <c r="C17" i="36"/>
  <c r="D17" i="36" s="1"/>
  <c r="E17" i="36" s="1"/>
  <c r="C16" i="36"/>
  <c r="D16" i="36" s="1"/>
  <c r="E16" i="36" s="1"/>
  <c r="C15" i="36"/>
  <c r="D15" i="36" s="1"/>
  <c r="E15" i="36" s="1"/>
  <c r="C13" i="36"/>
  <c r="D13" i="36" s="1"/>
  <c r="E13" i="36" s="1"/>
  <c r="C12" i="36"/>
  <c r="D12" i="36" s="1"/>
  <c r="E12" i="36" s="1"/>
  <c r="C11" i="36"/>
  <c r="D11" i="36" s="1"/>
  <c r="E11" i="36" s="1"/>
  <c r="C9" i="36"/>
  <c r="D9" i="36" s="1"/>
  <c r="E9" i="36" s="1"/>
  <c r="C8" i="36"/>
  <c r="D8" i="36" s="1"/>
  <c r="E8" i="36" s="1"/>
  <c r="C7" i="36"/>
  <c r="D7" i="36" s="1"/>
  <c r="E7" i="36" s="1"/>
  <c r="C5" i="36"/>
  <c r="D5" i="36" s="1"/>
  <c r="E5" i="36" s="1"/>
  <c r="C4" i="36"/>
  <c r="D4" i="36" s="1"/>
  <c r="E4" i="36" s="1"/>
  <c r="C3" i="36"/>
  <c r="D3" i="36" s="1"/>
  <c r="E3" i="36" s="1"/>
  <c r="B3" i="35"/>
  <c r="B4" i="35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2" i="35"/>
  <c r="C3" i="35"/>
  <c r="C4" i="35"/>
  <c r="C5" i="35"/>
  <c r="D5" i="35" s="1"/>
  <c r="E5" i="35" s="1"/>
  <c r="F5" i="35" s="1"/>
  <c r="C6" i="35"/>
  <c r="D6" i="35" s="1"/>
  <c r="E6" i="35" s="1"/>
  <c r="F6" i="35" s="1"/>
  <c r="C7" i="35"/>
  <c r="C8" i="35"/>
  <c r="D8" i="35" s="1"/>
  <c r="E8" i="35" s="1"/>
  <c r="F8" i="35" s="1"/>
  <c r="C9" i="35"/>
  <c r="C10" i="35"/>
  <c r="D10" i="35" s="1"/>
  <c r="E10" i="35" s="1"/>
  <c r="F10" i="35" s="1"/>
  <c r="C11" i="35"/>
  <c r="C12" i="35"/>
  <c r="D12" i="35" s="1"/>
  <c r="E12" i="35" s="1"/>
  <c r="F12" i="35" s="1"/>
  <c r="C13" i="35"/>
  <c r="D13" i="35" s="1"/>
  <c r="E13" i="35" s="1"/>
  <c r="F13" i="35" s="1"/>
  <c r="C14" i="35"/>
  <c r="D14" i="35" s="1"/>
  <c r="E14" i="35" s="1"/>
  <c r="F14" i="35" s="1"/>
  <c r="C15" i="35"/>
  <c r="C16" i="35"/>
  <c r="D16" i="35" s="1"/>
  <c r="E16" i="35" s="1"/>
  <c r="F16" i="35" s="1"/>
  <c r="C17" i="35"/>
  <c r="D17" i="35" s="1"/>
  <c r="E17" i="35" s="1"/>
  <c r="F17" i="35" s="1"/>
  <c r="C18" i="35"/>
  <c r="D18" i="35" s="1"/>
  <c r="E18" i="35" s="1"/>
  <c r="F18" i="35" s="1"/>
  <c r="C19" i="35"/>
  <c r="C20" i="35"/>
  <c r="D20" i="35" s="1"/>
  <c r="E20" i="35" s="1"/>
  <c r="F20" i="35" s="1"/>
  <c r="C21" i="35"/>
  <c r="D21" i="35" s="1"/>
  <c r="E21" i="35" s="1"/>
  <c r="F21" i="35" s="1"/>
  <c r="C22" i="35"/>
  <c r="D22" i="35" s="1"/>
  <c r="E22" i="35" s="1"/>
  <c r="F22" i="35" s="1"/>
  <c r="C23" i="35"/>
  <c r="C24" i="35"/>
  <c r="D24" i="35" s="1"/>
  <c r="E24" i="35" s="1"/>
  <c r="F24" i="35" s="1"/>
  <c r="C25" i="35"/>
  <c r="D25" i="35" s="1"/>
  <c r="E25" i="35" s="1"/>
  <c r="F25" i="35" s="1"/>
  <c r="C26" i="35"/>
  <c r="D26" i="35" s="1"/>
  <c r="E26" i="35" s="1"/>
  <c r="F26" i="35" s="1"/>
  <c r="C27" i="35"/>
  <c r="D27" i="35" s="1"/>
  <c r="E27" i="35" s="1"/>
  <c r="F27" i="35" s="1"/>
  <c r="C28" i="35"/>
  <c r="D28" i="35" s="1"/>
  <c r="E28" i="35" s="1"/>
  <c r="F28" i="35" s="1"/>
  <c r="C29" i="35"/>
  <c r="D29" i="35" s="1"/>
  <c r="E29" i="35" s="1"/>
  <c r="F29" i="35" s="1"/>
  <c r="C2" i="35"/>
  <c r="D2" i="35" s="1"/>
  <c r="E2" i="35" s="1"/>
  <c r="F2" i="35" s="1"/>
  <c r="D23" i="35"/>
  <c r="E23" i="35" s="1"/>
  <c r="F23" i="35" s="1"/>
  <c r="D19" i="35"/>
  <c r="E19" i="35" s="1"/>
  <c r="F19" i="35" s="1"/>
  <c r="D15" i="35"/>
  <c r="E15" i="35" s="1"/>
  <c r="F15" i="35" s="1"/>
  <c r="D11" i="35"/>
  <c r="E11" i="35" s="1"/>
  <c r="F11" i="35" s="1"/>
  <c r="D9" i="35"/>
  <c r="E9" i="35" s="1"/>
  <c r="F9" i="35" s="1"/>
  <c r="D7" i="35"/>
  <c r="E7" i="35" s="1"/>
  <c r="F7" i="35" s="1"/>
  <c r="D4" i="35"/>
  <c r="E4" i="35" s="1"/>
  <c r="F4" i="35" s="1"/>
  <c r="D3" i="35"/>
  <c r="E3" i="35" s="1"/>
  <c r="F3" i="35" s="1"/>
  <c r="C2" i="12"/>
  <c r="D2" i="12" s="1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" i="34"/>
  <c r="C4" i="34"/>
  <c r="C5" i="34"/>
  <c r="D5" i="34" s="1"/>
  <c r="E5" i="34" s="1"/>
  <c r="F5" i="34" s="1"/>
  <c r="C6" i="34"/>
  <c r="C7" i="34"/>
  <c r="D7" i="34" s="1"/>
  <c r="E7" i="34" s="1"/>
  <c r="F7" i="34" s="1"/>
  <c r="C8" i="34"/>
  <c r="C9" i="34"/>
  <c r="D9" i="34" s="1"/>
  <c r="E9" i="34" s="1"/>
  <c r="F9" i="34" s="1"/>
  <c r="C10" i="34"/>
  <c r="D10" i="34" s="1"/>
  <c r="E10" i="34" s="1"/>
  <c r="F10" i="34" s="1"/>
  <c r="C11" i="34"/>
  <c r="C12" i="34"/>
  <c r="C13" i="34"/>
  <c r="D13" i="34" s="1"/>
  <c r="E13" i="34" s="1"/>
  <c r="F13" i="34" s="1"/>
  <c r="C14" i="34"/>
  <c r="C15" i="34"/>
  <c r="D15" i="34" s="1"/>
  <c r="E15" i="34" s="1"/>
  <c r="F15" i="34" s="1"/>
  <c r="C16" i="34"/>
  <c r="C17" i="34"/>
  <c r="D17" i="34" s="1"/>
  <c r="E17" i="34" s="1"/>
  <c r="F17" i="34" s="1"/>
  <c r="C18" i="34"/>
  <c r="D18" i="34" s="1"/>
  <c r="E18" i="34" s="1"/>
  <c r="F18" i="34" s="1"/>
  <c r="C19" i="34"/>
  <c r="C20" i="34"/>
  <c r="C21" i="34"/>
  <c r="D21" i="34" s="1"/>
  <c r="E21" i="34" s="1"/>
  <c r="F21" i="34" s="1"/>
  <c r="C22" i="34"/>
  <c r="D22" i="34" s="1"/>
  <c r="E22" i="34" s="1"/>
  <c r="F22" i="34" s="1"/>
  <c r="C23" i="34"/>
  <c r="C24" i="34"/>
  <c r="D24" i="34" s="1"/>
  <c r="E24" i="34" s="1"/>
  <c r="F24" i="34" s="1"/>
  <c r="C25" i="34"/>
  <c r="C26" i="34"/>
  <c r="D26" i="34" s="1"/>
  <c r="E26" i="34" s="1"/>
  <c r="F26" i="34" s="1"/>
  <c r="C27" i="34"/>
  <c r="C28" i="34"/>
  <c r="D28" i="34" s="1"/>
  <c r="E28" i="34" s="1"/>
  <c r="F28" i="34" s="1"/>
  <c r="C29" i="34"/>
  <c r="C2" i="34"/>
  <c r="B2" i="34"/>
  <c r="D29" i="34"/>
  <c r="E29" i="34" s="1"/>
  <c r="F29" i="34" s="1"/>
  <c r="B29" i="34"/>
  <c r="B28" i="34"/>
  <c r="E27" i="34"/>
  <c r="F27" i="34" s="1"/>
  <c r="D27" i="34"/>
  <c r="B27" i="34"/>
  <c r="B26" i="34"/>
  <c r="D25" i="34"/>
  <c r="E25" i="34" s="1"/>
  <c r="F25" i="34" s="1"/>
  <c r="B25" i="34"/>
  <c r="B24" i="34"/>
  <c r="D23" i="34"/>
  <c r="E23" i="34" s="1"/>
  <c r="F23" i="34" s="1"/>
  <c r="B23" i="34"/>
  <c r="B22" i="34"/>
  <c r="B21" i="34"/>
  <c r="D20" i="34"/>
  <c r="E20" i="34" s="1"/>
  <c r="F20" i="34" s="1"/>
  <c r="B20" i="34"/>
  <c r="D19" i="34"/>
  <c r="E19" i="34" s="1"/>
  <c r="F19" i="34" s="1"/>
  <c r="B19" i="34"/>
  <c r="B18" i="34"/>
  <c r="B17" i="34"/>
  <c r="D16" i="34"/>
  <c r="E16" i="34" s="1"/>
  <c r="F16" i="34" s="1"/>
  <c r="B16" i="34"/>
  <c r="B15" i="34"/>
  <c r="D14" i="34"/>
  <c r="E14" i="34" s="1"/>
  <c r="F14" i="34" s="1"/>
  <c r="B14" i="34"/>
  <c r="B13" i="34"/>
  <c r="D12" i="34"/>
  <c r="E12" i="34" s="1"/>
  <c r="F12" i="34" s="1"/>
  <c r="B12" i="34"/>
  <c r="D11" i="34"/>
  <c r="E11" i="34" s="1"/>
  <c r="F11" i="34" s="1"/>
  <c r="B11" i="34"/>
  <c r="B10" i="34"/>
  <c r="B9" i="34"/>
  <c r="D8" i="34"/>
  <c r="E8" i="34" s="1"/>
  <c r="F8" i="34" s="1"/>
  <c r="B8" i="34"/>
  <c r="B7" i="34"/>
  <c r="D6" i="34"/>
  <c r="E6" i="34" s="1"/>
  <c r="F6" i="34" s="1"/>
  <c r="B6" i="34"/>
  <c r="B5" i="34"/>
  <c r="D4" i="34"/>
  <c r="E4" i="34" s="1"/>
  <c r="F4" i="34" s="1"/>
  <c r="B4" i="34"/>
  <c r="D3" i="34"/>
  <c r="E3" i="34" s="1"/>
  <c r="F3" i="34" s="1"/>
  <c r="B3" i="34"/>
  <c r="D2" i="34"/>
  <c r="E2" i="34" s="1"/>
  <c r="F2" i="34" s="1"/>
  <c r="B2" i="33"/>
  <c r="B3" i="33"/>
  <c r="B4" i="33"/>
  <c r="B5" i="33"/>
  <c r="B6" i="33"/>
  <c r="B7" i="33"/>
  <c r="B8" i="33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4" i="28"/>
  <c r="C4" i="28" s="1"/>
  <c r="D4" i="28" s="1"/>
  <c r="B5" i="28"/>
  <c r="C5" i="28" s="1"/>
  <c r="D5" i="28" s="1"/>
  <c r="D10" i="28"/>
  <c r="B3" i="28"/>
  <c r="C3" i="28" s="1"/>
  <c r="D3" i="28" s="1"/>
  <c r="B6" i="28"/>
  <c r="C6" i="28" s="1"/>
  <c r="D6" i="28" s="1"/>
  <c r="B7" i="28"/>
  <c r="C7" i="28" s="1"/>
  <c r="D7" i="28" s="1"/>
  <c r="B8" i="28"/>
  <c r="C8" i="28" s="1"/>
  <c r="D8" i="28" s="1"/>
  <c r="B9" i="28"/>
  <c r="C9" i="28" s="1"/>
  <c r="D9" i="28" s="1"/>
  <c r="B10" i="28"/>
  <c r="C10" i="28" s="1"/>
  <c r="B11" i="28"/>
  <c r="C11" i="28" s="1"/>
  <c r="D11" i="28" s="1"/>
  <c r="B2" i="28"/>
  <c r="C2" i="28" s="1"/>
  <c r="D2" i="28" s="1"/>
  <c r="C9" i="2" l="1"/>
  <c r="D9" i="2" s="1"/>
  <c r="C8" i="2"/>
  <c r="D8" i="2" s="1"/>
  <c r="C2" i="2"/>
  <c r="D2" i="2"/>
  <c r="C6" i="2"/>
  <c r="D6" i="2" s="1"/>
  <c r="C3" i="2"/>
  <c r="D3" i="2"/>
  <c r="C7" i="2"/>
  <c r="D7" i="2" s="1"/>
  <c r="C4" i="2"/>
  <c r="D4" i="2"/>
  <c r="C5" i="2"/>
  <c r="D5" i="2" s="1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28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80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54" i="18"/>
  <c r="B3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28" i="18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28" i="27"/>
  <c r="B3" i="27"/>
  <c r="B4" i="27"/>
  <c r="B5" i="27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" i="27"/>
  <c r="D29" i="12"/>
  <c r="E29" i="12" s="1"/>
  <c r="F29" i="12" s="1"/>
  <c r="B29" i="12"/>
  <c r="D28" i="12"/>
  <c r="E28" i="12" s="1"/>
  <c r="F28" i="12" s="1"/>
  <c r="B28" i="12"/>
  <c r="D27" i="12"/>
  <c r="E27" i="12" s="1"/>
  <c r="F27" i="12" s="1"/>
  <c r="B27" i="12"/>
  <c r="D26" i="12"/>
  <c r="E26" i="12" s="1"/>
  <c r="F26" i="12" s="1"/>
  <c r="B26" i="12"/>
  <c r="D25" i="12"/>
  <c r="E25" i="12" s="1"/>
  <c r="F25" i="12" s="1"/>
  <c r="B25" i="12"/>
  <c r="D24" i="12"/>
  <c r="E24" i="12" s="1"/>
  <c r="F24" i="12" s="1"/>
  <c r="B24" i="12"/>
  <c r="D23" i="12"/>
  <c r="E23" i="12" s="1"/>
  <c r="F23" i="12" s="1"/>
  <c r="B23" i="12"/>
  <c r="D22" i="12"/>
  <c r="E22" i="12" s="1"/>
  <c r="F22" i="12" s="1"/>
  <c r="B22" i="12"/>
  <c r="D21" i="12"/>
  <c r="E21" i="12" s="1"/>
  <c r="F21" i="12" s="1"/>
  <c r="B21" i="12"/>
  <c r="D20" i="12"/>
  <c r="E20" i="12" s="1"/>
  <c r="F20" i="12" s="1"/>
  <c r="B20" i="12"/>
  <c r="D19" i="12"/>
  <c r="E19" i="12" s="1"/>
  <c r="F19" i="12" s="1"/>
  <c r="B19" i="12"/>
  <c r="D18" i="12"/>
  <c r="E18" i="12" s="1"/>
  <c r="F18" i="12" s="1"/>
  <c r="B18" i="12"/>
  <c r="D17" i="12"/>
  <c r="E17" i="12" s="1"/>
  <c r="F17" i="12" s="1"/>
  <c r="B17" i="12"/>
  <c r="D16" i="12"/>
  <c r="E16" i="12" s="1"/>
  <c r="F16" i="12" s="1"/>
  <c r="B16" i="12"/>
  <c r="D15" i="12"/>
  <c r="E15" i="12" s="1"/>
  <c r="F15" i="12" s="1"/>
  <c r="B15" i="12"/>
  <c r="D14" i="12"/>
  <c r="E14" i="12" s="1"/>
  <c r="F14" i="12" s="1"/>
  <c r="B14" i="12"/>
  <c r="D13" i="12"/>
  <c r="E13" i="12" s="1"/>
  <c r="F13" i="12" s="1"/>
  <c r="B13" i="12"/>
  <c r="D12" i="12"/>
  <c r="E12" i="12" s="1"/>
  <c r="F12" i="12" s="1"/>
  <c r="B12" i="12"/>
  <c r="D11" i="12"/>
  <c r="E11" i="12" s="1"/>
  <c r="F11" i="12" s="1"/>
  <c r="B11" i="12"/>
  <c r="D10" i="12"/>
  <c r="E10" i="12" s="1"/>
  <c r="F10" i="12" s="1"/>
  <c r="B10" i="12"/>
  <c r="D9" i="12"/>
  <c r="E9" i="12" s="1"/>
  <c r="F9" i="12" s="1"/>
  <c r="B9" i="12"/>
  <c r="D8" i="12"/>
  <c r="E8" i="12" s="1"/>
  <c r="F8" i="12" s="1"/>
  <c r="B8" i="12"/>
  <c r="D7" i="12"/>
  <c r="E7" i="12" s="1"/>
  <c r="F7" i="12" s="1"/>
  <c r="B7" i="12"/>
  <c r="D6" i="12"/>
  <c r="E6" i="12" s="1"/>
  <c r="F6" i="12" s="1"/>
  <c r="B6" i="12"/>
  <c r="D5" i="12"/>
  <c r="E5" i="12" s="1"/>
  <c r="F5" i="12" s="1"/>
  <c r="B5" i="12"/>
  <c r="D4" i="12"/>
  <c r="E4" i="12" s="1"/>
  <c r="F4" i="12" s="1"/>
  <c r="B4" i="12"/>
  <c r="D3" i="12"/>
  <c r="E3" i="12" s="1"/>
  <c r="F3" i="12" s="1"/>
  <c r="B3" i="12"/>
  <c r="E2" i="12"/>
  <c r="F2" i="12" s="1"/>
  <c r="B2" i="12"/>
  <c r="C3" i="17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" i="17"/>
  <c r="C22" i="17"/>
  <c r="C23" i="17"/>
  <c r="C24" i="17"/>
  <c r="C25" i="17"/>
  <c r="C26" i="17"/>
  <c r="C27" i="17"/>
  <c r="C28" i="17"/>
  <c r="C21" i="17"/>
  <c r="B3" i="3"/>
  <c r="B4" i="3"/>
  <c r="B5" i="3"/>
  <c r="B6" i="3"/>
  <c r="C6" i="3" s="1"/>
  <c r="D6" i="3" s="1"/>
  <c r="B7" i="3"/>
  <c r="C7" i="3" s="1"/>
  <c r="D7" i="3" s="1"/>
  <c r="B8" i="3"/>
  <c r="B9" i="3"/>
  <c r="B10" i="3"/>
  <c r="C10" i="3" s="1"/>
  <c r="D10" i="3" s="1"/>
  <c r="B11" i="3"/>
  <c r="C11" i="3" s="1"/>
  <c r="D11" i="3" s="1"/>
  <c r="B12" i="3"/>
  <c r="B13" i="3"/>
  <c r="B14" i="3"/>
  <c r="C14" i="3" s="1"/>
  <c r="D14" i="3" s="1"/>
  <c r="B15" i="3"/>
  <c r="C15" i="3" s="1"/>
  <c r="D15" i="3" s="1"/>
  <c r="B16" i="3"/>
  <c r="C16" i="3" s="1"/>
  <c r="D16" i="3" s="1"/>
  <c r="B17" i="3"/>
  <c r="B18" i="3"/>
  <c r="C18" i="3" s="1"/>
  <c r="D18" i="3" s="1"/>
  <c r="B19" i="3"/>
  <c r="B20" i="3"/>
  <c r="B21" i="3"/>
  <c r="B22" i="3"/>
  <c r="C22" i="3" s="1"/>
  <c r="D22" i="3" s="1"/>
  <c r="B23" i="3"/>
  <c r="C23" i="3" s="1"/>
  <c r="D23" i="3" s="1"/>
  <c r="B24" i="3"/>
  <c r="B25" i="3"/>
  <c r="B26" i="3"/>
  <c r="C26" i="3" s="1"/>
  <c r="D26" i="3" s="1"/>
  <c r="B27" i="3"/>
  <c r="C27" i="3" s="1"/>
  <c r="D27" i="3" s="1"/>
  <c r="B2" i="3"/>
  <c r="D12" i="3"/>
  <c r="C3" i="3"/>
  <c r="D3" i="3" s="1"/>
  <c r="C4" i="3"/>
  <c r="D4" i="3" s="1"/>
  <c r="C5" i="3"/>
  <c r="D5" i="3" s="1"/>
  <c r="C8" i="3"/>
  <c r="D8" i="3" s="1"/>
  <c r="C9" i="3"/>
  <c r="D9" i="3" s="1"/>
  <c r="C12" i="3"/>
  <c r="C13" i="3"/>
  <c r="D13" i="3" s="1"/>
  <c r="C17" i="3"/>
  <c r="D17" i="3" s="1"/>
  <c r="C19" i="3"/>
  <c r="D19" i="3" s="1"/>
  <c r="C20" i="3"/>
  <c r="D20" i="3" s="1"/>
  <c r="C21" i="3"/>
  <c r="D21" i="3" s="1"/>
  <c r="C24" i="3"/>
  <c r="D24" i="3" s="1"/>
  <c r="C25" i="3"/>
  <c r="D25" i="3" s="1"/>
  <c r="C2" i="3"/>
  <c r="D2" i="3" s="1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54" i="8"/>
  <c r="C4" i="16"/>
  <c r="C5" i="16"/>
  <c r="C8" i="16"/>
  <c r="C9" i="16"/>
  <c r="C12" i="16"/>
  <c r="C13" i="16"/>
  <c r="C16" i="16"/>
  <c r="C17" i="16"/>
  <c r="C20" i="16"/>
  <c r="C21" i="16"/>
  <c r="C24" i="16"/>
  <c r="C25" i="16"/>
  <c r="C29" i="16"/>
  <c r="C32" i="16"/>
  <c r="C33" i="16"/>
  <c r="C36" i="16"/>
  <c r="C37" i="16"/>
  <c r="C40" i="16"/>
  <c r="C41" i="16"/>
  <c r="C44" i="16"/>
  <c r="C45" i="16"/>
  <c r="C48" i="16"/>
  <c r="C49" i="16"/>
  <c r="C52" i="16"/>
  <c r="C53" i="16"/>
  <c r="C56" i="16"/>
  <c r="C57" i="16"/>
  <c r="C60" i="16"/>
  <c r="C61" i="16"/>
  <c r="C64" i="16"/>
  <c r="C65" i="16"/>
  <c r="C68" i="16"/>
  <c r="C69" i="16"/>
  <c r="C72" i="16"/>
  <c r="C73" i="16"/>
  <c r="C76" i="16"/>
  <c r="C77" i="16"/>
  <c r="C81" i="16"/>
  <c r="C84" i="16"/>
  <c r="C85" i="16"/>
  <c r="C88" i="16"/>
  <c r="C89" i="16"/>
  <c r="C92" i="16"/>
  <c r="C93" i="16"/>
  <c r="C96" i="16"/>
  <c r="C97" i="16"/>
  <c r="C100" i="16"/>
  <c r="C101" i="16"/>
  <c r="C104" i="16"/>
  <c r="C105" i="16"/>
  <c r="B81" i="16"/>
  <c r="B82" i="16"/>
  <c r="C82" i="16" s="1"/>
  <c r="B83" i="16"/>
  <c r="C83" i="16" s="1"/>
  <c r="B84" i="16"/>
  <c r="B85" i="16"/>
  <c r="B86" i="16"/>
  <c r="C86" i="16" s="1"/>
  <c r="B87" i="16"/>
  <c r="C87" i="16" s="1"/>
  <c r="B88" i="16"/>
  <c r="B89" i="16"/>
  <c r="B90" i="16"/>
  <c r="C90" i="16" s="1"/>
  <c r="B91" i="16"/>
  <c r="C91" i="16" s="1"/>
  <c r="B92" i="16"/>
  <c r="B93" i="16"/>
  <c r="B94" i="16"/>
  <c r="C94" i="16" s="1"/>
  <c r="B95" i="16"/>
  <c r="C95" i="16" s="1"/>
  <c r="B96" i="16"/>
  <c r="B97" i="16"/>
  <c r="B98" i="16"/>
  <c r="C98" i="16" s="1"/>
  <c r="B99" i="16"/>
  <c r="C99" i="16" s="1"/>
  <c r="B100" i="16"/>
  <c r="B101" i="16"/>
  <c r="B102" i="16"/>
  <c r="C102" i="16" s="1"/>
  <c r="B103" i="16"/>
  <c r="C103" i="16" s="1"/>
  <c r="B104" i="16"/>
  <c r="B105" i="16"/>
  <c r="B80" i="16"/>
  <c r="C80" i="16" s="1"/>
  <c r="B55" i="16"/>
  <c r="C55" i="16" s="1"/>
  <c r="B56" i="16"/>
  <c r="B57" i="16"/>
  <c r="B58" i="16"/>
  <c r="C58" i="16" s="1"/>
  <c r="B59" i="16"/>
  <c r="C59" i="16" s="1"/>
  <c r="B60" i="16"/>
  <c r="B61" i="16"/>
  <c r="B62" i="16"/>
  <c r="C62" i="16" s="1"/>
  <c r="B63" i="16"/>
  <c r="C63" i="16" s="1"/>
  <c r="B64" i="16"/>
  <c r="B65" i="16"/>
  <c r="B66" i="16"/>
  <c r="C66" i="16" s="1"/>
  <c r="B67" i="16"/>
  <c r="C67" i="16" s="1"/>
  <c r="B68" i="16"/>
  <c r="B69" i="16"/>
  <c r="B70" i="16"/>
  <c r="C70" i="16" s="1"/>
  <c r="B71" i="16"/>
  <c r="C71" i="16" s="1"/>
  <c r="B72" i="16"/>
  <c r="B73" i="16"/>
  <c r="B74" i="16"/>
  <c r="C74" i="16" s="1"/>
  <c r="B75" i="16"/>
  <c r="C75" i="16" s="1"/>
  <c r="B76" i="16"/>
  <c r="B77" i="16"/>
  <c r="B78" i="16"/>
  <c r="C78" i="16" s="1"/>
  <c r="B79" i="16"/>
  <c r="C79" i="16" s="1"/>
  <c r="B54" i="16"/>
  <c r="C54" i="16" s="1"/>
  <c r="B29" i="16"/>
  <c r="B30" i="16"/>
  <c r="C30" i="16" s="1"/>
  <c r="B31" i="16"/>
  <c r="C31" i="16" s="1"/>
  <c r="B32" i="16"/>
  <c r="B33" i="16"/>
  <c r="B34" i="16"/>
  <c r="C34" i="16" s="1"/>
  <c r="B35" i="16"/>
  <c r="C35" i="16" s="1"/>
  <c r="B36" i="16"/>
  <c r="B37" i="16"/>
  <c r="B38" i="16"/>
  <c r="C38" i="16" s="1"/>
  <c r="B39" i="16"/>
  <c r="C39" i="16" s="1"/>
  <c r="B40" i="16"/>
  <c r="B41" i="16"/>
  <c r="B42" i="16"/>
  <c r="C42" i="16" s="1"/>
  <c r="B43" i="16"/>
  <c r="C43" i="16" s="1"/>
  <c r="B44" i="16"/>
  <c r="B45" i="16"/>
  <c r="B46" i="16"/>
  <c r="C46" i="16" s="1"/>
  <c r="B47" i="16"/>
  <c r="C47" i="16" s="1"/>
  <c r="B48" i="16"/>
  <c r="B49" i="16"/>
  <c r="B50" i="16"/>
  <c r="C50" i="16" s="1"/>
  <c r="B51" i="16"/>
  <c r="C51" i="16" s="1"/>
  <c r="B52" i="16"/>
  <c r="B53" i="16"/>
  <c r="B28" i="16"/>
  <c r="C28" i="16" s="1"/>
  <c r="B3" i="16"/>
  <c r="C3" i="16" s="1"/>
  <c r="B4" i="16"/>
  <c r="B5" i="16"/>
  <c r="B6" i="16"/>
  <c r="C6" i="16" s="1"/>
  <c r="B7" i="16"/>
  <c r="C7" i="16" s="1"/>
  <c r="B8" i="16"/>
  <c r="B9" i="16"/>
  <c r="B10" i="16"/>
  <c r="C10" i="16" s="1"/>
  <c r="B11" i="16"/>
  <c r="C11" i="16" s="1"/>
  <c r="B12" i="16"/>
  <c r="B13" i="16"/>
  <c r="B14" i="16"/>
  <c r="C14" i="16" s="1"/>
  <c r="B15" i="16"/>
  <c r="C15" i="16" s="1"/>
  <c r="B16" i="16"/>
  <c r="B17" i="16"/>
  <c r="B18" i="16"/>
  <c r="C18" i="16" s="1"/>
  <c r="B19" i="16"/>
  <c r="C19" i="16" s="1"/>
  <c r="B20" i="16"/>
  <c r="B21" i="16"/>
  <c r="B22" i="16"/>
  <c r="C22" i="16" s="1"/>
  <c r="B23" i="16"/>
  <c r="C23" i="16" s="1"/>
  <c r="B24" i="16"/>
  <c r="B25" i="16"/>
  <c r="B26" i="16"/>
  <c r="C26" i="16" s="1"/>
  <c r="B27" i="16"/>
  <c r="C27" i="16" s="1"/>
  <c r="B2" i="16"/>
  <c r="C2" i="16" s="1"/>
  <c r="B54" i="13"/>
  <c r="C3" i="15"/>
  <c r="C4" i="15"/>
  <c r="C5" i="15"/>
  <c r="C2" i="15"/>
  <c r="B2" i="13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58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32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06" i="14"/>
  <c r="B81" i="14" l="1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80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28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54" i="14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" i="14"/>
  <c r="B29" i="8" l="1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28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" i="8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54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28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" i="6"/>
</calcChain>
</file>

<file path=xl/sharedStrings.xml><?xml version="1.0" encoding="utf-8"?>
<sst xmlns="http://schemas.openxmlformats.org/spreadsheetml/2006/main" count="2622" uniqueCount="201">
  <si>
    <t>Species</t>
  </si>
  <si>
    <t>Notes</t>
  </si>
  <si>
    <t>Rosati et al. (2012)</t>
  </si>
  <si>
    <t>Amphipoda</t>
  </si>
  <si>
    <t>Isopoda</t>
  </si>
  <si>
    <t>Cumacea</t>
  </si>
  <si>
    <t>AFDW mg</t>
  </si>
  <si>
    <t>Mysidacea</t>
  </si>
  <si>
    <t>Natantia</t>
  </si>
  <si>
    <t>Mesopodopsis slabberi</t>
  </si>
  <si>
    <t>Ostracoda</t>
  </si>
  <si>
    <t>Anderson et al (1998)</t>
  </si>
  <si>
    <t>Hargeria rapax</t>
  </si>
  <si>
    <t>Kneib et al. (1992)</t>
  </si>
  <si>
    <t>Tanaidacea</t>
  </si>
  <si>
    <t>Total length</t>
  </si>
  <si>
    <t>AFDW in mg</t>
  </si>
  <si>
    <t>Length</t>
  </si>
  <si>
    <t>Taxa</t>
  </si>
  <si>
    <t>Nematoda</t>
  </si>
  <si>
    <t>Gastropoda</t>
  </si>
  <si>
    <t>Diptera</t>
  </si>
  <si>
    <t>Polychaeta</t>
  </si>
  <si>
    <t>Harpacticoida</t>
  </si>
  <si>
    <t>Bivalvia</t>
  </si>
  <si>
    <t>Dreissena sp.</t>
  </si>
  <si>
    <t>DW migo g</t>
  </si>
  <si>
    <t>AFDW micro g</t>
  </si>
  <si>
    <t>Lasker</t>
  </si>
  <si>
    <t>Goodman</t>
  </si>
  <si>
    <t>Lasker et al. (1970) and Goodman (1980)</t>
  </si>
  <si>
    <t>Length mm</t>
  </si>
  <si>
    <t>log length</t>
  </si>
  <si>
    <t>Formula</t>
  </si>
  <si>
    <t>g</t>
  </si>
  <si>
    <t>mg</t>
  </si>
  <si>
    <t>Afdw mg</t>
  </si>
  <si>
    <t>Macropodia</t>
  </si>
  <si>
    <t>Abundance in all samples</t>
  </si>
  <si>
    <t>Acari</t>
  </si>
  <si>
    <t>Alpheidae</t>
  </si>
  <si>
    <t>Amphiura</t>
  </si>
  <si>
    <t>Asteroidae</t>
  </si>
  <si>
    <t>Caprellidae</t>
  </si>
  <si>
    <t>Decapoda</t>
  </si>
  <si>
    <t>Echinoidea</t>
  </si>
  <si>
    <t>Ethusidae</t>
  </si>
  <si>
    <t>Galathea</t>
  </si>
  <si>
    <t>Holothurioidea</t>
  </si>
  <si>
    <t>Inachidae</t>
  </si>
  <si>
    <t>Majidae</t>
  </si>
  <si>
    <t>Nudibranchia</t>
  </si>
  <si>
    <t>Opisthobranchia</t>
  </si>
  <si>
    <t>Paguridae</t>
  </si>
  <si>
    <t>Pantopoda</t>
  </si>
  <si>
    <t>Pisa</t>
  </si>
  <si>
    <t>Platyhelminthes</t>
  </si>
  <si>
    <t>Polyplacophora</t>
  </si>
  <si>
    <t>Portunidae</t>
  </si>
  <si>
    <t>Sipunculidae</t>
  </si>
  <si>
    <t>Min in mm</t>
  </si>
  <si>
    <t>Max in mm</t>
  </si>
  <si>
    <t>% Abundance</t>
  </si>
  <si>
    <t>a</t>
  </si>
  <si>
    <t>b</t>
  </si>
  <si>
    <t>Based on Taxa</t>
  </si>
  <si>
    <t>Grouped data &amp; Asellopsis intermedia</t>
  </si>
  <si>
    <t xml:space="preserve">Adopted or modifed from </t>
  </si>
  <si>
    <t>Source</t>
  </si>
  <si>
    <t>DW in mg</t>
  </si>
  <si>
    <t>Excel sheet</t>
  </si>
  <si>
    <t>Ecrobia ventrosa &amp; Hydrobia spp.</t>
  </si>
  <si>
    <t>Weight</t>
  </si>
  <si>
    <t xml:space="preserve">Taxa </t>
  </si>
  <si>
    <t>Publication</t>
  </si>
  <si>
    <t>Echinogammarus spp.</t>
  </si>
  <si>
    <t>Gammarus insensibilis</t>
  </si>
  <si>
    <t>Gammerus spp.</t>
  </si>
  <si>
    <t>Elkof el al (2016)</t>
  </si>
  <si>
    <t>Rosati et al. (2012) &amp; Elkof et al (2016)</t>
  </si>
  <si>
    <t>Echinogammarus spp., Gammarus insensibilis &amp; Gammarus spp.</t>
  </si>
  <si>
    <t>Length in mm</t>
  </si>
  <si>
    <t>Ecobia ventrosa</t>
  </si>
  <si>
    <t>Hydrobidae</t>
  </si>
  <si>
    <t>Weight AFDW mg</t>
  </si>
  <si>
    <t>Mytilus edulis</t>
  </si>
  <si>
    <t>Limicola balthica</t>
  </si>
  <si>
    <t>Dreissena sp., Mytilus edulis &amp; Limicola balthica</t>
  </si>
  <si>
    <t>AFDM in mg</t>
  </si>
  <si>
    <t>Cardidae</t>
  </si>
  <si>
    <t>Hediste diversicolor</t>
  </si>
  <si>
    <t>Ficopomatus enigmaticus</t>
  </si>
  <si>
    <t>Nereididae</t>
  </si>
  <si>
    <t>Hediste diversicolor, Ficopomatus enigmaticus &amp; Nereididae</t>
  </si>
  <si>
    <t xml:space="preserve">Length </t>
  </si>
  <si>
    <t>DW in micro g</t>
  </si>
  <si>
    <t>Cyprideis torosa</t>
  </si>
  <si>
    <t>Herman &amp; Heip (1982)</t>
  </si>
  <si>
    <t>Anderson et al (1998) &amp; Herman &amp; Heip (1982)</t>
  </si>
  <si>
    <t> Physocypria pustulosa, Cypridopsis vidua &amp; Cyprideis torosa</t>
  </si>
  <si>
    <t xml:space="preserve"> Cypridopsis vidua</t>
  </si>
  <si>
    <t> Physocypria pustulosa</t>
  </si>
  <si>
    <t>DW mg</t>
  </si>
  <si>
    <t>Caprella cristibrachium, C. kroyeri, C. penantis &amp; C. bispinosa</t>
  </si>
  <si>
    <t>Caprella cristibrachium</t>
  </si>
  <si>
    <t>C. kroyeri</t>
  </si>
  <si>
    <t xml:space="preserve">C. penantis </t>
  </si>
  <si>
    <t xml:space="preserve"> C. bispinosa</t>
  </si>
  <si>
    <t>Vassilenko (1991)</t>
  </si>
  <si>
    <t>Baumgartner &amp;Rothhaupt (2003)</t>
  </si>
  <si>
    <t>Hydracarina</t>
  </si>
  <si>
    <t>ln DM mg</t>
  </si>
  <si>
    <t>DM mg</t>
  </si>
  <si>
    <t>AFDM mg</t>
  </si>
  <si>
    <t>Baumgartner &amp; Rothhaupt 2003</t>
  </si>
  <si>
    <t>Baumgartner &amp; Rothhaupt 2004</t>
  </si>
  <si>
    <t>Baumgartner &amp; Rothhaupt 2005</t>
  </si>
  <si>
    <t>Baumgartner &amp; Rothhaupt 2006</t>
  </si>
  <si>
    <t>Baumgartner &amp; Rothhaupt 2007</t>
  </si>
  <si>
    <t>Baumgartner &amp; Rothhaupt 2008</t>
  </si>
  <si>
    <t>Baumgartner &amp; Rothhaupt 2009</t>
  </si>
  <si>
    <t>Baumgartner &amp; Rothhaupt 2010</t>
  </si>
  <si>
    <t>Baumgartner &amp; Rothhaupt 2011</t>
  </si>
  <si>
    <t>Baumgartner &amp; Rothhaupt 2012</t>
  </si>
  <si>
    <t xml:space="preserve"> Length mm</t>
  </si>
  <si>
    <t>AFDW in mico g</t>
  </si>
  <si>
    <t>Widbom (1984)</t>
  </si>
  <si>
    <t xml:space="preserve">Source </t>
  </si>
  <si>
    <t>Asellus sp.</t>
  </si>
  <si>
    <t>Lekanesphaera hookeri</t>
  </si>
  <si>
    <t>Lekanesphaera monodi</t>
  </si>
  <si>
    <t>Asellus sp., Lekanesphaera hookeri, Lekanesphaeran monodi</t>
  </si>
  <si>
    <t>Ceratopogonidae</t>
  </si>
  <si>
    <t>Chironomus plumosus</t>
  </si>
  <si>
    <t xml:space="preserve">Chironomus sp. </t>
  </si>
  <si>
    <t>Diamesinae</t>
  </si>
  <si>
    <t>Stratiomyidae</t>
  </si>
  <si>
    <t>Tabanidae</t>
  </si>
  <si>
    <t>Tanypodinae</t>
  </si>
  <si>
    <t>Ceratopogonidae, Chironomus plumosus, Chironomus sp., Diamesinae, Stratiomyidae, Tabanidae &amp; Tanypodinae</t>
  </si>
  <si>
    <t>Amphiura chiajei</t>
  </si>
  <si>
    <t>Robinson et al 2010</t>
  </si>
  <si>
    <t>Robinson et al (2010)</t>
  </si>
  <si>
    <t>Processa noveli holthusisi</t>
  </si>
  <si>
    <t>Processa noveli holthuisi</t>
  </si>
  <si>
    <t>Galathea nexa</t>
  </si>
  <si>
    <t>Carapace Length mm</t>
  </si>
  <si>
    <t>Estimated total length mm</t>
  </si>
  <si>
    <t>Galathe nexa</t>
  </si>
  <si>
    <t>Converted Carapace length to total visable length from vertical viewpoint</t>
  </si>
  <si>
    <t>Macropodia rostrata</t>
  </si>
  <si>
    <t>Macropida rostrata</t>
  </si>
  <si>
    <t>Carapace width mm</t>
  </si>
  <si>
    <t>Robinson et al. (2010)</t>
  </si>
  <si>
    <t>Acik (2008)</t>
  </si>
  <si>
    <t>WW in mg</t>
  </si>
  <si>
    <t>Golfingia vulgaris</t>
  </si>
  <si>
    <t>AFDW</t>
  </si>
  <si>
    <t>Phascolosoma agassizii</t>
  </si>
  <si>
    <t>Aspidosiphon misakiensis</t>
  </si>
  <si>
    <t>Golfingia vulgaris, Aspidosiphon misakiensis &amp; Phascolosoma agassizii</t>
  </si>
  <si>
    <t xml:space="preserve">Length  </t>
  </si>
  <si>
    <t>log Weight in g</t>
  </si>
  <si>
    <t>Weight 10-5 g</t>
  </si>
  <si>
    <t>Polycera dubia</t>
  </si>
  <si>
    <t>Alderi modesta</t>
  </si>
  <si>
    <t>Polyerella emertoni</t>
  </si>
  <si>
    <t>Clark et al. (1975)</t>
  </si>
  <si>
    <t>Alderia modesta, Polycera dubia &amp; Polyerella emertoni</t>
  </si>
  <si>
    <t>Leptasterias muelleri</t>
  </si>
  <si>
    <t>Arm length mm</t>
  </si>
  <si>
    <t>Total length diameter</t>
  </si>
  <si>
    <t>Pagurus bernhardus</t>
  </si>
  <si>
    <t>Width of Chela length mm</t>
  </si>
  <si>
    <t>Calocaris macandreae</t>
  </si>
  <si>
    <t>Length of carapace</t>
  </si>
  <si>
    <t>Eurynome aspersa</t>
  </si>
  <si>
    <t>Inachus dosettensis</t>
  </si>
  <si>
    <t>Non found</t>
  </si>
  <si>
    <t xml:space="preserve"> Used conversion of Caprellidae</t>
  </si>
  <si>
    <t>Liocarinus holsatus</t>
  </si>
  <si>
    <t>Liocarcinus holsatus</t>
  </si>
  <si>
    <t>Echinocyamus pusillus</t>
  </si>
  <si>
    <t>Used conversion of Sipunculids</t>
  </si>
  <si>
    <t>Acanthopleura spiniger</t>
  </si>
  <si>
    <t>length mm</t>
  </si>
  <si>
    <t>Weight in g</t>
  </si>
  <si>
    <t>Weight in mg</t>
  </si>
  <si>
    <t>Emam et al. (1992)</t>
  </si>
  <si>
    <t>DW  in mg</t>
  </si>
  <si>
    <t>Azeiteiro et al. (2001)</t>
  </si>
  <si>
    <t>Inachus dorsettensis</t>
  </si>
  <si>
    <t>Used conversion of Nudibranchia</t>
  </si>
  <si>
    <t>Converted Chelae length to total length using body proportions</t>
  </si>
  <si>
    <t>Converted carapace length to total length using body proportions</t>
  </si>
  <si>
    <t>Converted arm length  to total length using body proportions</t>
  </si>
  <si>
    <t>Length mesured</t>
  </si>
  <si>
    <t>Total length mm</t>
  </si>
  <si>
    <t>Disc diameter mm</t>
  </si>
  <si>
    <t>Total length mm (arm tip to opposite arm tip)</t>
  </si>
  <si>
    <t>Width carapace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</si>
</sst>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2" fontId="0" fillId="0" borderId="0" xfId="0" applyNumberFormat="1"/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0" fillId="2" borderId="0" xfId="0" applyNumberFormat="1" applyFill="1"/>
    <xf numFmtId="164" fontId="0" fillId="2" borderId="0" xfId="0" applyNumberFormat="1" applyFill="1"/>
    <xf numFmtId="0" fontId="0" fillId="2" borderId="0" xfId="0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'28 Inachus'!$E$1</c:f>
              <c:strCache>
                <c:ptCount val="1"/>
                <c:pt idx="0">
                  <c:v>Afdw mg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'28 Inachus'!$A$2:$A$29</c:f>
              <c:numCache>
                <c:formatCode>General</c:formatCode>
                <c:ptCount val="28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1</c:v>
                </c:pt>
                <c:pt idx="5">
                  <c:v>1.1000000000000001</c:v>
                </c:pt>
                <c:pt idx="6">
                  <c:v>1.2</c:v>
                </c:pt>
                <c:pt idx="7">
                  <c:v>1.3</c:v>
                </c:pt>
                <c:pt idx="8">
                  <c:v>1.4</c:v>
                </c:pt>
                <c:pt idx="9">
                  <c:v>1.5</c:v>
                </c:pt>
                <c:pt idx="10">
                  <c:v>1.6</c:v>
                </c:pt>
                <c:pt idx="11">
                  <c:v>1.7</c:v>
                </c:pt>
                <c:pt idx="12">
                  <c:v>1.8</c:v>
                </c:pt>
                <c:pt idx="13">
                  <c:v>1.9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</c:numCache>
            </c:numRef>
          </c:xVal>
          <c:yVal>
            <c:numRef>
              <c:f>'28 Inachus'!$E$2:$E$29</c:f>
              <c:numCache>
                <c:formatCode>General</c:formatCode>
                <c:ptCount val="28"/>
                <c:pt idx="0">
                  <c:v>7.2577674405594303E-2</c:v>
                </c:pt>
                <c:pt idx="1">
                  <c:v>0.10737788376620029</c:v>
                </c:pt>
                <c:pt idx="2">
                  <c:v>0.15075522658654694</c:v>
                </c:pt>
                <c:pt idx="3">
                  <c:v>0.20335316553615329</c:v>
                </c:pt>
                <c:pt idx="4">
                  <c:v>0.26577903536649117</c:v>
                </c:pt>
                <c:pt idx="5">
                  <c:v>0.33860980824533415</c:v>
                </c:pt>
                <c:pt idx="6">
                  <c:v>0.42239645729308967</c:v>
                </c:pt>
                <c:pt idx="7">
                  <c:v>0.51766735567345301</c:v>
                </c:pt>
                <c:pt idx="8">
                  <c:v>0.62493098691759841</c:v>
                </c:pt>
                <c:pt idx="9">
                  <c:v>0.74467814817107536</c:v>
                </c:pt>
                <c:pt idx="10">
                  <c:v>0.87738377056162775</c:v>
                </c:pt>
                <c:pt idx="11">
                  <c:v>1.0235084442177516</c:v>
                </c:pt>
                <c:pt idx="12">
                  <c:v>1.183499711244336</c:v>
                </c:pt>
                <c:pt idx="13">
                  <c:v>1.3577931734736186</c:v>
                </c:pt>
                <c:pt idx="14">
                  <c:v>1.546813450293296</c:v>
                </c:pt>
                <c:pt idx="15">
                  <c:v>4.3339692844552662</c:v>
                </c:pt>
                <c:pt idx="16">
                  <c:v>9.0023347654527068</c:v>
                </c:pt>
                <c:pt idx="17">
                  <c:v>15.870971137671734</c:v>
                </c:pt>
                <c:pt idx="18">
                  <c:v>25.223366369395038</c:v>
                </c:pt>
                <c:pt idx="19">
                  <c:v>37.317697548000005</c:v>
                </c:pt>
                <c:pt idx="20">
                  <c:v>52.392892765389277</c:v>
                </c:pt>
                <c:pt idx="21">
                  <c:v>70.67257856775953</c:v>
                </c:pt>
                <c:pt idx="22">
                  <c:v>92.367825743348448</c:v>
                </c:pt>
                <c:pt idx="23">
                  <c:v>117.67915298460349</c:v>
                </c:pt>
                <c:pt idx="24">
                  <c:v>146.79804337484941</c:v>
                </c:pt>
                <c:pt idx="25">
                  <c:v>179.90812569520654</c:v>
                </c:pt>
                <c:pt idx="26">
                  <c:v>217.18611636025653</c:v>
                </c:pt>
                <c:pt idx="27">
                  <c:v>258.80258512601074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8F-4EB1-8A38-524908D63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20584"/>
        <c:axId val="518520912"/>
      </c:scatterChart>
      <c:valAx>
        <c:axId val="518520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20912"/>
        <c:crosses val="autoZero"/>
        <c:crossBetween val="midCat"/>
      </c:valAx>
      <c:valAx>
        <c:axId val="51852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20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'19 Asteroidae'!$F$1</c:f>
              <c:strCache>
                <c:ptCount val="1"/>
                <c:pt idx="0">
                  <c:v>Afdw mg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'19 Asteroidae'!$B$2:$B$33</c:f>
              <c:numCache>
                <c:formatCode>General</c:formatCode>
                <c:ptCount val="32"/>
                <c:pt idx="0">
                  <c:v>0.97058823529411797</c:v>
                </c:pt>
                <c:pt idx="1">
                  <c:v>1.132352941176471</c:v>
                </c:pt>
                <c:pt idx="2">
                  <c:v>1.2941176470588243</c:v>
                </c:pt>
                <c:pt idx="3">
                  <c:v>1.4558823529411771</c:v>
                </c:pt>
                <c:pt idx="4">
                  <c:v>1.6176470588235301</c:v>
                </c:pt>
                <c:pt idx="5">
                  <c:v>1.7794117647058834</c:v>
                </c:pt>
                <c:pt idx="6">
                  <c:v>1.9411764705882359</c:v>
                </c:pt>
                <c:pt idx="7">
                  <c:v>2.1029411764705892</c:v>
                </c:pt>
                <c:pt idx="8">
                  <c:v>2.264705882352942</c:v>
                </c:pt>
                <c:pt idx="9">
                  <c:v>2.4264705882352953</c:v>
                </c:pt>
                <c:pt idx="10">
                  <c:v>2.5882352941176485</c:v>
                </c:pt>
                <c:pt idx="11">
                  <c:v>2.7500000000000009</c:v>
                </c:pt>
                <c:pt idx="12">
                  <c:v>2.9117647058823541</c:v>
                </c:pt>
                <c:pt idx="13">
                  <c:v>3.073529411764707</c:v>
                </c:pt>
                <c:pt idx="14">
                  <c:v>3.2352941176470602</c:v>
                </c:pt>
                <c:pt idx="15">
                  <c:v>4.8529411764705905</c:v>
                </c:pt>
                <c:pt idx="16">
                  <c:v>6.4705882352941204</c:v>
                </c:pt>
                <c:pt idx="17">
                  <c:v>8.0882352941176503</c:v>
                </c:pt>
                <c:pt idx="18">
                  <c:v>9.7058823529411811</c:v>
                </c:pt>
                <c:pt idx="19">
                  <c:v>11.32352941176471</c:v>
                </c:pt>
                <c:pt idx="20">
                  <c:v>12.941176470588241</c:v>
                </c:pt>
                <c:pt idx="21">
                  <c:v>14.558823529411772</c:v>
                </c:pt>
                <c:pt idx="22">
                  <c:v>16.176470588235301</c:v>
                </c:pt>
                <c:pt idx="23">
                  <c:v>17.79411764705883</c:v>
                </c:pt>
                <c:pt idx="24">
                  <c:v>19.411764705882362</c:v>
                </c:pt>
                <c:pt idx="25">
                  <c:v>21.029411764705891</c:v>
                </c:pt>
                <c:pt idx="26">
                  <c:v>22.64705882352942</c:v>
                </c:pt>
                <c:pt idx="27">
                  <c:v>24.264705882352953</c:v>
                </c:pt>
              </c:numCache>
            </c:numRef>
          </c:xVal>
          <c:yVal>
            <c:numRef>
              <c:f>'19 Asteroidae'!$F$2:$F$33</c:f>
              <c:numCache>
                <c:formatCode>General</c:formatCode>
                <c:ptCount val="32"/>
                <c:pt idx="0">
                  <c:v>2.6527951493522581E-2</c:v>
                </c:pt>
                <c:pt idx="1">
                  <c:v>3.7197865898414395E-2</c:v>
                </c:pt>
                <c:pt idx="2">
                  <c:v>4.9853351973301548E-2</c:v>
                </c:pt>
                <c:pt idx="3">
                  <c:v>6.4546373375536856E-2</c:v>
                </c:pt>
                <c:pt idx="4">
                  <c:v>8.1323867232737296E-2</c:v>
                </c:pt>
                <c:pt idx="5">
                  <c:v>0.10022871933369293</c:v>
                </c:pt>
                <c:pt idx="6">
                  <c:v>0.12130047324899877</c:v>
                </c:pt>
                <c:pt idx="7">
                  <c:v>0.14457586330354211</c:v>
                </c:pt>
                <c:pt idx="8">
                  <c:v>0.17008922601627202</c:v>
                </c:pt>
                <c:pt idx="9">
                  <c:v>0.19787282482134172</c:v>
                </c:pt>
                <c:pt idx="10">
                  <c:v>0.22795711115827991</c:v>
                </c:pt>
                <c:pt idx="11">
                  <c:v>0.2603709377565292</c:v>
                </c:pt>
                <c:pt idx="12">
                  <c:v>0.29514173527009596</c:v>
                </c:pt>
                <c:pt idx="13">
                  <c:v>0.33229566031808527</c:v>
                </c:pt>
                <c:pt idx="14">
                  <c:v>0.37185772087145386</c:v>
                </c:pt>
                <c:pt idx="15">
                  <c:v>0.90478404635976695</c:v>
                </c:pt>
                <c:pt idx="16">
                  <c:v>1.7003392641914039</c:v>
                </c:pt>
                <c:pt idx="17">
                  <c:v>2.7736984394903961</c:v>
                </c:pt>
                <c:pt idx="18">
                  <c:v>4.1371733146595222</c:v>
                </c:pt>
                <c:pt idx="19">
                  <c:v>5.8012024861693599</c:v>
                </c:pt>
                <c:pt idx="20">
                  <c:v>7.7748919844275504</c:v>
                </c:pt>
                <c:pt idx="21">
                  <c:v>10.066345814622156</c:v>
                </c:pt>
                <c:pt idx="22">
                  <c:v>12.682884068238243</c:v>
                </c:pt>
                <c:pt idx="23">
                  <c:v>15.631195009200109</c:v>
                </c:pt>
                <c:pt idx="24">
                  <c:v>18.917445664957039</c:v>
                </c:pt>
                <c:pt idx="25">
                  <c:v>22.547364946340689</c:v>
                </c:pt>
                <c:pt idx="26">
                  <c:v>26.526307813757615</c:v>
                </c:pt>
                <c:pt idx="27">
                  <c:v>30.85930591915632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B5-44B9-BB64-CAB76EA1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855560"/>
        <c:axId val="476851296"/>
      </c:scatterChart>
      <c:valAx>
        <c:axId val="476855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851296"/>
        <c:crosses val="autoZero"/>
        <c:crossBetween val="midCat"/>
      </c:valAx>
      <c:valAx>
        <c:axId val="47685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855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'18 Sipunculidae'!$C$1</c:f>
              <c:strCache>
                <c:ptCount val="1"/>
                <c:pt idx="0">
                  <c:v>AFDW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28453149606299211"/>
                  <c:y val="-0.180482283464566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'18 Sipunculidae'!$A$2:$A$79</c:f>
              <c:numCache>
                <c:formatCode>General</c:formatCode>
                <c:ptCount val="78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0.5</c:v>
                </c:pt>
                <c:pt idx="27">
                  <c:v>0.6</c:v>
                </c:pt>
                <c:pt idx="28">
                  <c:v>0.7</c:v>
                </c:pt>
                <c:pt idx="29">
                  <c:v>0.8</c:v>
                </c:pt>
                <c:pt idx="30">
                  <c:v>0.9</c:v>
                </c:pt>
                <c:pt idx="31">
                  <c:v>1</c:v>
                </c:pt>
                <c:pt idx="32">
                  <c:v>1.1000000000000001</c:v>
                </c:pt>
                <c:pt idx="33">
                  <c:v>1.2</c:v>
                </c:pt>
                <c:pt idx="34">
                  <c:v>1.3</c:v>
                </c:pt>
                <c:pt idx="35">
                  <c:v>1.4</c:v>
                </c:pt>
                <c:pt idx="36">
                  <c:v>1.5</c:v>
                </c:pt>
                <c:pt idx="37">
                  <c:v>1.6</c:v>
                </c:pt>
                <c:pt idx="38">
                  <c:v>1.7</c:v>
                </c:pt>
                <c:pt idx="39">
                  <c:v>1.8</c:v>
                </c:pt>
                <c:pt idx="40">
                  <c:v>1.9</c:v>
                </c:pt>
                <c:pt idx="41">
                  <c:v>2</c:v>
                </c:pt>
                <c:pt idx="42">
                  <c:v>2.1</c:v>
                </c:pt>
                <c:pt idx="43">
                  <c:v>2.2000000000000002</c:v>
                </c:pt>
                <c:pt idx="44">
                  <c:v>2.2999999999999998</c:v>
                </c:pt>
                <c:pt idx="45">
                  <c:v>2.4</c:v>
                </c:pt>
                <c:pt idx="46">
                  <c:v>2.5</c:v>
                </c:pt>
                <c:pt idx="47">
                  <c:v>2.6</c:v>
                </c:pt>
                <c:pt idx="48">
                  <c:v>2.7</c:v>
                </c:pt>
                <c:pt idx="49">
                  <c:v>2.8</c:v>
                </c:pt>
                <c:pt idx="50">
                  <c:v>2.9</c:v>
                </c:pt>
                <c:pt idx="51">
                  <c:v>3</c:v>
                </c:pt>
                <c:pt idx="52">
                  <c:v>0.5</c:v>
                </c:pt>
                <c:pt idx="53">
                  <c:v>0.6</c:v>
                </c:pt>
                <c:pt idx="54">
                  <c:v>0.7</c:v>
                </c:pt>
                <c:pt idx="55">
                  <c:v>0.8</c:v>
                </c:pt>
                <c:pt idx="56">
                  <c:v>0.9</c:v>
                </c:pt>
                <c:pt idx="57">
                  <c:v>1</c:v>
                </c:pt>
                <c:pt idx="58">
                  <c:v>1.1000000000000001</c:v>
                </c:pt>
                <c:pt idx="59">
                  <c:v>1.2</c:v>
                </c:pt>
                <c:pt idx="60">
                  <c:v>1.3</c:v>
                </c:pt>
                <c:pt idx="61">
                  <c:v>1.4</c:v>
                </c:pt>
                <c:pt idx="62">
                  <c:v>1.5</c:v>
                </c:pt>
                <c:pt idx="63">
                  <c:v>1.6</c:v>
                </c:pt>
                <c:pt idx="64">
                  <c:v>1.7</c:v>
                </c:pt>
                <c:pt idx="65">
                  <c:v>1.8</c:v>
                </c:pt>
                <c:pt idx="66">
                  <c:v>1.9</c:v>
                </c:pt>
                <c:pt idx="67">
                  <c:v>2</c:v>
                </c:pt>
                <c:pt idx="68">
                  <c:v>2.1</c:v>
                </c:pt>
                <c:pt idx="69">
                  <c:v>2.2000000000000002</c:v>
                </c:pt>
                <c:pt idx="70">
                  <c:v>2.2999999999999998</c:v>
                </c:pt>
                <c:pt idx="71">
                  <c:v>2.4</c:v>
                </c:pt>
                <c:pt idx="72">
                  <c:v>2.5</c:v>
                </c:pt>
                <c:pt idx="73">
                  <c:v>2.6</c:v>
                </c:pt>
                <c:pt idx="74">
                  <c:v>2.7</c:v>
                </c:pt>
                <c:pt idx="75">
                  <c:v>2.8</c:v>
                </c:pt>
                <c:pt idx="76">
                  <c:v>2.9</c:v>
                </c:pt>
                <c:pt idx="77">
                  <c:v>3</c:v>
                </c:pt>
              </c:numCache>
            </c:numRef>
          </c:xVal>
          <c:yVal>
            <c:numRef>
              <c:f>'18 Sipunculidae'!$C$2:$C$79</c:f>
              <c:numCache>
                <c:formatCode>General</c:formatCode>
                <c:ptCount val="78"/>
                <c:pt idx="0">
                  <c:v>6.8337137905124393E-3</c:v>
                </c:pt>
                <c:pt idx="1">
                  <c:v>9.4708992386042818E-3</c:v>
                </c:pt>
                <c:pt idx="2">
                  <c:v>1.2480327144991433E-2</c:v>
                </c:pt>
                <c:pt idx="3">
                  <c:v>1.585008350774077E-2</c:v>
                </c:pt>
                <c:pt idx="4">
                  <c:v>1.9570168720615882E-2</c:v>
                </c:pt>
                <c:pt idx="5">
                  <c:v>2.3632E-2</c:v>
                </c:pt>
                <c:pt idx="6">
                  <c:v>2.8028082322013943E-2</c:v>
                </c:pt>
                <c:pt idx="7">
                  <c:v>3.2751780022954861E-2</c:v>
                </c:pt>
                <c:pt idx="8">
                  <c:v>3.7797152125264688E-2</c:v>
                </c:pt>
                <c:pt idx="9">
                  <c:v>4.3158829902989151E-2</c:v>
                </c:pt>
                <c:pt idx="10">
                  <c:v>4.8831923511599956E-2</c:v>
                </c:pt>
                <c:pt idx="11">
                  <c:v>5.4811949247122654E-2</c:v>
                </c:pt>
                <c:pt idx="12">
                  <c:v>6.1094771836372345E-2</c:v>
                </c:pt>
                <c:pt idx="13">
                  <c:v>6.7676557927796172E-2</c:v>
                </c:pt>
                <c:pt idx="14">
                  <c:v>7.455373809235738E-2</c:v>
                </c:pt>
                <c:pt idx="15">
                  <c:v>8.1722975401069875E-2</c:v>
                </c:pt>
                <c:pt idx="16">
                  <c:v>8.9181139161853384E-2</c:v>
                </c:pt>
                <c:pt idx="17">
                  <c:v>9.6925282758171388E-2</c:v>
                </c:pt>
                <c:pt idx="18">
                  <c:v>0.10495262478784637</c:v>
                </c:pt>
                <c:pt idx="19">
                  <c:v>0.11326053288579856</c:v>
                </c:pt>
                <c:pt idx="20">
                  <c:v>0.12184650975087277</c:v>
                </c:pt>
                <c:pt idx="21">
                  <c:v>0.13070818099879408</c:v>
                </c:pt>
                <c:pt idx="22">
                  <c:v>0.13984328454039044</c:v>
                </c:pt>
                <c:pt idx="23">
                  <c:v>0.14924966124326935</c:v>
                </c:pt>
                <c:pt idx="24">
                  <c:v>0.15892524668087443</c:v>
                </c:pt>
                <c:pt idx="25">
                  <c:v>0.16886806380862429</c:v>
                </c:pt>
                <c:pt idx="26">
                  <c:v>2.9876962447908271E-3</c:v>
                </c:pt>
                <c:pt idx="27">
                  <c:v>4.5857710623367085E-3</c:v>
                </c:pt>
                <c:pt idx="28">
                  <c:v>6.5877532674027996E-3</c:v>
                </c:pt>
                <c:pt idx="29">
                  <c:v>9.0160933676832877E-3</c:v>
                </c:pt>
                <c:pt idx="30">
                  <c:v>1.1891231339249488E-2</c:v>
                </c:pt>
                <c:pt idx="31">
                  <c:v>1.5232000000000001E-2</c:v>
                </c:pt>
                <c:pt idx="32">
                  <c:v>1.9055912113477687E-2</c:v>
                </c:pt>
                <c:pt idx="33">
                  <c:v>2.3379372967817582E-2</c:v>
                </c:pt>
                <c:pt idx="34">
                  <c:v>2.8217842751588028E-2</c:v>
                </c:pt>
                <c:pt idx="35">
                  <c:v>3.3585963748501722E-2</c:v>
                </c:pt>
                <c:pt idx="36">
                  <c:v>3.9497662071938167E-2</c:v>
                </c:pt>
                <c:pt idx="37">
                  <c:v>4.5966230474733812E-2</c:v>
                </c:pt>
                <c:pt idx="38">
                  <c:v>5.3004396770491784E-2</c:v>
                </c:pt>
                <c:pt idx="39">
                  <c:v>6.0624381101409205E-2</c:v>
                </c:pt>
                <c:pt idx="40">
                  <c:v>6.8837944413962238E-2</c:v>
                </c:pt>
                <c:pt idx="41">
                  <c:v>7.7656429901308013E-2</c:v>
                </c:pt>
                <c:pt idx="42">
                  <c:v>8.7090798745974723E-2</c:v>
                </c:pt>
                <c:pt idx="43">
                  <c:v>9.7151661189979394E-2</c:v>
                </c:pt>
                <c:pt idx="44">
                  <c:v>0.10784930373465537</c:v>
                </c:pt>
                <c:pt idx="45">
                  <c:v>0.11919371310477027</c:v>
                </c:pt>
                <c:pt idx="46">
                  <c:v>0.13119459748459372</c:v>
                </c:pt>
                <c:pt idx="47">
                  <c:v>0.14386140543624135</c:v>
                </c:pt>
                <c:pt idx="48">
                  <c:v>0.15720334283507451</c:v>
                </c:pt>
                <c:pt idx="49">
                  <c:v>0.17122938809764943</c:v>
                </c:pt>
                <c:pt idx="50">
                  <c:v>0.18594830593072181</c:v>
                </c:pt>
                <c:pt idx="51">
                  <c:v>0.20136865979221502</c:v>
                </c:pt>
                <c:pt idx="52">
                  <c:v>7.8410710737702332E-4</c:v>
                </c:pt>
                <c:pt idx="53">
                  <c:v>1.2482097421094344E-3</c:v>
                </c:pt>
                <c:pt idx="54">
                  <c:v>1.8492766302935452E-3</c:v>
                </c:pt>
                <c:pt idx="55">
                  <c:v>2.5994492694962918E-3</c:v>
                </c:pt>
                <c:pt idx="56">
                  <c:v>3.5101063778202064E-3</c:v>
                </c:pt>
                <c:pt idx="57">
                  <c:v>4.5920000000000006E-3</c:v>
                </c:pt>
                <c:pt idx="58">
                  <c:v>5.8553549436020464E-3</c:v>
                </c:pt>
                <c:pt idx="59">
                  <c:v>7.3099441158496021E-3</c:v>
                </c:pt>
                <c:pt idx="60">
                  <c:v>8.9651472634576096E-3</c:v>
                </c:pt>
                <c:pt idx="61">
                  <c:v>1.0829997849037223E-2</c:v>
                </c:pt>
                <c:pt idx="62">
                  <c:v>1.291322118645765E-2</c:v>
                </c:pt>
                <c:pt idx="63">
                  <c:v>1.5223265971223306E-2</c:v>
                </c:pt>
                <c:pt idx="64">
                  <c:v>1.7768330712352811E-2</c:v>
                </c:pt>
                <c:pt idx="65">
                  <c:v>2.0556386156056299E-2</c:v>
                </c:pt>
                <c:pt idx="66">
                  <c:v>2.3595194508036918E-2</c:v>
                </c:pt>
                <c:pt idx="67">
                  <c:v>2.6892326063129243E-2</c:v>
                </c:pt>
                <c:pt idx="68">
                  <c:v>3.045517370938116E-2</c:v>
                </c:pt>
                <c:pt idx="69">
                  <c:v>3.4290965670449043E-2</c:v>
                </c:pt>
                <c:pt idx="70">
                  <c:v>3.8406776773578004E-2</c:v>
                </c:pt>
                <c:pt idx="71">
                  <c:v>4.2809538472709172E-2</c:v>
                </c:pt>
                <c:pt idx="72">
                  <c:v>4.7506047812127035E-2</c:v>
                </c:pt>
                <c:pt idx="73">
                  <c:v>5.2502975481897411E-2</c:v>
                </c:pt>
                <c:pt idx="74">
                  <c:v>5.780687308958863E-2</c:v>
                </c:pt>
                <c:pt idx="75">
                  <c:v>6.3424179751589149E-2</c:v>
                </c:pt>
                <c:pt idx="76">
                  <c:v>6.9361228090408705E-2</c:v>
                </c:pt>
                <c:pt idx="77">
                  <c:v>7.5624249710698588E-2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57-4E94-AEDD-C1D07A0AE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278848"/>
        <c:axId val="536273928"/>
      </c:scatterChart>
      <c:valAx>
        <c:axId val="53627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273928"/>
        <c:crosses val="autoZero"/>
        <c:crossBetween val="midCat"/>
      </c:valAx>
      <c:valAx>
        <c:axId val="53627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278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'17 Nudibranchia'!$E$1</c:f>
              <c:strCache>
                <c:ptCount val="1"/>
                <c:pt idx="0">
                  <c:v>AFDW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1194466316710411"/>
                  <c:y val="-0.1171154126567512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'17 Nudibranchia'!$A$2:$A$79</c:f>
              <c:numCache>
                <c:formatCode>General</c:formatCode>
                <c:ptCount val="78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0.5</c:v>
                </c:pt>
                <c:pt idx="27">
                  <c:v>0.6</c:v>
                </c:pt>
                <c:pt idx="28">
                  <c:v>0.7</c:v>
                </c:pt>
                <c:pt idx="29">
                  <c:v>0.8</c:v>
                </c:pt>
                <c:pt idx="30">
                  <c:v>0.9</c:v>
                </c:pt>
                <c:pt idx="31">
                  <c:v>1</c:v>
                </c:pt>
                <c:pt idx="32">
                  <c:v>1.1000000000000001</c:v>
                </c:pt>
                <c:pt idx="33">
                  <c:v>1.2</c:v>
                </c:pt>
                <c:pt idx="34">
                  <c:v>1.3</c:v>
                </c:pt>
                <c:pt idx="35">
                  <c:v>1.4</c:v>
                </c:pt>
                <c:pt idx="36">
                  <c:v>1.5</c:v>
                </c:pt>
                <c:pt idx="37">
                  <c:v>1.6</c:v>
                </c:pt>
                <c:pt idx="38">
                  <c:v>1.7</c:v>
                </c:pt>
                <c:pt idx="39">
                  <c:v>1.8</c:v>
                </c:pt>
                <c:pt idx="40">
                  <c:v>1.9</c:v>
                </c:pt>
                <c:pt idx="41">
                  <c:v>2</c:v>
                </c:pt>
                <c:pt idx="42">
                  <c:v>2.1</c:v>
                </c:pt>
                <c:pt idx="43">
                  <c:v>2.2000000000000002</c:v>
                </c:pt>
                <c:pt idx="44">
                  <c:v>2.2999999999999998</c:v>
                </c:pt>
                <c:pt idx="45">
                  <c:v>2.4</c:v>
                </c:pt>
                <c:pt idx="46">
                  <c:v>2.5</c:v>
                </c:pt>
                <c:pt idx="47">
                  <c:v>2.6</c:v>
                </c:pt>
                <c:pt idx="48">
                  <c:v>2.7</c:v>
                </c:pt>
                <c:pt idx="49">
                  <c:v>2.8</c:v>
                </c:pt>
                <c:pt idx="50">
                  <c:v>2.9</c:v>
                </c:pt>
                <c:pt idx="51">
                  <c:v>3</c:v>
                </c:pt>
                <c:pt idx="52">
                  <c:v>0.5</c:v>
                </c:pt>
                <c:pt idx="53">
                  <c:v>0.6</c:v>
                </c:pt>
                <c:pt idx="54">
                  <c:v>0.7</c:v>
                </c:pt>
                <c:pt idx="55">
                  <c:v>0.8</c:v>
                </c:pt>
                <c:pt idx="56">
                  <c:v>0.9</c:v>
                </c:pt>
                <c:pt idx="57">
                  <c:v>1</c:v>
                </c:pt>
                <c:pt idx="58">
                  <c:v>1.1000000000000001</c:v>
                </c:pt>
                <c:pt idx="59">
                  <c:v>1.2</c:v>
                </c:pt>
                <c:pt idx="60">
                  <c:v>1.3</c:v>
                </c:pt>
                <c:pt idx="61">
                  <c:v>1.4</c:v>
                </c:pt>
                <c:pt idx="62">
                  <c:v>1.5</c:v>
                </c:pt>
                <c:pt idx="63">
                  <c:v>1.6</c:v>
                </c:pt>
                <c:pt idx="64">
                  <c:v>1.7</c:v>
                </c:pt>
                <c:pt idx="65">
                  <c:v>1.8</c:v>
                </c:pt>
                <c:pt idx="66">
                  <c:v>1.9</c:v>
                </c:pt>
                <c:pt idx="67">
                  <c:v>2</c:v>
                </c:pt>
                <c:pt idx="68">
                  <c:v>2.1</c:v>
                </c:pt>
                <c:pt idx="69">
                  <c:v>2.2000000000000002</c:v>
                </c:pt>
                <c:pt idx="70">
                  <c:v>2.2999999999999998</c:v>
                </c:pt>
                <c:pt idx="71">
                  <c:v>2.4</c:v>
                </c:pt>
                <c:pt idx="72">
                  <c:v>2.5</c:v>
                </c:pt>
                <c:pt idx="73">
                  <c:v>2.6</c:v>
                </c:pt>
                <c:pt idx="74">
                  <c:v>2.7</c:v>
                </c:pt>
                <c:pt idx="75">
                  <c:v>2.8</c:v>
                </c:pt>
                <c:pt idx="76">
                  <c:v>2.9</c:v>
                </c:pt>
                <c:pt idx="77">
                  <c:v>3</c:v>
                </c:pt>
              </c:numCache>
            </c:numRef>
          </c:xVal>
          <c:yVal>
            <c:numRef>
              <c:f>'17 Nudibranchia'!$E$2:$E$79</c:f>
              <c:numCache>
                <c:formatCode>General</c:formatCode>
                <c:ptCount val="78"/>
                <c:pt idx="0">
                  <c:v>8.355174853010067E-3</c:v>
                </c:pt>
                <c:pt idx="1">
                  <c:v>1.4760867588500339E-2</c:v>
                </c:pt>
                <c:pt idx="2">
                  <c:v>2.3882489396275998E-2</c:v>
                </c:pt>
                <c:pt idx="3">
                  <c:v>3.6232279416849755E-2</c:v>
                </c:pt>
                <c:pt idx="4">
                  <c:v>5.2331494839222191E-2</c:v>
                </c:pt>
                <c:pt idx="5">
                  <c:v>7.2709401782009131E-2</c:v>
                </c:pt>
                <c:pt idx="6">
                  <c:v>9.7902481295340932E-2</c:v>
                </c:pt>
                <c:pt idx="7">
                  <c:v>0.12845378714685463</c:v>
                </c:pt>
                <c:pt idx="8">
                  <c:v>0.16491241491764877</c:v>
                </c:pt>
                <c:pt idx="9">
                  <c:v>0.20783305527625362</c:v>
                </c:pt>
                <c:pt idx="10">
                  <c:v>0.25777561253123604</c:v>
                </c:pt>
                <c:pt idx="11">
                  <c:v>0.31530487487627618</c:v>
                </c:pt>
                <c:pt idx="12">
                  <c:v>0.38099022630016249</c:v>
                </c:pt>
                <c:pt idx="13">
                  <c:v>0.45540539259299195</c:v>
                </c:pt>
                <c:pt idx="14">
                  <c:v>0.53912821562455082</c:v>
                </c:pt>
                <c:pt idx="15">
                  <c:v>0.63274045133753776</c:v>
                </c:pt>
                <c:pt idx="16">
                  <c:v>0.73682758783652469</c:v>
                </c:pt>
                <c:pt idx="17">
                  <c:v>0.85197868066089133</c:v>
                </c:pt>
                <c:pt idx="18">
                  <c:v>0.97878620287160378</c:v>
                </c:pt>
                <c:pt idx="19">
                  <c:v>1.1178459080023384</c:v>
                </c:pt>
                <c:pt idx="20">
                  <c:v>1.2697567042562532</c:v>
                </c:pt>
                <c:pt idx="21">
                  <c:v>1.4351205385927894</c:v>
                </c:pt>
                <c:pt idx="22">
                  <c:v>1.6145422895603232</c:v>
                </c:pt>
                <c:pt idx="23">
                  <c:v>1.8086296679021077</c:v>
                </c:pt>
                <c:pt idx="24">
                  <c:v>2.0179931241031941</c:v>
                </c:pt>
                <c:pt idx="25">
                  <c:v>2.243245762161977</c:v>
                </c:pt>
                <c:pt idx="26">
                  <c:v>6.6103962012800492E-3</c:v>
                </c:pt>
                <c:pt idx="27">
                  <c:v>9.5241784945780204E-3</c:v>
                </c:pt>
                <c:pt idx="28">
                  <c:v>1.2969461540493004E-2</c:v>
                </c:pt>
                <c:pt idx="29">
                  <c:v>1.6946492175747837E-2</c:v>
                </c:pt>
                <c:pt idx="30">
                  <c:v>2.1455484096815223E-2</c:v>
                </c:pt>
                <c:pt idx="31">
                  <c:v>2.6496625742364079E-2</c:v>
                </c:pt>
                <c:pt idx="32">
                  <c:v>3.2070085654310299E-2</c:v>
                </c:pt>
                <c:pt idx="33">
                  <c:v>3.8176016291646665E-2</c:v>
                </c:pt>
                <c:pt idx="34">
                  <c:v>4.4814556841319401E-2</c:v>
                </c:pt>
                <c:pt idx="35">
                  <c:v>5.1985835350063209E-2</c:v>
                </c:pt>
                <c:pt idx="36">
                  <c:v>5.9689970379933059E-2</c:v>
                </c:pt>
                <c:pt idx="37">
                  <c:v>6.7927072319771339E-2</c:v>
                </c:pt>
                <c:pt idx="38">
                  <c:v>7.6697244441884999E-2</c:v>
                </c:pt>
                <c:pt idx="39">
                  <c:v>8.60005837659885E-2</c:v>
                </c:pt>
                <c:pt idx="40">
                  <c:v>9.5837181774642552E-2</c:v>
                </c:pt>
                <c:pt idx="41">
                  <c:v>0.10620712501241007</c:v>
                </c:pt>
                <c:pt idx="42">
                  <c:v>0.1171104955926547</c:v>
                </c:pt>
                <c:pt idx="43">
                  <c:v>0.12854737163005031</c:v>
                </c:pt>
                <c:pt idx="44">
                  <c:v>0.14051782761265535</c:v>
                </c:pt>
                <c:pt idx="45">
                  <c:v>0.15302193472431799</c:v>
                </c:pt>
                <c:pt idx="46">
                  <c:v>0.16605976112588153</c:v>
                </c:pt>
                <c:pt idx="47">
                  <c:v>0.17963137220192718</c:v>
                </c:pt>
                <c:pt idx="48">
                  <c:v>0.19373683077846884</c:v>
                </c:pt>
                <c:pt idx="49">
                  <c:v>0.20837619731598733</c:v>
                </c:pt>
                <c:pt idx="50">
                  <c:v>0.22354953008139972</c:v>
                </c:pt>
                <c:pt idx="51">
                  <c:v>0.23925688530191638</c:v>
                </c:pt>
                <c:pt idx="52">
                  <c:v>1.2473265792397794E-2</c:v>
                </c:pt>
                <c:pt idx="53">
                  <c:v>1.6267600480289222E-2</c:v>
                </c:pt>
                <c:pt idx="54">
                  <c:v>2.0363146529711239E-2</c:v>
                </c:pt>
                <c:pt idx="55">
                  <c:v>2.4735560486096896E-2</c:v>
                </c:pt>
                <c:pt idx="56">
                  <c:v>2.9365380664636877E-2</c:v>
                </c:pt>
                <c:pt idx="57">
                  <c:v>3.4236595480109391E-2</c:v>
                </c:pt>
                <c:pt idx="58">
                  <c:v>3.9335737396482093E-2</c:v>
                </c:pt>
                <c:pt idx="59">
                  <c:v>4.4651277888677995E-2</c:v>
                </c:pt>
                <c:pt idx="60">
                  <c:v>5.0173206006170458E-2</c:v>
                </c:pt>
                <c:pt idx="61">
                  <c:v>5.5892724651536344E-2</c:v>
                </c:pt>
                <c:pt idx="62">
                  <c:v>6.1802025452540744E-2</c:v>
                </c:pt>
                <c:pt idx="63">
                  <c:v>6.789411790233979E-2</c:v>
                </c:pt>
                <c:pt idx="64">
                  <c:v>7.4162697049718382E-2</c:v>
                </c:pt>
                <c:pt idx="65">
                  <c:v>8.0602039246798735E-2</c:v>
                </c:pt>
                <c:pt idx="66">
                  <c:v>8.7206918751307275E-2</c:v>
                </c:pt>
                <c:pt idx="67">
                  <c:v>9.3972540117203796E-2</c:v>
                </c:pt>
                <c:pt idx="68">
                  <c:v>0.10089448273362796</c:v>
                </c:pt>
                <c:pt idx="69">
                  <c:v>0.10796865484707054</c:v>
                </c:pt>
                <c:pt idx="70">
                  <c:v>0.11519125508246569</c:v>
                </c:pt>
                <c:pt idx="71">
                  <c:v>0.12255873996338142</c:v>
                </c:pt>
                <c:pt idx="72">
                  <c:v>0.13006779628217449</c:v>
                </c:pt>
                <c:pt idx="73">
                  <c:v>0.13771531742876775</c:v>
                </c:pt>
                <c:pt idx="74">
                  <c:v>0.14549838297886239</c:v>
                </c:pt>
                <c:pt idx="75">
                  <c:v>0.15341424098747861</c:v>
                </c:pt>
                <c:pt idx="76">
                  <c:v>0.16146029254453281</c:v>
                </c:pt>
                <c:pt idx="77">
                  <c:v>0.1696340782347199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50-42E3-A61D-7A6EEEB2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736920"/>
        <c:axId val="362306296"/>
      </c:scatterChart>
      <c:valAx>
        <c:axId val="315736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306296"/>
        <c:crosses val="autoZero"/>
        <c:crossBetween val="midCat"/>
      </c:valAx>
      <c:valAx>
        <c:axId val="36230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736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'16 Galathea'!$F$1</c:f>
              <c:strCache>
                <c:ptCount val="1"/>
                <c:pt idx="0">
                  <c:v>Afdw mg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'16 Galathea'!$B$2:$B$32</c:f>
              <c:numCache>
                <c:formatCode>General</c:formatCode>
                <c:ptCount val="31"/>
                <c:pt idx="0">
                  <c:v>0.76800000000000002</c:v>
                </c:pt>
                <c:pt idx="1">
                  <c:v>0.89599999999999991</c:v>
                </c:pt>
                <c:pt idx="2">
                  <c:v>1.024</c:v>
                </c:pt>
                <c:pt idx="3">
                  <c:v>1.1520000000000001</c:v>
                </c:pt>
                <c:pt idx="4">
                  <c:v>1.28</c:v>
                </c:pt>
                <c:pt idx="5">
                  <c:v>1.4080000000000001</c:v>
                </c:pt>
                <c:pt idx="6">
                  <c:v>1.536</c:v>
                </c:pt>
                <c:pt idx="7">
                  <c:v>1.6640000000000001</c:v>
                </c:pt>
                <c:pt idx="8">
                  <c:v>1.7919999999999998</c:v>
                </c:pt>
                <c:pt idx="9">
                  <c:v>1.92</c:v>
                </c:pt>
                <c:pt idx="10">
                  <c:v>2.048</c:v>
                </c:pt>
                <c:pt idx="11">
                  <c:v>2.1760000000000002</c:v>
                </c:pt>
                <c:pt idx="12">
                  <c:v>2.3040000000000003</c:v>
                </c:pt>
                <c:pt idx="13">
                  <c:v>2.4319999999999999</c:v>
                </c:pt>
                <c:pt idx="14">
                  <c:v>2.56</c:v>
                </c:pt>
                <c:pt idx="15">
                  <c:v>3.84</c:v>
                </c:pt>
                <c:pt idx="16">
                  <c:v>5.12</c:v>
                </c:pt>
                <c:pt idx="17">
                  <c:v>6.4</c:v>
                </c:pt>
                <c:pt idx="18">
                  <c:v>7.68</c:v>
                </c:pt>
                <c:pt idx="19">
                  <c:v>8.9600000000000009</c:v>
                </c:pt>
                <c:pt idx="20">
                  <c:v>10.24</c:v>
                </c:pt>
                <c:pt idx="21">
                  <c:v>11.52</c:v>
                </c:pt>
                <c:pt idx="22">
                  <c:v>12.8</c:v>
                </c:pt>
                <c:pt idx="23">
                  <c:v>14.08</c:v>
                </c:pt>
                <c:pt idx="24">
                  <c:v>15.36</c:v>
                </c:pt>
                <c:pt idx="25">
                  <c:v>16.64</c:v>
                </c:pt>
                <c:pt idx="26">
                  <c:v>17.920000000000002</c:v>
                </c:pt>
                <c:pt idx="27">
                  <c:v>19.2</c:v>
                </c:pt>
              </c:numCache>
            </c:numRef>
          </c:xVal>
          <c:yVal>
            <c:numRef>
              <c:f>'16 Galathea'!$F$2:$F$32</c:f>
              <c:numCache>
                <c:formatCode>General</c:formatCode>
                <c:ptCount val="31"/>
                <c:pt idx="0">
                  <c:v>4.4149856389273517E-2</c:v>
                </c:pt>
                <c:pt idx="1">
                  <c:v>6.6733928462361217E-2</c:v>
                </c:pt>
                <c:pt idx="2">
                  <c:v>9.5447621248853018E-2</c:v>
                </c:pt>
                <c:pt idx="3">
                  <c:v>0.13087414863377325</c:v>
                </c:pt>
                <c:pt idx="4">
                  <c:v>0.17357370918083156</c:v>
                </c:pt>
                <c:pt idx="5">
                  <c:v>0.22408683384287628</c:v>
                </c:pt>
                <c:pt idx="6">
                  <c:v>0.28293696042683852</c:v>
                </c:pt>
                <c:pt idx="7">
                  <c:v>0.35063246784588054</c:v>
                </c:pt>
                <c:pt idx="8">
                  <c:v>0.42766831923534659</c:v>
                </c:pt>
                <c:pt idx="9">
                  <c:v>0.51452741349723963</c:v>
                </c:pt>
                <c:pt idx="10">
                  <c:v>0.61168171416031425</c:v>
                </c:pt>
                <c:pt idx="11">
                  <c:v>0.71959320464541354</c:v>
                </c:pt>
                <c:pt idx="12">
                  <c:v>0.83871470580562246</c:v>
                </c:pt>
                <c:pt idx="13">
                  <c:v>0.96949058252222398</c:v>
                </c:pt>
                <c:pt idx="14">
                  <c:v>1.1123573597301242</c:v>
                </c:pt>
                <c:pt idx="15">
                  <c:v>3.2973792971739075</c:v>
                </c:pt>
                <c:pt idx="16">
                  <c:v>7.1286077919594053</c:v>
                </c:pt>
                <c:pt idx="17">
                  <c:v>12.963538321397829</c:v>
                </c:pt>
                <c:pt idx="18">
                  <c:v>21.131449839629266</c:v>
                </c:pt>
                <c:pt idx="19">
                  <c:v>31.940866340992315</c:v>
                </c:pt>
                <c:pt idx="20">
                  <c:v>45.684103770314771</c:v>
                </c:pt>
                <c:pt idx="21">
                  <c:v>62.640305843229669</c:v>
                </c:pt>
                <c:pt idx="22">
                  <c:v>83.077600450004283</c:v>
                </c:pt>
                <c:pt idx="23">
                  <c:v>107.2547019705037</c:v>
                </c:pt>
                <c:pt idx="24">
                  <c:v>135.42214349058446</c:v>
                </c:pt>
                <c:pt idx="25">
                  <c:v>167.82325045638831</c:v>
                </c:pt>
                <c:pt idx="26">
                  <c:v>204.6949271190814</c:v>
                </c:pt>
                <c:pt idx="27">
                  <c:v>246.26830342471234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33-4F54-ADA6-99F9F1471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223568"/>
        <c:axId val="538220944"/>
      </c:scatterChart>
      <c:valAx>
        <c:axId val="538223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220944"/>
        <c:crosses val="autoZero"/>
        <c:crossBetween val="midCat"/>
      </c:valAx>
      <c:valAx>
        <c:axId val="53822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223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'15 Natantia'!$F$1</c:f>
              <c:strCache>
                <c:ptCount val="1"/>
                <c:pt idx="0">
                  <c:v>Afdw mg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'15 Natantia'!$A$2:$A$29</c:f>
              <c:numCache>
                <c:formatCode>General</c:formatCode>
                <c:ptCount val="28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1</c:v>
                </c:pt>
                <c:pt idx="5">
                  <c:v>1.1000000000000001</c:v>
                </c:pt>
                <c:pt idx="6">
                  <c:v>1.2</c:v>
                </c:pt>
                <c:pt idx="7">
                  <c:v>1.3</c:v>
                </c:pt>
                <c:pt idx="8">
                  <c:v>1.4</c:v>
                </c:pt>
                <c:pt idx="9">
                  <c:v>1.5</c:v>
                </c:pt>
                <c:pt idx="10">
                  <c:v>1.6</c:v>
                </c:pt>
                <c:pt idx="11">
                  <c:v>1.7</c:v>
                </c:pt>
                <c:pt idx="12">
                  <c:v>1.8</c:v>
                </c:pt>
                <c:pt idx="13">
                  <c:v>1.9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</c:numCache>
            </c:numRef>
          </c:xVal>
          <c:yVal>
            <c:numRef>
              <c:f>'15 Natantia'!$F$2:$F$29</c:f>
              <c:numCache>
                <c:formatCode>General</c:formatCode>
                <c:ptCount val="28"/>
                <c:pt idx="0">
                  <c:v>3.3544141904266831E-4</c:v>
                </c:pt>
                <c:pt idx="1">
                  <c:v>5.3538512362259912E-4</c:v>
                </c:pt>
                <c:pt idx="2">
                  <c:v>8.0270482733528828E-4</c:v>
                </c:pt>
                <c:pt idx="3">
                  <c:v>1.1473646766526635E-3</c:v>
                </c:pt>
                <c:pt idx="4">
                  <c:v>1.5793702176364914E-3</c:v>
                </c:pt>
                <c:pt idx="5">
                  <c:v>2.1087639001119958E-3</c:v>
                </c:pt>
                <c:pt idx="6">
                  <c:v>2.7456214777875436E-3</c:v>
                </c:pt>
                <c:pt idx="7">
                  <c:v>3.5000490590742892E-3</c:v>
                </c:pt>
                <c:pt idx="8">
                  <c:v>4.3821806457334583E-3</c:v>
                </c:pt>
                <c:pt idx="9">
                  <c:v>5.4021760468489794E-3</c:v>
                </c:pt>
                <c:pt idx="10">
                  <c:v>6.5702190878675288E-3</c:v>
                </c:pt>
                <c:pt idx="11">
                  <c:v>7.8965160558844248E-3</c:v>
                </c:pt>
                <c:pt idx="12">
                  <c:v>9.3912943370645513E-3</c:v>
                </c:pt>
                <c:pt idx="13">
                  <c:v>1.1064801212459969E-2</c:v>
                </c:pt>
                <c:pt idx="14">
                  <c:v>1.2927302785972157E-2</c:v>
                </c:pt>
                <c:pt idx="15">
                  <c:v>4.4217349853064178E-2</c:v>
                </c:pt>
                <c:pt idx="16">
                  <c:v>0.10581126290344343</c:v>
                </c:pt>
                <c:pt idx="17">
                  <c:v>0.20819004898098076</c:v>
                </c:pt>
                <c:pt idx="18">
                  <c:v>0.36192341957620999</c:v>
                </c:pt>
                <c:pt idx="19">
                  <c:v>0.57765202426321538</c:v>
                </c:pt>
                <c:pt idx="20">
                  <c:v>0.86607574237147034</c:v>
                </c:pt>
                <c:pt idx="21">
                  <c:v>1.2379453570766772</c:v>
                </c:pt>
                <c:pt idx="22">
                  <c:v>1.7040563195063034</c:v>
                </c:pt>
                <c:pt idx="23">
                  <c:v>2.2752438979824321</c:v>
                </c:pt>
                <c:pt idx="24">
                  <c:v>2.9623792939426963</c:v>
                </c:pt>
                <c:pt idx="25">
                  <c:v>3.7763664599318014</c:v>
                </c:pt>
                <c:pt idx="26">
                  <c:v>4.7281394439331077</c:v>
                </c:pt>
                <c:pt idx="27">
                  <c:v>5.8286601386562102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AC-4A5B-9486-72FC83692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343360"/>
        <c:axId val="546101384"/>
      </c:scatterChart>
      <c:valAx>
        <c:axId val="27134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101384"/>
        <c:crosses val="autoZero"/>
        <c:crossBetween val="midCat"/>
      </c:valAx>
      <c:valAx>
        <c:axId val="54610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343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'14 Cumacea'!$B$1</c:f>
              <c:strCache>
                <c:ptCount val="1"/>
                <c:pt idx="0">
                  <c:v>AFDW in mg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'14 Cumacea'!$A$2:$A$27</c:f>
              <c:numCache>
                <c:formatCode>General</c:formatCode>
                <c:ptCount val="26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</c:numCache>
            </c:numRef>
          </c:xVal>
          <c:yVal>
            <c:numRef>
              <c:f>'14 Cumacea'!$B$2:$B$27</c:f>
              <c:numCache>
                <c:formatCode>General</c:formatCode>
                <c:ptCount val="26"/>
                <c:pt idx="0">
                  <c:v>4.1108354337460819E-4</c:v>
                </c:pt>
                <c:pt idx="1">
                  <c:v>6.3907040599429183E-4</c:v>
                </c:pt>
                <c:pt idx="2">
                  <c:v>9.2802555954000577E-4</c:v>
                </c:pt>
                <c:pt idx="3">
                  <c:v>1.2820366755772878E-3</c:v>
                </c:pt>
                <c:pt idx="4">
                  <c:v>1.7048632674442604E-3</c:v>
                </c:pt>
                <c:pt idx="5">
                  <c:v>2.2000000000000001E-3</c:v>
                </c:pt>
                <c:pt idx="6">
                  <c:v>2.7707221646785804E-3</c:v>
                </c:pt>
                <c:pt idx="7">
                  <c:v>3.4201196225124427E-3</c:v>
                </c:pt>
                <c:pt idx="8">
                  <c:v>4.1511229183456748E-3</c:v>
                </c:pt>
                <c:pt idx="9">
                  <c:v>4.9665238706174944E-3</c:v>
                </c:pt>
                <c:pt idx="10">
                  <c:v>5.8689921379505615E-3</c:v>
                </c:pt>
                <c:pt idx="11">
                  <c:v>6.8610887780049456E-3</c:v>
                </c:pt>
                <c:pt idx="12">
                  <c:v>7.9452775073776665E-3</c:v>
                </c:pt>
                <c:pt idx="13">
                  <c:v>9.1239341706254411E-3</c:v>
                </c:pt>
                <c:pt idx="14">
                  <c:v>1.0399354791058029E-2</c:v>
                </c:pt>
                <c:pt idx="15">
                  <c:v>1.1773762482117785E-2</c:v>
                </c:pt>
                <c:pt idx="16">
                  <c:v>1.3249313431635393E-2</c:v>
                </c:pt>
                <c:pt idx="17">
                  <c:v>1.4828102123120386E-2</c:v>
                </c:pt>
                <c:pt idx="18">
                  <c:v>1.6512165922789604E-2</c:v>
                </c:pt>
                <c:pt idx="19">
                  <c:v>1.8303489134496295E-2</c:v>
                </c:pt>
                <c:pt idx="20">
                  <c:v>2.0204006604565825E-2</c:v>
                </c:pt>
                <c:pt idx="21">
                  <c:v>2.221560694303527E-2</c:v>
                </c:pt>
                <c:pt idx="22">
                  <c:v>2.434013541571781E-2</c:v>
                </c:pt>
                <c:pt idx="23">
                  <c:v>2.6579396552008475E-2</c:v>
                </c:pt>
                <c:pt idx="24">
                  <c:v>2.8935156505791541E-2</c:v>
                </c:pt>
                <c:pt idx="25">
                  <c:v>3.1409145200748452E-2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25-4E4B-BD50-02DE400FD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879536"/>
        <c:axId val="376878224"/>
      </c:scatterChart>
      <c:valAx>
        <c:axId val="376879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878224"/>
        <c:crosses val="autoZero"/>
        <c:crossBetween val="midCat"/>
      </c:valAx>
      <c:valAx>
        <c:axId val="37687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879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'13 Amphiura'!$F$1</c:f>
              <c:strCache>
                <c:ptCount val="1"/>
                <c:pt idx="0">
                  <c:v>Afdw mg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30316819772528442"/>
                  <c:y val="1.347222222222222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'13 Amphiura'!$A$2:$A$30</c:f>
              <c:numCache>
                <c:formatCode>General</c:formatCode>
                <c:ptCount val="29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1</c:v>
                </c:pt>
                <c:pt idx="5">
                  <c:v>1.1000000000000001</c:v>
                </c:pt>
                <c:pt idx="6">
                  <c:v>1.2</c:v>
                </c:pt>
                <c:pt idx="7">
                  <c:v>1.3</c:v>
                </c:pt>
                <c:pt idx="8">
                  <c:v>1.4</c:v>
                </c:pt>
                <c:pt idx="9">
                  <c:v>1.5</c:v>
                </c:pt>
                <c:pt idx="10">
                  <c:v>1.6</c:v>
                </c:pt>
                <c:pt idx="11">
                  <c:v>1.7</c:v>
                </c:pt>
                <c:pt idx="12">
                  <c:v>1.8</c:v>
                </c:pt>
                <c:pt idx="13">
                  <c:v>1.9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</c:numCache>
            </c:numRef>
          </c:xVal>
          <c:yVal>
            <c:numRef>
              <c:f>'13 Amphiura'!$F$2:$F$30</c:f>
              <c:numCache>
                <c:formatCode>General</c:formatCode>
                <c:ptCount val="29"/>
                <c:pt idx="0">
                  <c:v>3.7094025450552966E-2</c:v>
                </c:pt>
                <c:pt idx="1">
                  <c:v>5.2683529045424872E-2</c:v>
                </c:pt>
                <c:pt idx="2">
                  <c:v>7.1394462797093869E-2</c:v>
                </c:pt>
                <c:pt idx="3">
                  <c:v>9.3344271626340958E-2</c:v>
                </c:pt>
                <c:pt idx="4">
                  <c:v>0.11864015891106298</c:v>
                </c:pt>
                <c:pt idx="5">
                  <c:v>0.14738099056844067</c:v>
                </c:pt>
                <c:pt idx="6">
                  <c:v>0.17965869292973358</c:v>
                </c:pt>
                <c:pt idx="7">
                  <c:v>0.2155593123928623</c:v>
                </c:pt>
                <c:pt idx="8">
                  <c:v>0.25516383978988161</c:v>
                </c:pt>
                <c:pt idx="9">
                  <c:v>0.29854886561041677</c:v>
                </c:pt>
                <c:pt idx="10">
                  <c:v>0.34578711026239323</c:v>
                </c:pt>
                <c:pt idx="11">
                  <c:v>0.39694785985553094</c:v>
                </c:pt>
                <c:pt idx="12">
                  <c:v>0.45209732912976253</c:v>
                </c:pt>
                <c:pt idx="13">
                  <c:v>0.51129896723147295</c:v>
                </c:pt>
                <c:pt idx="14">
                  <c:v>0.57461371797866478</c:v>
                </c:pt>
                <c:pt idx="15">
                  <c:v>1.4459713746280012</c:v>
                </c:pt>
                <c:pt idx="16">
                  <c:v>2.7830452008816029</c:v>
                </c:pt>
                <c:pt idx="17">
                  <c:v>4.6247413588313311</c:v>
                </c:pt>
                <c:pt idx="18">
                  <c:v>7.0033199153801773</c:v>
                </c:pt>
                <c:pt idx="19">
                  <c:v>9.946604707762539</c:v>
                </c:pt>
                <c:pt idx="20">
                  <c:v>13.479212813429038</c:v>
                </c:pt>
                <c:pt idx="21">
                  <c:v>17.623317731822631</c:v>
                </c:pt>
                <c:pt idx="22">
                  <c:v>22.39915936794965</c:v>
                </c:pt>
                <c:pt idx="23">
                  <c:v>27.825403521445871</c:v>
                </c:pt>
                <c:pt idx="24">
                  <c:v>33.919405804128452</c:v>
                </c:pt>
                <c:pt idx="25">
                  <c:v>40.697411701486921</c:v>
                </c:pt>
                <c:pt idx="26">
                  <c:v>48.174712212548833</c:v>
                </c:pt>
                <c:pt idx="27">
                  <c:v>56.365767555497911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F4-4157-8832-6452139E1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332624"/>
        <c:axId val="368329016"/>
      </c:scatterChart>
      <c:valAx>
        <c:axId val="36833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329016"/>
        <c:crosses val="autoZero"/>
        <c:crossBetween val="midCat"/>
      </c:valAx>
      <c:valAx>
        <c:axId val="36832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332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 Tanaidacea'!$D$1</c:f>
              <c:strCache>
                <c:ptCount val="1"/>
                <c:pt idx="0">
                  <c:v>AFDW mg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'12 Tanaidacea'!$A$2:$A$53</c:f>
              <c:numCache>
                <c:formatCode>General</c:formatCode>
                <c:ptCount val="52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</c:numCache>
            </c:numRef>
          </c:xVal>
          <c:yVal>
            <c:numRef>
              <c:f>'12 Tanaidacea'!$D$2:$D$53</c:f>
              <c:numCache>
                <c:formatCode>General</c:formatCode>
                <c:ptCount val="52"/>
                <c:pt idx="0">
                  <c:v>3.6604320527765786E-4</c:v>
                </c:pt>
                <c:pt idx="1">
                  <c:v>6.1985051939400244E-4</c:v>
                </c:pt>
                <c:pt idx="2">
                  <c:v>9.6760085778152484E-4</c:v>
                </c:pt>
                <c:pt idx="3">
                  <c:v>1.42309856102231E-3</c:v>
                </c:pt>
                <c:pt idx="4">
                  <c:v>1.9999291792563195E-3</c:v>
                </c:pt>
                <c:pt idx="5">
                  <c:v>2.71149E-3</c:v>
                </c:pt>
                <c:pt idx="6">
                  <c:v>3.5710133560612977E-3</c:v>
                </c:pt>
                <c:pt idx="7">
                  <c:v>4.5915849839549801E-3</c:v>
                </c:pt>
                <c:pt idx="8">
                  <c:v>5.786158844018896E-3</c:v>
                </c:pt>
                <c:pt idx="9">
                  <c:v>7.1675693252546396E-3</c:v>
                </c:pt>
                <c:pt idx="10">
                  <c:v>8.7485414637763163E-3</c:v>
                </c:pt>
                <c:pt idx="11">
                  <c:v>1.0541699617943731E-2</c:v>
                </c:pt>
                <c:pt idx="12">
                  <c:v>1.2559574921217334E-2</c:v>
                </c:pt>
                <c:pt idx="13">
                  <c:v>1.4814611750949797E-2</c:v>
                </c:pt>
                <c:pt idx="14">
                  <c:v>1.73191733935305E-2</c:v>
                </c:pt>
                <c:pt idx="15">
                  <c:v>2.0085547044980903E-2</c:v>
                </c:pt>
                <c:pt idx="16">
                  <c:v>2.3125948255933622E-2</c:v>
                </c:pt>
                <c:pt idx="17">
                  <c:v>2.6452524907495265E-2</c:v>
                </c:pt>
                <c:pt idx="18">
                  <c:v>3.0077360787533054E-2</c:v>
                </c:pt>
                <c:pt idx="19">
                  <c:v>3.4012478823914394E-2</c:v>
                </c:pt>
                <c:pt idx="20">
                  <c:v>3.8269844021113775E-2</c:v>
                </c:pt>
                <c:pt idx="21">
                  <c:v>4.286136613864476E-2</c:v>
                </c:pt>
                <c:pt idx="22">
                  <c:v>4.7798902143445912E-2</c:v>
                </c:pt>
                <c:pt idx="23">
                  <c:v>5.3094258463267097E-2</c:v>
                </c:pt>
                <c:pt idx="24">
                  <c:v>5.8759193063982924E-2</c:v>
                </c:pt>
                <c:pt idx="25">
                  <c:v>6.4805417370392443E-2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38-46CC-860E-AE76F4285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450792"/>
        <c:axId val="502452136"/>
      </c:scatterChart>
      <c:valAx>
        <c:axId val="506450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452136"/>
        <c:crosses val="autoZero"/>
        <c:crossBetween val="midCat"/>
      </c:valAx>
      <c:valAx>
        <c:axId val="50245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450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 Diptera'!$B$1</c:f>
              <c:strCache>
                <c:ptCount val="1"/>
                <c:pt idx="0">
                  <c:v>AFDW in mg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41364260717410323"/>
                  <c:y val="-0.387936351706036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'11 Diptera'!$A$2:$A$183</c:f>
              <c:numCache>
                <c:formatCode>General</c:formatCode>
                <c:ptCount val="182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0.5</c:v>
                </c:pt>
                <c:pt idx="27">
                  <c:v>0.6</c:v>
                </c:pt>
                <c:pt idx="28">
                  <c:v>0.7</c:v>
                </c:pt>
                <c:pt idx="29">
                  <c:v>0.8</c:v>
                </c:pt>
                <c:pt idx="30">
                  <c:v>0.9</c:v>
                </c:pt>
                <c:pt idx="31">
                  <c:v>1</c:v>
                </c:pt>
                <c:pt idx="32">
                  <c:v>1.1000000000000001</c:v>
                </c:pt>
                <c:pt idx="33">
                  <c:v>1.2</c:v>
                </c:pt>
                <c:pt idx="34">
                  <c:v>1.3</c:v>
                </c:pt>
                <c:pt idx="35">
                  <c:v>1.4</c:v>
                </c:pt>
                <c:pt idx="36">
                  <c:v>1.5</c:v>
                </c:pt>
                <c:pt idx="37">
                  <c:v>1.6</c:v>
                </c:pt>
                <c:pt idx="38">
                  <c:v>1.7</c:v>
                </c:pt>
                <c:pt idx="39">
                  <c:v>1.8</c:v>
                </c:pt>
                <c:pt idx="40">
                  <c:v>1.9</c:v>
                </c:pt>
                <c:pt idx="41">
                  <c:v>2</c:v>
                </c:pt>
                <c:pt idx="42">
                  <c:v>2.1</c:v>
                </c:pt>
                <c:pt idx="43">
                  <c:v>2.2000000000000002</c:v>
                </c:pt>
                <c:pt idx="44">
                  <c:v>2.2999999999999998</c:v>
                </c:pt>
                <c:pt idx="45">
                  <c:v>2.4</c:v>
                </c:pt>
                <c:pt idx="46">
                  <c:v>2.5</c:v>
                </c:pt>
                <c:pt idx="47">
                  <c:v>2.6</c:v>
                </c:pt>
                <c:pt idx="48">
                  <c:v>2.7</c:v>
                </c:pt>
                <c:pt idx="49">
                  <c:v>2.8</c:v>
                </c:pt>
                <c:pt idx="50">
                  <c:v>2.9</c:v>
                </c:pt>
                <c:pt idx="51">
                  <c:v>3</c:v>
                </c:pt>
                <c:pt idx="52">
                  <c:v>0.5</c:v>
                </c:pt>
                <c:pt idx="53">
                  <c:v>0.6</c:v>
                </c:pt>
                <c:pt idx="54">
                  <c:v>0.7</c:v>
                </c:pt>
                <c:pt idx="55">
                  <c:v>0.8</c:v>
                </c:pt>
                <c:pt idx="56">
                  <c:v>0.9</c:v>
                </c:pt>
                <c:pt idx="57">
                  <c:v>1</c:v>
                </c:pt>
                <c:pt idx="58">
                  <c:v>1.1000000000000001</c:v>
                </c:pt>
                <c:pt idx="59">
                  <c:v>1.2</c:v>
                </c:pt>
                <c:pt idx="60">
                  <c:v>1.3</c:v>
                </c:pt>
                <c:pt idx="61">
                  <c:v>1.4</c:v>
                </c:pt>
                <c:pt idx="62">
                  <c:v>1.5</c:v>
                </c:pt>
                <c:pt idx="63">
                  <c:v>1.6</c:v>
                </c:pt>
                <c:pt idx="64">
                  <c:v>1.7</c:v>
                </c:pt>
                <c:pt idx="65">
                  <c:v>1.8</c:v>
                </c:pt>
                <c:pt idx="66">
                  <c:v>1.9</c:v>
                </c:pt>
                <c:pt idx="67">
                  <c:v>2</c:v>
                </c:pt>
                <c:pt idx="68">
                  <c:v>2.1</c:v>
                </c:pt>
                <c:pt idx="69">
                  <c:v>2.2000000000000002</c:v>
                </c:pt>
                <c:pt idx="70">
                  <c:v>2.2999999999999998</c:v>
                </c:pt>
                <c:pt idx="71">
                  <c:v>2.4</c:v>
                </c:pt>
                <c:pt idx="72">
                  <c:v>2.5</c:v>
                </c:pt>
                <c:pt idx="73">
                  <c:v>2.6</c:v>
                </c:pt>
                <c:pt idx="74">
                  <c:v>2.7</c:v>
                </c:pt>
                <c:pt idx="75">
                  <c:v>2.8</c:v>
                </c:pt>
                <c:pt idx="76">
                  <c:v>2.9</c:v>
                </c:pt>
                <c:pt idx="77">
                  <c:v>3</c:v>
                </c:pt>
                <c:pt idx="78">
                  <c:v>0.5</c:v>
                </c:pt>
                <c:pt idx="79">
                  <c:v>0.6</c:v>
                </c:pt>
                <c:pt idx="80">
                  <c:v>0.7</c:v>
                </c:pt>
                <c:pt idx="81">
                  <c:v>0.8</c:v>
                </c:pt>
                <c:pt idx="82">
                  <c:v>0.9</c:v>
                </c:pt>
                <c:pt idx="83">
                  <c:v>1</c:v>
                </c:pt>
                <c:pt idx="84">
                  <c:v>1.1000000000000001</c:v>
                </c:pt>
                <c:pt idx="85">
                  <c:v>1.2</c:v>
                </c:pt>
                <c:pt idx="86">
                  <c:v>1.3</c:v>
                </c:pt>
                <c:pt idx="87">
                  <c:v>1.4</c:v>
                </c:pt>
                <c:pt idx="88">
                  <c:v>1.5</c:v>
                </c:pt>
                <c:pt idx="89">
                  <c:v>1.6</c:v>
                </c:pt>
                <c:pt idx="90">
                  <c:v>1.7</c:v>
                </c:pt>
                <c:pt idx="91">
                  <c:v>1.8</c:v>
                </c:pt>
                <c:pt idx="92">
                  <c:v>1.9</c:v>
                </c:pt>
                <c:pt idx="93">
                  <c:v>2</c:v>
                </c:pt>
                <c:pt idx="94">
                  <c:v>2.1</c:v>
                </c:pt>
                <c:pt idx="95">
                  <c:v>2.2000000000000002</c:v>
                </c:pt>
                <c:pt idx="96">
                  <c:v>2.2999999999999998</c:v>
                </c:pt>
                <c:pt idx="97">
                  <c:v>2.4</c:v>
                </c:pt>
                <c:pt idx="98">
                  <c:v>2.5</c:v>
                </c:pt>
                <c:pt idx="99">
                  <c:v>2.6</c:v>
                </c:pt>
                <c:pt idx="100">
                  <c:v>2.7</c:v>
                </c:pt>
                <c:pt idx="101">
                  <c:v>2.8</c:v>
                </c:pt>
                <c:pt idx="102">
                  <c:v>2.9</c:v>
                </c:pt>
                <c:pt idx="103">
                  <c:v>3</c:v>
                </c:pt>
                <c:pt idx="104">
                  <c:v>0.5</c:v>
                </c:pt>
                <c:pt idx="105">
                  <c:v>0.6</c:v>
                </c:pt>
                <c:pt idx="106">
                  <c:v>0.7</c:v>
                </c:pt>
                <c:pt idx="107">
                  <c:v>0.8</c:v>
                </c:pt>
                <c:pt idx="108">
                  <c:v>0.9</c:v>
                </c:pt>
                <c:pt idx="109">
                  <c:v>1</c:v>
                </c:pt>
                <c:pt idx="110">
                  <c:v>1.1000000000000001</c:v>
                </c:pt>
                <c:pt idx="111">
                  <c:v>1.2</c:v>
                </c:pt>
                <c:pt idx="112">
                  <c:v>1.3</c:v>
                </c:pt>
                <c:pt idx="113">
                  <c:v>1.4</c:v>
                </c:pt>
                <c:pt idx="114">
                  <c:v>1.5</c:v>
                </c:pt>
                <c:pt idx="115">
                  <c:v>1.6</c:v>
                </c:pt>
                <c:pt idx="116">
                  <c:v>1.7</c:v>
                </c:pt>
                <c:pt idx="117">
                  <c:v>1.8</c:v>
                </c:pt>
                <c:pt idx="118">
                  <c:v>1.9</c:v>
                </c:pt>
                <c:pt idx="119">
                  <c:v>2</c:v>
                </c:pt>
                <c:pt idx="120">
                  <c:v>2.1</c:v>
                </c:pt>
                <c:pt idx="121">
                  <c:v>2.2000000000000002</c:v>
                </c:pt>
                <c:pt idx="122">
                  <c:v>2.2999999999999998</c:v>
                </c:pt>
                <c:pt idx="123">
                  <c:v>2.4</c:v>
                </c:pt>
                <c:pt idx="124">
                  <c:v>2.5</c:v>
                </c:pt>
                <c:pt idx="125">
                  <c:v>2.6</c:v>
                </c:pt>
                <c:pt idx="126">
                  <c:v>2.7</c:v>
                </c:pt>
                <c:pt idx="127">
                  <c:v>2.8</c:v>
                </c:pt>
                <c:pt idx="128">
                  <c:v>2.9</c:v>
                </c:pt>
                <c:pt idx="129">
                  <c:v>3</c:v>
                </c:pt>
                <c:pt idx="130">
                  <c:v>0.5</c:v>
                </c:pt>
                <c:pt idx="131">
                  <c:v>0.6</c:v>
                </c:pt>
                <c:pt idx="132">
                  <c:v>0.7</c:v>
                </c:pt>
                <c:pt idx="133">
                  <c:v>0.8</c:v>
                </c:pt>
                <c:pt idx="134">
                  <c:v>0.9</c:v>
                </c:pt>
                <c:pt idx="135">
                  <c:v>1</c:v>
                </c:pt>
                <c:pt idx="136">
                  <c:v>1.1000000000000001</c:v>
                </c:pt>
                <c:pt idx="137">
                  <c:v>1.2</c:v>
                </c:pt>
                <c:pt idx="138">
                  <c:v>1.3</c:v>
                </c:pt>
                <c:pt idx="139">
                  <c:v>1.4</c:v>
                </c:pt>
                <c:pt idx="140">
                  <c:v>1.5</c:v>
                </c:pt>
                <c:pt idx="141">
                  <c:v>1.6</c:v>
                </c:pt>
                <c:pt idx="142">
                  <c:v>1.7</c:v>
                </c:pt>
                <c:pt idx="143">
                  <c:v>1.8</c:v>
                </c:pt>
                <c:pt idx="144">
                  <c:v>1.9</c:v>
                </c:pt>
                <c:pt idx="145">
                  <c:v>2</c:v>
                </c:pt>
                <c:pt idx="146">
                  <c:v>2.1</c:v>
                </c:pt>
                <c:pt idx="147">
                  <c:v>2.2000000000000002</c:v>
                </c:pt>
                <c:pt idx="148">
                  <c:v>2.2999999999999998</c:v>
                </c:pt>
                <c:pt idx="149">
                  <c:v>2.4</c:v>
                </c:pt>
                <c:pt idx="150">
                  <c:v>2.5</c:v>
                </c:pt>
                <c:pt idx="151">
                  <c:v>2.6</c:v>
                </c:pt>
                <c:pt idx="152">
                  <c:v>2.7</c:v>
                </c:pt>
                <c:pt idx="153">
                  <c:v>2.8</c:v>
                </c:pt>
                <c:pt idx="154">
                  <c:v>2.9</c:v>
                </c:pt>
                <c:pt idx="155">
                  <c:v>3</c:v>
                </c:pt>
                <c:pt idx="156">
                  <c:v>0.5</c:v>
                </c:pt>
                <c:pt idx="157">
                  <c:v>0.6</c:v>
                </c:pt>
                <c:pt idx="158">
                  <c:v>0.7</c:v>
                </c:pt>
                <c:pt idx="159">
                  <c:v>0.8</c:v>
                </c:pt>
                <c:pt idx="160">
                  <c:v>0.9</c:v>
                </c:pt>
                <c:pt idx="161">
                  <c:v>1</c:v>
                </c:pt>
                <c:pt idx="162">
                  <c:v>1.1000000000000001</c:v>
                </c:pt>
                <c:pt idx="163">
                  <c:v>1.2</c:v>
                </c:pt>
                <c:pt idx="164">
                  <c:v>1.3</c:v>
                </c:pt>
                <c:pt idx="165">
                  <c:v>1.4</c:v>
                </c:pt>
                <c:pt idx="166">
                  <c:v>1.5</c:v>
                </c:pt>
                <c:pt idx="167">
                  <c:v>1.6</c:v>
                </c:pt>
                <c:pt idx="168">
                  <c:v>1.7</c:v>
                </c:pt>
                <c:pt idx="169">
                  <c:v>1.8</c:v>
                </c:pt>
                <c:pt idx="170">
                  <c:v>1.9</c:v>
                </c:pt>
                <c:pt idx="171">
                  <c:v>2</c:v>
                </c:pt>
                <c:pt idx="172">
                  <c:v>2.1</c:v>
                </c:pt>
                <c:pt idx="173">
                  <c:v>2.2000000000000002</c:v>
                </c:pt>
                <c:pt idx="174">
                  <c:v>2.2999999999999998</c:v>
                </c:pt>
                <c:pt idx="175">
                  <c:v>2.4</c:v>
                </c:pt>
                <c:pt idx="176">
                  <c:v>2.5</c:v>
                </c:pt>
                <c:pt idx="177">
                  <c:v>2.6</c:v>
                </c:pt>
                <c:pt idx="178">
                  <c:v>2.7</c:v>
                </c:pt>
                <c:pt idx="179">
                  <c:v>2.8</c:v>
                </c:pt>
                <c:pt idx="180">
                  <c:v>2.9</c:v>
                </c:pt>
                <c:pt idx="181">
                  <c:v>3</c:v>
                </c:pt>
              </c:numCache>
            </c:numRef>
          </c:xVal>
          <c:yVal>
            <c:numRef>
              <c:f>'11 Diptera'!$B$2:$B$183</c:f>
              <c:numCache>
                <c:formatCode>General</c:formatCode>
                <c:ptCount val="182"/>
                <c:pt idx="0">
                  <c:v>9.1505355996601605E-6</c:v>
                </c:pt>
                <c:pt idx="1">
                  <c:v>1.7164130736388414E-5</c:v>
                </c:pt>
                <c:pt idx="2">
                  <c:v>2.921381253351177E-5</c:v>
                </c:pt>
                <c:pt idx="3">
                  <c:v>4.6308472418592721E-5</c:v>
                </c:pt>
                <c:pt idx="4">
                  <c:v>6.9524305229617765E-5</c:v>
                </c:pt>
                <c:pt idx="5">
                  <c:v>1E-4</c:v>
                </c:pt>
                <c:pt idx="6">
                  <c:v>1.3893279212541778E-4</c:v>
                </c:pt>
                <c:pt idx="7">
                  <c:v>1.8757514846481633E-4</c:v>
                </c:pt>
                <c:pt idx="8">
                  <c:v>2.472319335828923E-4</c:v>
                </c:pt>
                <c:pt idx="9">
                  <c:v>3.1925795179242567E-4</c:v>
                </c:pt>
                <c:pt idx="10">
                  <c:v>4.0505578929333352E-4</c:v>
                </c:pt>
                <c:pt idx="11">
                  <c:v>5.0607390042078611E-4</c:v>
                </c:pt>
                <c:pt idx="12">
                  <c:v>6.2380489558843343E-4</c:v>
                </c:pt>
                <c:pt idx="13">
                  <c:v>7.5978399813230412E-4</c:v>
                </c:pt>
                <c:pt idx="14">
                  <c:v>9.1558764424855591E-4</c:v>
                </c:pt>
                <c:pt idx="15">
                  <c:v>1.0928322054035162E-3</c:v>
                </c:pt>
                <c:pt idx="16">
                  <c:v>1.2931728165145404E-3</c:v>
                </c:pt>
                <c:pt idx="17">
                  <c:v>1.5183022962128867E-3</c:v>
                </c:pt>
                <c:pt idx="18">
                  <c:v>1.7699501478490533E-3</c:v>
                </c:pt>
                <c:pt idx="19">
                  <c:v>2.0498816317569726E-3</c:v>
                </c:pt>
                <c:pt idx="20">
                  <c:v>2.3598969007769467E-3</c:v>
                </c:pt>
                <c:pt idx="21">
                  <c:v>2.7018301922356793E-3</c:v>
                </c:pt>
                <c:pt idx="22">
                  <c:v>3.0775490705592513E-3</c:v>
                </c:pt>
                <c:pt idx="23">
                  <c:v>3.4889537154992596E-3</c:v>
                </c:pt>
                <c:pt idx="24">
                  <c:v>3.9379762516196012E-3</c:v>
                </c:pt>
                <c:pt idx="25">
                  <c:v>4.42658011524896E-3</c:v>
                </c:pt>
                <c:pt idx="26">
                  <c:v>2.2492306610338985E-4</c:v>
                </c:pt>
                <c:pt idx="27">
                  <c:v>3.4147510601891657E-4</c:v>
                </c:pt>
                <c:pt idx="28">
                  <c:v>4.8603461087976993E-4</c:v>
                </c:pt>
                <c:pt idx="29">
                  <c:v>6.5988575811767695E-4</c:v>
                </c:pt>
                <c:pt idx="30">
                  <c:v>8.6418760264923692E-4</c:v>
                </c:pt>
                <c:pt idx="31">
                  <c:v>1.1000000000000001E-3</c:v>
                </c:pt>
                <c:pt idx="32">
                  <c:v>1.3683019130935423E-3</c:v>
                </c:pt>
                <c:pt idx="33">
                  <c:v>1.6700048737915867E-3</c:v>
                </c:pt>
                <c:pt idx="34">
                  <c:v>2.0059632020631561E-3</c:v>
                </c:pt>
                <c:pt idx="35">
                  <c:v>2.376981966455994E-3</c:v>
                </c:pt>
                <c:pt idx="36">
                  <c:v>2.7838233187677829E-3</c:v>
                </c:pt>
                <c:pt idx="37">
                  <c:v>3.2272116262001519E-3</c:v>
                </c:pt>
                <c:pt idx="38">
                  <c:v>3.7078376933910306E-3</c:v>
                </c:pt>
                <c:pt idx="39">
                  <c:v>4.2263622819244248E-3</c:v>
                </c:pt>
                <c:pt idx="40">
                  <c:v>4.7834190782294434E-3</c:v>
                </c:pt>
                <c:pt idx="41">
                  <c:v>5.379617221845101E-3</c:v>
                </c:pt>
                <c:pt idx="42">
                  <c:v>6.0155434786460862E-3</c:v>
                </c:pt>
                <c:pt idx="43">
                  <c:v>6.6917641239651084E-3</c:v>
                </c:pt>
                <c:pt idx="44">
                  <c:v>7.4088265861693278E-3</c:v>
                </c:pt>
                <c:pt idx="45">
                  <c:v>8.1672608905586138E-3</c:v>
                </c:pt>
                <c:pt idx="46">
                  <c:v>8.9675809353872062E-3</c:v>
                </c:pt>
                <c:pt idx="47">
                  <c:v>9.8102856256422726E-3</c:v>
                </c:pt>
                <c:pt idx="48">
                  <c:v>1.069585988543803E-2</c:v>
                </c:pt>
                <c:pt idx="49">
                  <c:v>1.1624775566147178E-2</c:v>
                </c:pt>
                <c:pt idx="50">
                  <c:v>1.2597492264436572E-2</c:v>
                </c:pt>
                <c:pt idx="51">
                  <c:v>1.3614458062015592E-2</c:v>
                </c:pt>
                <c:pt idx="52">
                  <c:v>9.9651436057238385E-5</c:v>
                </c:pt>
                <c:pt idx="53">
                  <c:v>1.5979492744205419E-4</c:v>
                </c:pt>
                <c:pt idx="54">
                  <c:v>2.3820735894385372E-4</c:v>
                </c:pt>
                <c:pt idx="55">
                  <c:v>3.3663116237444245E-4</c:v>
                </c:pt>
                <c:pt idx="56">
                  <c:v>4.5670876848277368E-4</c:v>
                </c:pt>
                <c:pt idx="57">
                  <c:v>5.9999999999999995E-4</c:v>
                </c:pt>
                <c:pt idx="58">
                  <c:v>7.6799484501826763E-4</c:v>
                </c:pt>
                <c:pt idx="59">
                  <c:v>9.621231791397581E-4</c:v>
                </c:pt>
                <c:pt idx="60">
                  <c:v>1.1837623769837889E-3</c:v>
                </c:pt>
                <c:pt idx="61">
                  <c:v>1.4342434090384656E-3</c:v>
                </c:pt>
                <c:pt idx="62">
                  <c:v>1.7148558184929422E-3</c:v>
                </c:pt>
                <c:pt idx="63">
                  <c:v>2.0268518489653452E-3</c:v>
                </c:pt>
                <c:pt idx="64">
                  <c:v>2.3714499148035106E-3</c:v>
                </c:pt>
                <c:pt idx="65">
                  <c:v>2.7498375530912371E-3</c:v>
                </c:pt>
                <c:pt idx="66">
                  <c:v>3.1631739606014296E-3</c:v>
                </c:pt>
                <c:pt idx="67">
                  <c:v>3.6125921937865601E-3</c:v>
                </c:pt>
                <c:pt idx="68">
                  <c:v>4.0992010918746106E-3</c:v>
                </c:pt>
                <c:pt idx="69">
                  <c:v>4.6240869699688564E-3</c:v>
                </c:pt>
                <c:pt idx="70">
                  <c:v>5.188315119256607E-3</c:v>
                </c:pt>
                <c:pt idx="71">
                  <c:v>5.7929311440356665E-3</c:v>
                </c:pt>
                <c:pt idx="72">
                  <c:v>6.4389621596021938E-3</c:v>
                </c:pt>
                <c:pt idx="73">
                  <c:v>7.1274178706497646E-3</c:v>
                </c:pt>
                <c:pt idx="74">
                  <c:v>7.8592915463815069E-3</c:v>
                </c:pt>
                <c:pt idx="75">
                  <c:v>8.6355609058036444E-3</c:v>
                </c:pt>
                <c:pt idx="76">
                  <c:v>9.4571889244803118E-3</c:v>
                </c:pt>
                <c:pt idx="77">
                  <c:v>1.0325124572261779E-2</c:v>
                </c:pt>
                <c:pt idx="78">
                  <c:v>4.8984232055682391E-4</c:v>
                </c:pt>
                <c:pt idx="79">
                  <c:v>7.1835136367829125E-4</c:v>
                </c:pt>
                <c:pt idx="80">
                  <c:v>9.9294496687829222E-4</c:v>
                </c:pt>
                <c:pt idx="81">
                  <c:v>1.3143416409216958E-3</c:v>
                </c:pt>
                <c:pt idx="82">
                  <c:v>1.6831722582087707E-3</c:v>
                </c:pt>
                <c:pt idx="83">
                  <c:v>2.0999999999999999E-3</c:v>
                </c:pt>
                <c:pt idx="84">
                  <c:v>2.5653340968360703E-3</c:v>
                </c:pt>
                <c:pt idx="85">
                  <c:v>3.0796397134686005E-3</c:v>
                </c:pt>
                <c:pt idx="86">
                  <c:v>3.6433453074987197E-3</c:v>
                </c:pt>
                <c:pt idx="87">
                  <c:v>4.2568482610365289E-3</c:v>
                </c:pt>
                <c:pt idx="88">
                  <c:v>4.9205192903641407E-3</c:v>
                </c:pt>
                <c:pt idx="89">
                  <c:v>5.6347059657851179E-3</c:v>
                </c:pt>
                <c:pt idx="90">
                  <c:v>6.3997355676665762E-3</c:v>
                </c:pt>
                <c:pt idx="91">
                  <c:v>7.2159174369017835E-3</c:v>
                </c:pt>
                <c:pt idx="92">
                  <c:v>8.083544933325703E-3</c:v>
                </c:pt>
                <c:pt idx="93">
                  <c:v>9.0028970853048614E-3</c:v>
                </c:pt>
                <c:pt idx="94">
                  <c:v>9.974239992658708E-3</c:v>
                </c:pt>
                <c:pt idx="95">
                  <c:v>1.099782803011364E-2</c:v>
                </c:pt>
                <c:pt idx="96">
                  <c:v>1.2073904887667349E-2</c:v>
                </c:pt>
                <c:pt idx="97">
                  <c:v>1.320270447627408E-2</c:v>
                </c:pt>
                <c:pt idx="98">
                  <c:v>1.438445172130598E-2</c:v>
                </c:pt>
                <c:pt idx="99">
                  <c:v>1.5619363261733034E-2</c:v>
                </c:pt>
                <c:pt idx="100">
                  <c:v>1.6907648069500094E-2</c:v>
                </c:pt>
                <c:pt idx="101">
                  <c:v>1.8249508000890875E-2</c:v>
                </c:pt>
                <c:pt idx="102">
                  <c:v>1.9645138289559726E-2</c:v>
                </c:pt>
                <c:pt idx="103">
                  <c:v>2.1094727989240801E-2</c:v>
                </c:pt>
                <c:pt idx="104">
                  <c:v>5.2415736154334542E-4</c:v>
                </c:pt>
                <c:pt idx="105">
                  <c:v>8.4357702246601362E-4</c:v>
                </c:pt>
                <c:pt idx="106">
                  <c:v>1.2614088183245545E-3</c:v>
                </c:pt>
                <c:pt idx="107">
                  <c:v>1.787371564319512E-3</c:v>
                </c:pt>
                <c:pt idx="108">
                  <c:v>2.430652801674192E-3</c:v>
                </c:pt>
                <c:pt idx="109">
                  <c:v>3.2000000000000002E-3</c:v>
                </c:pt>
                <c:pt idx="110">
                  <c:v>4.1037877106043404E-3</c:v>
                </c:pt>
                <c:pt idx="111">
                  <c:v>5.1500687960251267E-3</c:v>
                </c:pt>
                <c:pt idx="112">
                  <c:v>6.3466146202195957E-3</c:v>
                </c:pt>
                <c:pt idx="113">
                  <c:v>7.7009473009276323E-3</c:v>
                </c:pt>
                <c:pt idx="114">
                  <c:v>9.2203660818307564E-3</c:v>
                </c:pt>
                <c:pt idx="115">
                  <c:v>1.0911969239507583E-2</c:v>
                </c:pt>
                <c:pt idx="116">
                  <c:v>1.2782672527920837E-2</c:v>
                </c:pt>
                <c:pt idx="117">
                  <c:v>1.4839224889364077E-2</c:v>
                </c:pt>
                <c:pt idx="118">
                  <c:v>1.7088221973499632E-2</c:v>
                </c:pt>
                <c:pt idx="119">
                  <c:v>1.9536117874695155E-2</c:v>
                </c:pt>
                <c:pt idx="120">
                  <c:v>2.2189235403574769E-2</c:v>
                </c:pt>
                <c:pt idx="121">
                  <c:v>2.5053775139716176E-2</c:v>
                </c:pt>
                <c:pt idx="122">
                  <c:v>2.8135823461070499E-2</c:v>
                </c:pt>
                <c:pt idx="123">
                  <c:v>3.1441359706855063E-2</c:v>
                </c:pt>
                <c:pt idx="124">
                  <c:v>3.4976262600902135E-2</c:v>
                </c:pt>
                <c:pt idx="125">
                  <c:v>3.874631603933551E-2</c:v>
                </c:pt>
                <c:pt idx="126">
                  <c:v>4.2757214328297273E-2</c:v>
                </c:pt>
                <c:pt idx="127">
                  <c:v>4.7014566943043019E-2</c:v>
                </c:pt>
                <c:pt idx="128">
                  <c:v>5.1523902868184257E-2</c:v>
                </c:pt>
                <c:pt idx="129">
                  <c:v>5.6290674569527133E-2</c:v>
                </c:pt>
                <c:pt idx="130">
                  <c:v>7.0859559685771821E-4</c:v>
                </c:pt>
                <c:pt idx="131">
                  <c:v>1.1720298924344553E-3</c:v>
                </c:pt>
                <c:pt idx="132">
                  <c:v>1.7935431425385826E-3</c:v>
                </c:pt>
                <c:pt idx="133">
                  <c:v>2.5928034832772688E-3</c:v>
                </c:pt>
                <c:pt idx="134">
                  <c:v>3.5888108019971909E-3</c:v>
                </c:pt>
                <c:pt idx="135">
                  <c:v>4.7999999999999996E-3</c:v>
                </c:pt>
                <c:pt idx="136">
                  <c:v>6.2443185240587326E-3</c:v>
                </c:pt>
                <c:pt idx="137">
                  <c:v>7.9392865389410535E-3</c:v>
                </c:pt>
                <c:pt idx="138">
                  <c:v>9.9020448651218531E-3</c:v>
                </c:pt>
                <c:pt idx="139">
                  <c:v>1.2149393987716004E-2</c:v>
                </c:pt>
                <c:pt idx="140">
                  <c:v>1.4697826361583078E-2</c:v>
                </c:pt>
                <c:pt idx="141">
                  <c:v>1.7563553562738074E-2</c:v>
                </c:pt>
                <c:pt idx="142">
                  <c:v>2.076252939776959E-2</c:v>
                </c:pt>
                <c:pt idx="143">
                  <c:v>2.4310469788376983E-2</c:v>
                </c:pt>
                <c:pt idx="144">
                  <c:v>2.8222870044446569E-2</c:v>
                </c:pt>
                <c:pt idx="145">
                  <c:v>3.2515019994721034E-2</c:v>
                </c:pt>
                <c:pt idx="146">
                  <c:v>3.7202017339564852E-2</c:v>
                </c:pt>
                <c:pt idx="147">
                  <c:v>4.2298779513161806E-2</c:v>
                </c:pt>
                <c:pt idx="148">
                  <c:v>4.7820054284556136E-2</c:v>
                </c:pt>
                <c:pt idx="149">
                  <c:v>5.3780429282809995E-2</c:v>
                </c:pt>
                <c:pt idx="150">
                  <c:v>6.0194340597455515E-2</c:v>
                </c:pt>
                <c:pt idx="151">
                  <c:v>6.7076080578762881E-2</c:v>
                </c:pt>
                <c:pt idx="152">
                  <c:v>7.4439804941265869E-2</c:v>
                </c:pt>
                <c:pt idx="153">
                  <c:v>8.2299539257151957E-2</c:v>
                </c:pt>
                <c:pt idx="154">
                  <c:v>9.0669184912549924E-2</c:v>
                </c:pt>
                <c:pt idx="155">
                  <c:v>9.9562524588710774E-2</c:v>
                </c:pt>
                <c:pt idx="156">
                  <c:v>6.8393356328796229E-5</c:v>
                </c:pt>
                <c:pt idx="157">
                  <c:v>1.1541548819699965E-4</c:v>
                </c:pt>
                <c:pt idx="158">
                  <c:v>1.7963931038105684E-4</c:v>
                </c:pt>
                <c:pt idx="159">
                  <c:v>2.6353497882899111E-4</c:v>
                </c:pt>
                <c:pt idx="160">
                  <c:v>3.6952685553235499E-4</c:v>
                </c:pt>
                <c:pt idx="161">
                  <c:v>5.0000000000000001E-4</c:v>
                </c:pt>
                <c:pt idx="162">
                  <c:v>6.5730511328218133E-4</c:v>
                </c:pt>
                <c:pt idx="163">
                  <c:v>8.4376242366398775E-4</c:v>
                </c:pt>
                <c:pt idx="164">
                  <c:v>1.0616648173572014E-3</c:v>
                </c:pt>
                <c:pt idx="165">
                  <c:v>1.313280412189845E-3</c:v>
                </c:pt>
                <c:pt idx="166">
                  <c:v>1.6008547089521436E-3</c:v>
                </c:pt>
                <c:pt idx="167">
                  <c:v>1.926612415115771E-3</c:v>
                </c:pt>
                <c:pt idx="168">
                  <c:v>2.2927590094512017E-3</c:v>
                </c:pt>
                <c:pt idx="169">
                  <c:v>2.7014820983187375E-3</c:v>
                </c:pt>
                <c:pt idx="170">
                  <c:v>3.1549526020390457E-3</c:v>
                </c:pt>
                <c:pt idx="171">
                  <c:v>3.6553258009176018E-3</c:v>
                </c:pt>
                <c:pt idx="172">
                  <c:v>4.204742264057453E-3</c:v>
                </c:pt>
                <c:pt idx="173">
                  <c:v>4.8053286793108517E-3</c:v>
                </c:pt>
                <c:pt idx="174">
                  <c:v>5.4591985991074149E-3</c:v>
                </c:pt>
                <c:pt idx="175">
                  <c:v>6.1684531141274861E-3</c:v>
                </c:pt>
                <c:pt idx="176">
                  <c:v>6.9351814646388156E-3</c:v>
                </c:pt>
                <c:pt idx="177">
                  <c:v>7.7614615976245071E-3</c:v>
                </c:pt>
                <c:pt idx="178">
                  <c:v>8.6493606764869394E-3</c:v>
                </c:pt>
                <c:pt idx="179">
                  <c:v>9.6009355490344877E-3</c:v>
                </c:pt>
                <c:pt idx="180">
                  <c:v>1.0618233178584936E-2</c:v>
                </c:pt>
                <c:pt idx="181">
                  <c:v>1.1703291042306423E-2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B3-49D4-9A14-FF22E5A0B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101384"/>
        <c:axId val="546102368"/>
      </c:scatterChart>
      <c:valAx>
        <c:axId val="546101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102368"/>
        <c:crosses val="autoZero"/>
        <c:crossBetween val="midCat"/>
      </c:valAx>
      <c:valAx>
        <c:axId val="5461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101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0.42330927384076988"/>
                  <c:y val="-0.2592078594342374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0.0088x</a:t>
                    </a:r>
                    <a:r>
                      <a:rPr lang="en-US" sz="1200" baseline="30000"/>
                      <a:t>2.596</a:t>
                    </a:r>
                    <a:endParaRPr lang="en-US" sz="12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'10 Isopoda'!$A$2:$A$79</c:f>
              <c:numCache>
                <c:formatCode>General</c:formatCode>
                <c:ptCount val="78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0.5</c:v>
                </c:pt>
                <c:pt idx="27">
                  <c:v>0.6</c:v>
                </c:pt>
                <c:pt idx="28">
                  <c:v>0.7</c:v>
                </c:pt>
                <c:pt idx="29">
                  <c:v>0.8</c:v>
                </c:pt>
                <c:pt idx="30">
                  <c:v>0.9</c:v>
                </c:pt>
                <c:pt idx="31">
                  <c:v>1</c:v>
                </c:pt>
                <c:pt idx="32">
                  <c:v>1.1000000000000001</c:v>
                </c:pt>
                <c:pt idx="33">
                  <c:v>1.2</c:v>
                </c:pt>
                <c:pt idx="34">
                  <c:v>1.3</c:v>
                </c:pt>
                <c:pt idx="35">
                  <c:v>1.4</c:v>
                </c:pt>
                <c:pt idx="36">
                  <c:v>1.5</c:v>
                </c:pt>
                <c:pt idx="37">
                  <c:v>1.6</c:v>
                </c:pt>
                <c:pt idx="38">
                  <c:v>1.7</c:v>
                </c:pt>
                <c:pt idx="39">
                  <c:v>1.8</c:v>
                </c:pt>
                <c:pt idx="40">
                  <c:v>1.9</c:v>
                </c:pt>
                <c:pt idx="41">
                  <c:v>2</c:v>
                </c:pt>
                <c:pt idx="42">
                  <c:v>2.1</c:v>
                </c:pt>
                <c:pt idx="43">
                  <c:v>2.2000000000000002</c:v>
                </c:pt>
                <c:pt idx="44">
                  <c:v>2.2999999999999998</c:v>
                </c:pt>
                <c:pt idx="45">
                  <c:v>2.4</c:v>
                </c:pt>
                <c:pt idx="46">
                  <c:v>2.5</c:v>
                </c:pt>
                <c:pt idx="47">
                  <c:v>2.6</c:v>
                </c:pt>
                <c:pt idx="48">
                  <c:v>2.7</c:v>
                </c:pt>
                <c:pt idx="49">
                  <c:v>2.8</c:v>
                </c:pt>
                <c:pt idx="50">
                  <c:v>2.9</c:v>
                </c:pt>
                <c:pt idx="51">
                  <c:v>3</c:v>
                </c:pt>
                <c:pt idx="52">
                  <c:v>0.5</c:v>
                </c:pt>
                <c:pt idx="53">
                  <c:v>0.6</c:v>
                </c:pt>
                <c:pt idx="54">
                  <c:v>0.7</c:v>
                </c:pt>
                <c:pt idx="55">
                  <c:v>0.8</c:v>
                </c:pt>
                <c:pt idx="56">
                  <c:v>0.9</c:v>
                </c:pt>
                <c:pt idx="57">
                  <c:v>1</c:v>
                </c:pt>
                <c:pt idx="58">
                  <c:v>1.1000000000000001</c:v>
                </c:pt>
                <c:pt idx="59">
                  <c:v>1.2</c:v>
                </c:pt>
                <c:pt idx="60">
                  <c:v>1.3</c:v>
                </c:pt>
                <c:pt idx="61">
                  <c:v>1.4</c:v>
                </c:pt>
                <c:pt idx="62">
                  <c:v>1.5</c:v>
                </c:pt>
                <c:pt idx="63">
                  <c:v>1.6</c:v>
                </c:pt>
                <c:pt idx="64">
                  <c:v>1.7</c:v>
                </c:pt>
                <c:pt idx="65">
                  <c:v>1.8</c:v>
                </c:pt>
                <c:pt idx="66">
                  <c:v>1.9</c:v>
                </c:pt>
                <c:pt idx="67">
                  <c:v>2</c:v>
                </c:pt>
                <c:pt idx="68">
                  <c:v>2.1</c:v>
                </c:pt>
                <c:pt idx="69">
                  <c:v>2.2000000000000002</c:v>
                </c:pt>
                <c:pt idx="70">
                  <c:v>2.2999999999999998</c:v>
                </c:pt>
                <c:pt idx="71">
                  <c:v>2.4</c:v>
                </c:pt>
                <c:pt idx="72">
                  <c:v>2.5</c:v>
                </c:pt>
                <c:pt idx="73">
                  <c:v>2.6</c:v>
                </c:pt>
                <c:pt idx="74">
                  <c:v>2.7</c:v>
                </c:pt>
                <c:pt idx="75">
                  <c:v>2.8</c:v>
                </c:pt>
                <c:pt idx="76">
                  <c:v>2.9</c:v>
                </c:pt>
                <c:pt idx="77">
                  <c:v>3</c:v>
                </c:pt>
              </c:numCache>
            </c:numRef>
          </c:xVal>
          <c:yVal>
            <c:numRef>
              <c:f>'10 Isopoda'!$B$2:$B$79</c:f>
              <c:numCache>
                <c:formatCode>General</c:formatCode>
                <c:ptCount val="78"/>
                <c:pt idx="0">
                  <c:v>4.5516641776730823E-4</c:v>
                </c:pt>
                <c:pt idx="1">
                  <c:v>7.6642597226053743E-4</c:v>
                </c:pt>
                <c:pt idx="2">
                  <c:v>1.1907048928589557E-3</c:v>
                </c:pt>
                <c:pt idx="3">
                  <c:v>1.7439945470954087E-3</c:v>
                </c:pt>
                <c:pt idx="4">
                  <c:v>2.4419627330050375E-3</c:v>
                </c:pt>
                <c:pt idx="5">
                  <c:v>3.3E-3</c:v>
                </c:pt>
                <c:pt idx="6">
                  <c:v>4.3332548728026513E-3</c:v>
                </c:pt>
                <c:pt idx="7">
                  <c:v>5.5566614972740874E-3</c:v>
                </c:pt>
                <c:pt idx="8">
                  <c:v>6.9849618872309966E-3</c:v>
                </c:pt>
                <c:pt idx="9">
                  <c:v>8.6327241928540483E-3</c:v>
                </c:pt>
                <c:pt idx="10">
                  <c:v>1.0514357955731227E-2</c:v>
                </c:pt>
                <c:pt idx="11">
                  <c:v>1.2644127028626778E-2</c:v>
                </c:pt>
                <c:pt idx="12">
                  <c:v>1.5036160650086028E-2</c:v>
                </c:pt>
                <c:pt idx="13">
                  <c:v>1.7704463036717941E-2</c:v>
                </c:pt>
                <c:pt idx="14">
                  <c:v>2.0662921767378439E-2</c:v>
                </c:pt>
                <c:pt idx="15">
                  <c:v>2.3925315170257627E-2</c:v>
                </c:pt>
                <c:pt idx="16">
                  <c:v>2.7505318877808622E-2</c:v>
                </c:pt>
                <c:pt idx="17">
                  <c:v>3.1416511680260023E-2</c:v>
                </c:pt>
                <c:pt idx="18">
                  <c:v>3.5672380782646E-2</c:v>
                </c:pt>
                <c:pt idx="19">
                  <c:v>4.0286326550520661E-2</c:v>
                </c:pt>
                <c:pt idx="20">
                  <c:v>4.5271666814180066E-2</c:v>
                </c:pt>
                <c:pt idx="21">
                  <c:v>5.0641640789163382E-2</c:v>
                </c:pt>
                <c:pt idx="22">
                  <c:v>5.6409412661231763E-2</c:v>
                </c:pt>
                <c:pt idx="23">
                  <c:v>6.2588074876345753E-2</c:v>
                </c:pt>
                <c:pt idx="24">
                  <c:v>6.9190651169947687E-2</c:v>
                </c:pt>
                <c:pt idx="25">
                  <c:v>7.6230099364780424E-2</c:v>
                </c:pt>
                <c:pt idx="26">
                  <c:v>2.1444459509808249E-3</c:v>
                </c:pt>
                <c:pt idx="27">
                  <c:v>3.3582241456973872E-3</c:v>
                </c:pt>
                <c:pt idx="28">
                  <c:v>4.9068880138747068E-3</c:v>
                </c:pt>
                <c:pt idx="29">
                  <c:v>6.8151075708502099E-3</c:v>
                </c:pt>
                <c:pt idx="30">
                  <c:v>9.1057043911114861E-3</c:v>
                </c:pt>
                <c:pt idx="31">
                  <c:v>1.18E-2</c:v>
                </c:pt>
                <c:pt idx="32">
                  <c:v>1.4918067435137477E-2</c:v>
                </c:pt>
                <c:pt idx="33">
                  <c:v>1.8478919881895171E-2</c:v>
                </c:pt>
                <c:pt idx="34">
                  <c:v>2.2500656400282697E-2</c:v>
                </c:pt>
                <c:pt idx="35">
                  <c:v>2.7000577252711221E-2</c:v>
                </c:pt>
                <c:pt idx="36">
                  <c:v>3.1995277013530742E-2</c:v>
                </c:pt>
                <c:pt idx="37">
                  <c:v>3.7500721013393148E-2</c:v>
                </c:pt>
                <c:pt idx="38">
                  <c:v>4.3532309006832831E-2</c:v>
                </c:pt>
                <c:pt idx="39">
                  <c:v>5.0104928858650588E-2</c:v>
                </c:pt>
                <c:pt idx="40">
                  <c:v>5.723300230515365E-2</c:v>
                </c:pt>
                <c:pt idx="41">
                  <c:v>6.493052433255056E-2</c:v>
                </c:pt>
                <c:pt idx="42">
                  <c:v>7.3211097349638335E-2</c:v>
                </c:pt>
                <c:pt idx="43">
                  <c:v>8.208796106710374E-2</c:v>
                </c:pt>
                <c:pt idx="44">
                  <c:v>9.1574018800250609E-2</c:v>
                </c:pt>
                <c:pt idx="45">
                  <c:v>0.10168186076530905</c:v>
                </c:pt>
                <c:pt idx="46">
                  <c:v>0.11242378482787661</c:v>
                </c:pt>
                <c:pt idx="47">
                  <c:v>0.12381181507600977</c:v>
                </c:pt>
                <c:pt idx="48">
                  <c:v>0.13585771852337089</c:v>
                </c:pt>
                <c:pt idx="49">
                  <c:v>0.14857302019492177</c:v>
                </c:pt>
                <c:pt idx="50">
                  <c:v>0.16196901680552392</c:v>
                </c:pt>
                <c:pt idx="51">
                  <c:v>0.17605678920794524</c:v>
                </c:pt>
                <c:pt idx="52">
                  <c:v>3.1224968853173973E-3</c:v>
                </c:pt>
                <c:pt idx="53">
                  <c:v>4.8986870038028778E-3</c:v>
                </c:pt>
                <c:pt idx="54">
                  <c:v>7.1686646069286583E-3</c:v>
                </c:pt>
                <c:pt idx="55">
                  <c:v>9.9696146249135982E-3</c:v>
                </c:pt>
                <c:pt idx="56">
                  <c:v>1.3335985095433468E-2</c:v>
                </c:pt>
                <c:pt idx="57">
                  <c:v>1.7299999999999999E-2</c:v>
                </c:pt>
                <c:pt idx="58">
                  <c:v>2.1892030043260402E-2</c:v>
                </c:pt>
                <c:pt idx="59">
                  <c:v>2.7140871001117211E-2</c:v>
                </c:pt>
                <c:pt idx="60">
                  <c:v>3.3073958972073464E-2</c:v>
                </c:pt>
                <c:pt idx="61">
                  <c:v>3.9717540883074283E-2</c:v>
                </c:pt>
                <c:pt idx="62">
                  <c:v>4.7096812262529861E-2</c:v>
                </c:pt>
                <c:pt idx="63">
                  <c:v>5.5236030441539907E-2</c:v>
                </c:pt>
                <c:pt idx="64">
                  <c:v>6.4158608902390182E-2</c:v>
                </c:pt>
                <c:pt idx="65">
                  <c:v>7.3887196889084308E-2</c:v>
                </c:pt>
                <c:pt idx="66">
                  <c:v>8.4443747308221753E-2</c:v>
                </c:pt>
                <c:pt idx="67">
                  <c:v>9.5849575193275999E-2</c:v>
                </c:pt>
                <c:pt idx="68">
                  <c:v>0.10812540846817942</c:v>
                </c:pt>
                <c:pt idx="69">
                  <c:v>0.12129143235635521</c:v>
                </c:pt>
                <c:pt idx="70">
                  <c:v>0.13536732849342048</c:v>
                </c:pt>
                <c:pt idx="71">
                  <c:v>0.15037230958569875</c:v>
                </c:pt>
                <c:pt idx="72">
                  <c:v>0.16632515029216041</c:v>
                </c:pt>
                <c:pt idx="73">
                  <c:v>0.18324421488052484</c:v>
                </c:pt>
                <c:pt idx="74">
                  <c:v>0.20114748210923608</c:v>
                </c:pt>
                <c:pt idx="75">
                  <c:v>0.22005256770891565</c:v>
                </c:pt>
                <c:pt idx="76">
                  <c:v>0.23997674477468051</c:v>
                </c:pt>
                <c:pt idx="77">
                  <c:v>0.2609369623306913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5A-40E1-907D-1993860BA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040440"/>
        <c:axId val="523030600"/>
      </c:scatterChart>
      <c:valAx>
        <c:axId val="523040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030600"/>
        <c:crosses val="autoZero"/>
        <c:crossBetween val="midCat"/>
      </c:valAx>
      <c:valAx>
        <c:axId val="52303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040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'27 Mysidacea'!$C$1</c:f>
              <c:strCache>
                <c:ptCount val="1"/>
                <c:pt idx="0">
                  <c:v>AFDW in mg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'27 Mysidacea'!$A$2:$A$29</c:f>
              <c:numCache>
                <c:formatCode>General</c:formatCode>
                <c:ptCount val="28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1</c:v>
                </c:pt>
                <c:pt idx="5">
                  <c:v>1.1000000000000001</c:v>
                </c:pt>
                <c:pt idx="6">
                  <c:v>1.2</c:v>
                </c:pt>
                <c:pt idx="7">
                  <c:v>1.3</c:v>
                </c:pt>
                <c:pt idx="8">
                  <c:v>1.4</c:v>
                </c:pt>
                <c:pt idx="9">
                  <c:v>1.5</c:v>
                </c:pt>
                <c:pt idx="10">
                  <c:v>1.6</c:v>
                </c:pt>
                <c:pt idx="11">
                  <c:v>1.7</c:v>
                </c:pt>
                <c:pt idx="12">
                  <c:v>1.8</c:v>
                </c:pt>
                <c:pt idx="13">
                  <c:v>1.9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</c:numCache>
            </c:numRef>
          </c:xVal>
          <c:yVal>
            <c:numRef>
              <c:f>'27 Mysidacea'!$C$2:$C$29</c:f>
              <c:numCache>
                <c:formatCode>General</c:formatCode>
                <c:ptCount val="28"/>
                <c:pt idx="0">
                  <c:v>4.2121889905411035E-4</c:v>
                </c:pt>
                <c:pt idx="1">
                  <c:v>6.7195970675738913E-4</c:v>
                </c:pt>
                <c:pt idx="2">
                  <c:v>1.007041186334852E-3</c:v>
                </c:pt>
                <c:pt idx="3">
                  <c:v>1.4388951387984171E-3</c:v>
                </c:pt>
                <c:pt idx="4">
                  <c:v>1.9799999999999996E-3</c:v>
                </c:pt>
                <c:pt idx="5">
                  <c:v>2.6428757603940748E-3</c:v>
                </c:pt>
                <c:pt idx="6">
                  <c:v>3.440079898696248E-3</c:v>
                </c:pt>
                <c:pt idx="7">
                  <c:v>4.3842040516469663E-3</c:v>
                </c:pt>
                <c:pt idx="8">
                  <c:v>5.4878712354570038E-3</c:v>
                </c:pt>
                <c:pt idx="9">
                  <c:v>6.7637334915850427E-3</c:v>
                </c:pt>
                <c:pt idx="10">
                  <c:v>8.224469866022599E-3</c:v>
                </c:pt>
                <c:pt idx="11">
                  <c:v>9.8827846555372256E-3</c:v>
                </c:pt>
                <c:pt idx="12">
                  <c:v>1.1751405870979947E-2</c:v>
                </c:pt>
                <c:pt idx="13">
                  <c:v>1.384308387950349E-2</c:v>
                </c:pt>
                <c:pt idx="14">
                  <c:v>1.6170590196010106E-2</c:v>
                </c:pt>
                <c:pt idx="15">
                  <c:v>5.5239172973459774E-2</c:v>
                </c:pt>
                <c:pt idx="16">
                  <c:v>0.13206464004409005</c:v>
                </c:pt>
                <c:pt idx="17">
                  <c:v>0.25965967513105326</c:v>
                </c:pt>
                <c:pt idx="18">
                  <c:v>0.45113637824259334</c:v>
                </c:pt>
                <c:pt idx="19">
                  <c:v>0.71968629402011075</c:v>
                </c:pt>
                <c:pt idx="20">
                  <c:v>1.078567259361902</c:v>
                </c:pt>
                <c:pt idx="21">
                  <c:v>1.5410940559554589</c:v>
                </c:pt>
                <c:pt idx="22">
                  <c:v>2.1206314126128216</c:v>
                </c:pt>
                <c:pt idx="23">
                  <c:v>2.8305885642043793</c:v>
                </c:pt>
                <c:pt idx="24">
                  <c:v>3.6844148965016124</c:v>
                </c:pt>
                <c:pt idx="25">
                  <c:v>4.6955963794075517</c:v>
                </c:pt>
                <c:pt idx="26">
                  <c:v>5.8776525910527511</c:v>
                </c:pt>
                <c:pt idx="27">
                  <c:v>7.2441341963619319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9E-4511-9BB3-1E0F01502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790744"/>
        <c:axId val="477788120"/>
      </c:scatterChart>
      <c:valAx>
        <c:axId val="477790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788120"/>
        <c:crosses val="autoZero"/>
        <c:crossBetween val="midCat"/>
      </c:valAx>
      <c:valAx>
        <c:axId val="477788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790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23652974628171478"/>
                  <c:y val="-5.61009040536599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'9 Nematoda'!$A$2:$A$5</c:f>
              <c:numCache>
                <c:formatCode>General</c:formatCode>
                <c:ptCount val="4"/>
                <c:pt idx="0">
                  <c:v>0.04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</c:numCache>
            </c:numRef>
          </c:xVal>
          <c:yVal>
            <c:numRef>
              <c:f>'9 Nematoda'!$C$2:$C$5</c:f>
              <c:numCache>
                <c:formatCode>General</c:formatCode>
                <c:ptCount val="4"/>
                <c:pt idx="0">
                  <c:v>1.4999999999999999E-4</c:v>
                </c:pt>
                <c:pt idx="1">
                  <c:v>2.9E-4</c:v>
                </c:pt>
                <c:pt idx="2">
                  <c:v>5.8999999999999992E-4</c:v>
                </c:pt>
                <c:pt idx="3">
                  <c:v>3.2000000000000002E-3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FA-4084-B83D-5FB3E834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659488"/>
        <c:axId val="538659816"/>
      </c:scatterChart>
      <c:valAx>
        <c:axId val="53865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659816"/>
        <c:crosses val="autoZero"/>
        <c:crossBetween val="midCat"/>
      </c:valAx>
      <c:valAx>
        <c:axId val="53865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659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 Acari'!$D$1</c:f>
              <c:strCache>
                <c:ptCount val="1"/>
                <c:pt idx="0">
                  <c:v>AFDM mg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</a:t>
                    </a:r>
                    <a:r>
                      <a:rPr lang="en-US" sz="1030" baseline="0"/>
                      <a:t>0.0829x</a:t>
                    </a:r>
                    <a:r>
                      <a:rPr lang="en-US" sz="1030" baseline="30000"/>
                      <a:t>1.7467</a:t>
                    </a:r>
                    <a:endParaRPr lang="en-US" sz="103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'8 Acari'!$A$2:$A$31</c:f>
              <c:numCache>
                <c:formatCode>General</c:formatCode>
                <c:ptCount val="3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'8 Acari'!$D$2:$D$31</c:f>
              <c:numCache>
                <c:formatCode>General</c:formatCode>
                <c:ptCount val="30"/>
                <c:pt idx="0">
                  <c:v>2.0315297499662924E-3</c:v>
                </c:pt>
                <c:pt idx="1">
                  <c:v>6.4199697150113923E-3</c:v>
                </c:pt>
                <c:pt idx="2">
                  <c:v>1.2584746430851328E-2</c:v>
                </c:pt>
                <c:pt idx="3">
                  <c:v>2.0288165183083007E-2</c:v>
                </c:pt>
                <c:pt idx="4">
                  <c:v>2.9384167688987696E-2</c:v>
                </c:pt>
                <c:pt idx="5">
                  <c:v>3.976987831879096E-2</c:v>
                </c:pt>
                <c:pt idx="6">
                  <c:v>5.1367204706919675E-2</c:v>
                </c:pt>
                <c:pt idx="7">
                  <c:v>6.4113954546175175E-2</c:v>
                </c:pt>
                <c:pt idx="8">
                  <c:v>7.7958908911598887E-2</c:v>
                </c:pt>
                <c:pt idx="9">
                  <c:v>9.2858825556085198E-2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A4-4D50-B3D1-DC15CFCB0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334592"/>
        <c:axId val="368335904"/>
      </c:scatterChart>
      <c:valAx>
        <c:axId val="36833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335904"/>
        <c:crosses val="autoZero"/>
        <c:crossBetween val="midCat"/>
      </c:valAx>
      <c:valAx>
        <c:axId val="36833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334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33430927384076992"/>
                  <c:y val="-5.503353747448235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'7 Caprellids'!$A$2:$A$105</c:f>
              <c:numCache>
                <c:formatCode>General</c:formatCode>
                <c:ptCount val="104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0.5</c:v>
                </c:pt>
                <c:pt idx="27">
                  <c:v>0.6</c:v>
                </c:pt>
                <c:pt idx="28">
                  <c:v>0.7</c:v>
                </c:pt>
                <c:pt idx="29">
                  <c:v>0.8</c:v>
                </c:pt>
                <c:pt idx="30">
                  <c:v>0.9</c:v>
                </c:pt>
                <c:pt idx="31">
                  <c:v>1</c:v>
                </c:pt>
                <c:pt idx="32">
                  <c:v>1.1000000000000001</c:v>
                </c:pt>
                <c:pt idx="33">
                  <c:v>1.2</c:v>
                </c:pt>
                <c:pt idx="34">
                  <c:v>1.3</c:v>
                </c:pt>
                <c:pt idx="35">
                  <c:v>1.4</c:v>
                </c:pt>
                <c:pt idx="36">
                  <c:v>1.5</c:v>
                </c:pt>
                <c:pt idx="37">
                  <c:v>1.6</c:v>
                </c:pt>
                <c:pt idx="38">
                  <c:v>1.7</c:v>
                </c:pt>
                <c:pt idx="39">
                  <c:v>1.8</c:v>
                </c:pt>
                <c:pt idx="40">
                  <c:v>1.9</c:v>
                </c:pt>
                <c:pt idx="41">
                  <c:v>2</c:v>
                </c:pt>
                <c:pt idx="42">
                  <c:v>2.1</c:v>
                </c:pt>
                <c:pt idx="43">
                  <c:v>2.2000000000000002</c:v>
                </c:pt>
                <c:pt idx="44">
                  <c:v>2.2999999999999998</c:v>
                </c:pt>
                <c:pt idx="45">
                  <c:v>2.4</c:v>
                </c:pt>
                <c:pt idx="46">
                  <c:v>2.5</c:v>
                </c:pt>
                <c:pt idx="47">
                  <c:v>2.6</c:v>
                </c:pt>
                <c:pt idx="48">
                  <c:v>2.7</c:v>
                </c:pt>
                <c:pt idx="49">
                  <c:v>2.8</c:v>
                </c:pt>
                <c:pt idx="50">
                  <c:v>2.9</c:v>
                </c:pt>
                <c:pt idx="51">
                  <c:v>3</c:v>
                </c:pt>
                <c:pt idx="52">
                  <c:v>0.5</c:v>
                </c:pt>
                <c:pt idx="53">
                  <c:v>0.6</c:v>
                </c:pt>
                <c:pt idx="54">
                  <c:v>0.7</c:v>
                </c:pt>
                <c:pt idx="55">
                  <c:v>0.8</c:v>
                </c:pt>
                <c:pt idx="56">
                  <c:v>0.9</c:v>
                </c:pt>
                <c:pt idx="57">
                  <c:v>1</c:v>
                </c:pt>
                <c:pt idx="58">
                  <c:v>1.1000000000000001</c:v>
                </c:pt>
                <c:pt idx="59">
                  <c:v>1.2</c:v>
                </c:pt>
                <c:pt idx="60">
                  <c:v>1.3</c:v>
                </c:pt>
                <c:pt idx="61">
                  <c:v>1.4</c:v>
                </c:pt>
                <c:pt idx="62">
                  <c:v>1.5</c:v>
                </c:pt>
                <c:pt idx="63">
                  <c:v>1.6</c:v>
                </c:pt>
                <c:pt idx="64">
                  <c:v>1.7</c:v>
                </c:pt>
                <c:pt idx="65">
                  <c:v>1.8</c:v>
                </c:pt>
                <c:pt idx="66">
                  <c:v>1.9</c:v>
                </c:pt>
                <c:pt idx="67">
                  <c:v>2</c:v>
                </c:pt>
                <c:pt idx="68">
                  <c:v>2.1</c:v>
                </c:pt>
                <c:pt idx="69">
                  <c:v>2.2000000000000002</c:v>
                </c:pt>
                <c:pt idx="70">
                  <c:v>2.2999999999999998</c:v>
                </c:pt>
                <c:pt idx="71">
                  <c:v>2.4</c:v>
                </c:pt>
                <c:pt idx="72">
                  <c:v>2.5</c:v>
                </c:pt>
                <c:pt idx="73">
                  <c:v>2.6</c:v>
                </c:pt>
                <c:pt idx="74">
                  <c:v>2.7</c:v>
                </c:pt>
                <c:pt idx="75">
                  <c:v>2.8</c:v>
                </c:pt>
                <c:pt idx="76">
                  <c:v>2.9</c:v>
                </c:pt>
                <c:pt idx="77">
                  <c:v>3</c:v>
                </c:pt>
                <c:pt idx="78">
                  <c:v>0.5</c:v>
                </c:pt>
                <c:pt idx="79">
                  <c:v>0.6</c:v>
                </c:pt>
                <c:pt idx="80">
                  <c:v>0.7</c:v>
                </c:pt>
                <c:pt idx="81">
                  <c:v>0.8</c:v>
                </c:pt>
                <c:pt idx="82">
                  <c:v>0.9</c:v>
                </c:pt>
                <c:pt idx="83">
                  <c:v>1</c:v>
                </c:pt>
                <c:pt idx="84">
                  <c:v>1.1000000000000001</c:v>
                </c:pt>
                <c:pt idx="85">
                  <c:v>1.2</c:v>
                </c:pt>
                <c:pt idx="86">
                  <c:v>1.3</c:v>
                </c:pt>
                <c:pt idx="87">
                  <c:v>1.4</c:v>
                </c:pt>
                <c:pt idx="88">
                  <c:v>1.5</c:v>
                </c:pt>
                <c:pt idx="89">
                  <c:v>1.6</c:v>
                </c:pt>
                <c:pt idx="90">
                  <c:v>1.7</c:v>
                </c:pt>
                <c:pt idx="91">
                  <c:v>1.8</c:v>
                </c:pt>
                <c:pt idx="92">
                  <c:v>1.9</c:v>
                </c:pt>
                <c:pt idx="93">
                  <c:v>2</c:v>
                </c:pt>
                <c:pt idx="94">
                  <c:v>2.1</c:v>
                </c:pt>
                <c:pt idx="95">
                  <c:v>2.2000000000000002</c:v>
                </c:pt>
                <c:pt idx="96">
                  <c:v>2.2999999999999998</c:v>
                </c:pt>
                <c:pt idx="97">
                  <c:v>2.4</c:v>
                </c:pt>
                <c:pt idx="98">
                  <c:v>2.5</c:v>
                </c:pt>
                <c:pt idx="99">
                  <c:v>2.6</c:v>
                </c:pt>
                <c:pt idx="100">
                  <c:v>2.7</c:v>
                </c:pt>
                <c:pt idx="101">
                  <c:v>2.8</c:v>
                </c:pt>
                <c:pt idx="102">
                  <c:v>2.9</c:v>
                </c:pt>
                <c:pt idx="103">
                  <c:v>3</c:v>
                </c:pt>
              </c:numCache>
            </c:numRef>
          </c:xVal>
          <c:yVal>
            <c:numRef>
              <c:f>'7 Caprellids'!$C$2:$C$105</c:f>
              <c:numCache>
                <c:formatCode>General</c:formatCode>
                <c:ptCount val="104"/>
                <c:pt idx="0">
                  <c:v>6.6340105906597291E-4</c:v>
                </c:pt>
                <c:pt idx="1">
                  <c:v>1.0895027505385874E-3</c:v>
                </c:pt>
                <c:pt idx="2">
                  <c:v>1.6572596081964423E-3</c:v>
                </c:pt>
                <c:pt idx="3">
                  <c:v>2.383343465121287E-3</c:v>
                </c:pt>
                <c:pt idx="4">
                  <c:v>3.283769364764363E-3</c:v>
                </c:pt>
                <c:pt idx="5">
                  <c:v>4.3740000000000003E-3</c:v>
                </c:pt>
                <c:pt idx="6">
                  <c:v>5.6690237313905848E-3</c:v>
                </c:pt>
                <c:pt idx="7">
                  <c:v>7.18341486756938E-3</c:v>
                </c:pt>
                <c:pt idx="8">
                  <c:v>8.9313814973209834E-3</c:v>
                </c:pt>
                <c:pt idx="9">
                  <c:v>1.0926804271999765E-2</c:v>
                </c:pt>
                <c:pt idx="10">
                  <c:v>1.3183268417063639E-2</c:v>
                </c:pt>
                <c:pt idx="11">
                  <c:v>1.571409055499233E-2</c:v>
                </c:pt>
                <c:pt idx="12">
                  <c:v>1.853234147081911E-2</c:v>
                </c:pt>
                <c:pt idx="13">
                  <c:v>2.1650865649358208E-2</c:v>
                </c:pt>
                <c:pt idx="14">
                  <c:v>2.5082298204876279E-2</c:v>
                </c:pt>
                <c:pt idx="15">
                  <c:v>2.8839079676683792E-2</c:v>
                </c:pt>
                <c:pt idx="16">
                  <c:v>3.2933469057725311E-2</c:v>
                </c:pt>
                <c:pt idx="17">
                  <c:v>3.7377555344898117E-2</c:v>
                </c:pt>
                <c:pt idx="18">
                  <c:v>4.2183267841142555E-2</c:v>
                </c:pt>
                <c:pt idx="19">
                  <c:v>4.736238539472068E-2</c:v>
                </c:pt>
                <c:pt idx="20">
                  <c:v>5.292654472669369E-2</c:v>
                </c:pt>
                <c:pt idx="21">
                  <c:v>5.8887247970758852E-2</c:v>
                </c:pt>
                <c:pt idx="22">
                  <c:v>6.5255869528411531E-2</c:v>
                </c:pt>
                <c:pt idx="23">
                  <c:v>7.2043662325498387E-2</c:v>
                </c:pt>
                <c:pt idx="24">
                  <c:v>7.9261763542625929E-2</c:v>
                </c:pt>
                <c:pt idx="25">
                  <c:v>8.6921199880843E-2</c:v>
                </c:pt>
                <c:pt idx="26">
                  <c:v>2.0293120392897451E-4</c:v>
                </c:pt>
                <c:pt idx="27">
                  <c:v>3.2145716902733665E-4</c:v>
                </c:pt>
                <c:pt idx="28">
                  <c:v>4.7427459945518407E-4</c:v>
                </c:pt>
                <c:pt idx="29">
                  <c:v>6.6426833132685254E-4</c:v>
                </c:pt>
                <c:pt idx="30">
                  <c:v>8.9413143219847194E-4</c:v>
                </c:pt>
                <c:pt idx="31">
                  <c:v>1.1663999999999999E-3</c:v>
                </c:pt>
                <c:pt idx="32">
                  <c:v>1.4834784970752825E-3</c:v>
                </c:pt>
                <c:pt idx="33">
                  <c:v>1.8476588848539838E-3</c:v>
                </c:pt>
                <c:pt idx="34">
                  <c:v>2.2611355017834412E-3</c:v>
                </c:pt>
                <c:pt idx="35">
                  <c:v>2.7260169066859884E-3</c:v>
                </c:pt>
                <c:pt idx="36">
                  <c:v>3.2443354916362375E-3</c:v>
                </c:pt>
                <c:pt idx="37">
                  <c:v>3.8180554131577518E-3</c:v>
                </c:pt>
                <c:pt idx="38">
                  <c:v>4.4490792279555857E-3</c:v>
                </c:pt>
                <c:pt idx="39">
                  <c:v>5.1392535121474753E-3</c:v>
                </c:pt>
                <c:pt idx="40">
                  <c:v>5.8903736700464723E-3</c:v>
                </c:pt>
                <c:pt idx="41">
                  <c:v>6.7041880876839814E-3</c:v>
                </c:pt>
                <c:pt idx="42">
                  <c:v>7.5824017499672366E-3</c:v>
                </c:pt>
                <c:pt idx="43">
                  <c:v>8.5266794139467125E-3</c:v>
                </c:pt>
                <c:pt idx="44">
                  <c:v>9.5386484110966032E-3</c:v>
                </c:pt>
                <c:pt idx="45">
                  <c:v>1.061990113678116E-2</c:v>
                </c:pt>
                <c:pt idx="46">
                  <c:v>1.1771997273834949E-2</c:v>
                </c:pt>
                <c:pt idx="47">
                  <c:v>1.2996465788490985E-2</c:v>
                </c:pt>
                <c:pt idx="48">
                  <c:v>1.4294806730089366E-2</c:v>
                </c:pt>
                <c:pt idx="49">
                  <c:v>1.5668492860621865E-2</c:v>
                </c:pt>
                <c:pt idx="50">
                  <c:v>1.7118971135875505E-2</c:v>
                </c:pt>
                <c:pt idx="51">
                  <c:v>1.8647664056479787E-2</c:v>
                </c:pt>
                <c:pt idx="52">
                  <c:v>4.0923195834583018E-4</c:v>
                </c:pt>
                <c:pt idx="53">
                  <c:v>6.8594613278073356E-4</c:v>
                </c:pt>
                <c:pt idx="54">
                  <c:v>1.0615739846771086E-3</c:v>
                </c:pt>
                <c:pt idx="55">
                  <c:v>1.5496779470923344E-3</c:v>
                </c:pt>
                <c:pt idx="56">
                  <c:v>2.1634982532015958E-3</c:v>
                </c:pt>
                <c:pt idx="57">
                  <c:v>2.9160000000000002E-3</c:v>
                </c:pt>
                <c:pt idx="58">
                  <c:v>3.819908821178059E-3</c:v>
                </c:pt>
                <c:pt idx="59">
                  <c:v>4.8877388053312574E-3</c:v>
                </c:pt>
                <c:pt idx="60">
                  <c:v>6.1318149045303709E-3</c:v>
                </c:pt>
                <c:pt idx="61">
                  <c:v>7.5642912929651702E-3</c:v>
                </c:pt>
                <c:pt idx="62">
                  <c:v>9.1971666649113999E-3</c:v>
                </c:pt>
                <c:pt idx="63">
                  <c:v>1.1042297165615025E-2</c:v>
                </c:pt>
                <c:pt idx="64">
                  <c:v>1.3111407455413372E-2</c:v>
                </c:pt>
                <c:pt idx="65">
                  <c:v>1.5416100276812934E-2</c:v>
                </c:pt>
                <c:pt idx="66">
                  <c:v>1.7967864803467914E-2</c:v>
                </c:pt>
                <c:pt idx="67">
                  <c:v>2.0778083985352653E-2</c:v>
                </c:pt>
                <c:pt idx="68">
                  <c:v>2.3858041057386425E-2</c:v>
                </c:pt>
                <c:pt idx="69">
                  <c:v>2.7218925343905073E-2</c:v>
                </c:pt>
                <c:pt idx="70">
                  <c:v>3.0871837465097564E-2</c:v>
                </c:pt>
                <c:pt idx="71">
                  <c:v>3.4827794031426648E-2</c:v>
                </c:pt>
                <c:pt idx="72">
                  <c:v>3.9097731896470152E-2</c:v>
                </c:pt>
                <c:pt idx="73">
                  <c:v>4.3692512026395479E-2</c:v>
                </c:pt>
                <c:pt idx="74">
                  <c:v>4.8622923034580011E-2</c:v>
                </c:pt>
                <c:pt idx="75">
                  <c:v>5.3899684422120064E-2</c:v>
                </c:pt>
                <c:pt idx="76">
                  <c:v>5.9533449558687009E-2</c:v>
                </c:pt>
                <c:pt idx="77">
                  <c:v>6.5534808433064098E-2</c:v>
                </c:pt>
                <c:pt idx="78">
                  <c:v>4.3298232779269722E-3</c:v>
                </c:pt>
                <c:pt idx="79">
                  <c:v>6.0358494842132652E-3</c:v>
                </c:pt>
                <c:pt idx="80">
                  <c:v>7.9931037837815602E-3</c:v>
                </c:pt>
                <c:pt idx="81">
                  <c:v>1.0194754672806778E-2</c:v>
                </c:pt>
                <c:pt idx="82">
                  <c:v>1.2635041574035201E-2</c:v>
                </c:pt>
                <c:pt idx="83">
                  <c:v>1.5309E-2</c:v>
                </c:pt>
                <c:pt idx="84">
                  <c:v>1.8212279026020198E-2</c:v>
                </c:pt>
                <c:pt idx="85">
                  <c:v>2.1341014129810258E-2</c:v>
                </c:pt>
                <c:pt idx="86">
                  <c:v>2.4691735206339358E-2</c:v>
                </c:pt>
                <c:pt idx="87">
                  <c:v>2.8261297972534891E-2</c:v>
                </c:pt>
                <c:pt idx="88">
                  <c:v>3.2046831512750569E-2</c:v>
                </c:pt>
                <c:pt idx="89">
                  <c:v>3.6045697310935688E-2</c:v>
                </c:pt>
                <c:pt idx="90">
                  <c:v>4.0255456672751808E-2</c:v>
                </c:pt>
                <c:pt idx="91">
                  <c:v>4.4673844413695117E-2</c:v>
                </c:pt>
                <c:pt idx="92">
                  <c:v>4.9298747318070171E-2</c:v>
                </c:pt>
                <c:pt idx="93">
                  <c:v>5.4128186292214969E-2</c:v>
                </c:pt>
                <c:pt idx="94">
                  <c:v>5.9160301421220522E-2</c:v>
                </c:pt>
                <c:pt idx="95">
                  <c:v>6.4393339338050873E-2</c:v>
                </c:pt>
                <c:pt idx="96">
                  <c:v>6.9825642456249379E-2</c:v>
                </c:pt>
                <c:pt idx="97">
                  <c:v>7.5455639720632406E-2</c:v>
                </c:pt>
                <c:pt idx="98">
                  <c:v>8.1281838606458504E-2</c:v>
                </c:pt>
                <c:pt idx="99">
                  <c:v>8.7302818154469899E-2</c:v>
                </c:pt>
                <c:pt idx="100">
                  <c:v>9.3517222872331315E-2</c:v>
                </c:pt>
                <c:pt idx="101">
                  <c:v>9.992375736607001E-2</c:v>
                </c:pt>
                <c:pt idx="102">
                  <c:v>0.10652118159077592</c:v>
                </c:pt>
                <c:pt idx="103">
                  <c:v>0.11330830662991624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F7-4D83-8F31-823B5E0D2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337736"/>
        <c:axId val="540970112"/>
      </c:scatterChart>
      <c:valAx>
        <c:axId val="393337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70112"/>
        <c:crosses val="autoZero"/>
        <c:crossBetween val="midCat"/>
      </c:valAx>
      <c:valAx>
        <c:axId val="54097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337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5.3992606575963366E-2"/>
                  <c:y val="4.119326112159769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0.0166x</a:t>
                    </a:r>
                    <a:r>
                      <a:rPr lang="en-US" sz="1200" baseline="30000"/>
                      <a:t>1.928</a:t>
                    </a:r>
                    <a:endParaRPr lang="en-US" sz="12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'6 Ostracoda'!$A$2:$A$9</c:f>
              <c:numCache>
                <c:formatCode>General</c:formatCode>
                <c:ptCount val="8"/>
                <c:pt idx="0">
                  <c:v>0.23</c:v>
                </c:pt>
                <c:pt idx="1">
                  <c:v>0.4</c:v>
                </c:pt>
                <c:pt idx="2">
                  <c:v>0.64</c:v>
                </c:pt>
                <c:pt idx="3">
                  <c:v>0.23</c:v>
                </c:pt>
                <c:pt idx="4">
                  <c:v>0.24</c:v>
                </c:pt>
                <c:pt idx="5">
                  <c:v>0.43</c:v>
                </c:pt>
                <c:pt idx="6">
                  <c:v>0.99</c:v>
                </c:pt>
                <c:pt idx="7">
                  <c:v>1.0669999999999999</c:v>
                </c:pt>
              </c:numCache>
            </c:numRef>
          </c:xVal>
          <c:yVal>
            <c:numRef>
              <c:f>'6 Ostracoda'!$D$2:$D$9</c:f>
              <c:numCache>
                <c:formatCode>General</c:formatCode>
                <c:ptCount val="8"/>
                <c:pt idx="0">
                  <c:v>8.9999999999999998E-4</c:v>
                </c:pt>
                <c:pt idx="1">
                  <c:v>3.3300000000000005E-3</c:v>
                </c:pt>
                <c:pt idx="2">
                  <c:v>7.9500000000000005E-3</c:v>
                </c:pt>
                <c:pt idx="3">
                  <c:v>6.6E-4</c:v>
                </c:pt>
                <c:pt idx="4">
                  <c:v>1.1475000000000001E-3</c:v>
                </c:pt>
                <c:pt idx="5">
                  <c:v>4.9275000000000005E-3</c:v>
                </c:pt>
                <c:pt idx="6">
                  <c:v>1.4857499999999999E-2</c:v>
                </c:pt>
                <c:pt idx="7">
                  <c:v>1.491E-2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DC-458D-B289-A4D5D0C08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162360"/>
        <c:axId val="268162032"/>
      </c:scatterChart>
      <c:valAx>
        <c:axId val="268162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162032"/>
        <c:crosses val="autoZero"/>
        <c:crossBetween val="midCat"/>
      </c:valAx>
      <c:valAx>
        <c:axId val="26816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162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8.7309273840769905E-2"/>
                  <c:y val="-0.128690580344123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'5 Polychaeta'!$A$2:$A$79</c:f>
              <c:numCache>
                <c:formatCode>General</c:formatCode>
                <c:ptCount val="78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0.5</c:v>
                </c:pt>
                <c:pt idx="27">
                  <c:v>0.6</c:v>
                </c:pt>
                <c:pt idx="28">
                  <c:v>0.7</c:v>
                </c:pt>
                <c:pt idx="29">
                  <c:v>0.8</c:v>
                </c:pt>
                <c:pt idx="30">
                  <c:v>0.9</c:v>
                </c:pt>
                <c:pt idx="31">
                  <c:v>1</c:v>
                </c:pt>
                <c:pt idx="32">
                  <c:v>1.1000000000000001</c:v>
                </c:pt>
                <c:pt idx="33">
                  <c:v>1.2</c:v>
                </c:pt>
                <c:pt idx="34">
                  <c:v>1.3</c:v>
                </c:pt>
                <c:pt idx="35">
                  <c:v>1.4</c:v>
                </c:pt>
                <c:pt idx="36">
                  <c:v>1.5</c:v>
                </c:pt>
                <c:pt idx="37">
                  <c:v>1.6</c:v>
                </c:pt>
                <c:pt idx="38">
                  <c:v>1.7</c:v>
                </c:pt>
                <c:pt idx="39">
                  <c:v>1.8</c:v>
                </c:pt>
                <c:pt idx="40">
                  <c:v>1.9</c:v>
                </c:pt>
                <c:pt idx="41">
                  <c:v>2</c:v>
                </c:pt>
                <c:pt idx="42">
                  <c:v>2.1</c:v>
                </c:pt>
                <c:pt idx="43">
                  <c:v>2.2000000000000002</c:v>
                </c:pt>
                <c:pt idx="44">
                  <c:v>2.2999999999999998</c:v>
                </c:pt>
                <c:pt idx="45">
                  <c:v>2.4</c:v>
                </c:pt>
                <c:pt idx="46">
                  <c:v>2.5</c:v>
                </c:pt>
                <c:pt idx="47">
                  <c:v>2.6</c:v>
                </c:pt>
                <c:pt idx="48">
                  <c:v>2.7</c:v>
                </c:pt>
                <c:pt idx="49">
                  <c:v>2.8</c:v>
                </c:pt>
                <c:pt idx="50">
                  <c:v>2.9</c:v>
                </c:pt>
                <c:pt idx="51">
                  <c:v>3</c:v>
                </c:pt>
                <c:pt idx="52">
                  <c:v>0.5</c:v>
                </c:pt>
                <c:pt idx="53">
                  <c:v>0.6</c:v>
                </c:pt>
                <c:pt idx="54">
                  <c:v>0.7</c:v>
                </c:pt>
                <c:pt idx="55">
                  <c:v>0.8</c:v>
                </c:pt>
                <c:pt idx="56">
                  <c:v>0.9</c:v>
                </c:pt>
                <c:pt idx="57">
                  <c:v>1</c:v>
                </c:pt>
                <c:pt idx="58">
                  <c:v>1.1000000000000001</c:v>
                </c:pt>
                <c:pt idx="59">
                  <c:v>1.2</c:v>
                </c:pt>
                <c:pt idx="60">
                  <c:v>1.3</c:v>
                </c:pt>
                <c:pt idx="61">
                  <c:v>1.4</c:v>
                </c:pt>
                <c:pt idx="62">
                  <c:v>1.5</c:v>
                </c:pt>
                <c:pt idx="63">
                  <c:v>1.6</c:v>
                </c:pt>
                <c:pt idx="64">
                  <c:v>1.7</c:v>
                </c:pt>
                <c:pt idx="65">
                  <c:v>1.8</c:v>
                </c:pt>
                <c:pt idx="66">
                  <c:v>1.9</c:v>
                </c:pt>
                <c:pt idx="67">
                  <c:v>2</c:v>
                </c:pt>
                <c:pt idx="68">
                  <c:v>2.1</c:v>
                </c:pt>
                <c:pt idx="69">
                  <c:v>2.2000000000000002</c:v>
                </c:pt>
                <c:pt idx="70">
                  <c:v>2.2999999999999998</c:v>
                </c:pt>
                <c:pt idx="71">
                  <c:v>2.4</c:v>
                </c:pt>
                <c:pt idx="72">
                  <c:v>2.5</c:v>
                </c:pt>
                <c:pt idx="73">
                  <c:v>2.6</c:v>
                </c:pt>
                <c:pt idx="74">
                  <c:v>2.7</c:v>
                </c:pt>
                <c:pt idx="75">
                  <c:v>2.8</c:v>
                </c:pt>
                <c:pt idx="76">
                  <c:v>2.9</c:v>
                </c:pt>
                <c:pt idx="77">
                  <c:v>3</c:v>
                </c:pt>
              </c:numCache>
            </c:numRef>
          </c:xVal>
          <c:yVal>
            <c:numRef>
              <c:f>'5 Polychaeta'!$B$2:$B$79</c:f>
              <c:numCache>
                <c:formatCode>General</c:formatCode>
                <c:ptCount val="78"/>
                <c:pt idx="0">
                  <c:v>5.005665738952714E-4</c:v>
                </c:pt>
                <c:pt idx="1">
                  <c:v>7.4758501379847543E-4</c:v>
                </c:pt>
                <c:pt idx="2">
                  <c:v>1.0494059543118819E-3</c:v>
                </c:pt>
                <c:pt idx="3">
                  <c:v>1.4077508796909344E-3</c:v>
                </c:pt>
                <c:pt idx="4">
                  <c:v>1.8241533990784999E-3</c:v>
                </c:pt>
                <c:pt idx="5">
                  <c:v>2.3E-3</c:v>
                </c:pt>
                <c:pt idx="6">
                  <c:v>2.8365584912757244E-3</c:v>
                </c:pt>
                <c:pt idx="7">
                  <c:v>3.4349987022829782E-3</c:v>
                </c:pt>
                <c:pt idx="8">
                  <c:v>4.0964080516641523E-3</c:v>
                </c:pt>
                <c:pt idx="9">
                  <c:v>4.8218035737686094E-3</c:v>
                </c:pt>
                <c:pt idx="10">
                  <c:v>5.6121414159480904E-3</c:v>
                </c:pt>
                <c:pt idx="11">
                  <c:v>6.4683244789864227E-3</c:v>
                </c:pt>
                <c:pt idx="12">
                  <c:v>7.3912086617337336E-3</c:v>
                </c:pt>
                <c:pt idx="13">
                  <c:v>8.381608035134892E-3</c:v>
                </c:pt>
                <c:pt idx="14">
                  <c:v>9.4402991805905764E-3</c:v>
                </c:pt>
                <c:pt idx="15">
                  <c:v>1.0568024865972721E-2</c:v>
                </c:pt>
                <c:pt idx="16">
                  <c:v>1.1765497189527538E-2</c:v>
                </c:pt>
                <c:pt idx="17">
                  <c:v>1.3033400291125187E-2</c:v>
                </c:pt>
                <c:pt idx="18">
                  <c:v>1.4372392707920499E-2</c:v>
                </c:pt>
                <c:pt idx="19">
                  <c:v>1.578310943491763E-2</c:v>
                </c:pt>
                <c:pt idx="20">
                  <c:v>1.7266163738483081E-2</c:v>
                </c:pt>
                <c:pt idx="21">
                  <c:v>1.8822148761372892E-2</c:v>
                </c:pt>
                <c:pt idx="22">
                  <c:v>2.0451638950532099E-2</c:v>
                </c:pt>
                <c:pt idx="23">
                  <c:v>2.2155191333227311E-2</c:v>
                </c:pt>
                <c:pt idx="24">
                  <c:v>2.3933346662585279E-2</c:v>
                </c:pt>
                <c:pt idx="25">
                  <c:v>2.5786630450041214E-2</c:v>
                </c:pt>
                <c:pt idx="26">
                  <c:v>3.3087433447423673E-3</c:v>
                </c:pt>
                <c:pt idx="27">
                  <c:v>4.4375666285972589E-3</c:v>
                </c:pt>
                <c:pt idx="28">
                  <c:v>5.6876022611955356E-3</c:v>
                </c:pt>
                <c:pt idx="29">
                  <c:v>7.0517393748543242E-3</c:v>
                </c:pt>
                <c:pt idx="30">
                  <c:v>8.5241643392046304E-3</c:v>
                </c:pt>
                <c:pt idx="31">
                  <c:v>1.01E-2</c:v>
                </c:pt>
                <c:pt idx="32">
                  <c:v>1.1775072692359044E-2</c:v>
                </c:pt>
                <c:pt idx="33">
                  <c:v>1.3545753864545255E-2</c:v>
                </c:pt>
                <c:pt idx="34">
                  <c:v>1.5408847996206228E-2</c:v>
                </c:pt>
                <c:pt idx="35">
                  <c:v>1.7361510656109171E-2</c:v>
                </c:pt>
                <c:pt idx="36">
                  <c:v>1.9401186963852214E-2</c:v>
                </c:pt>
                <c:pt idx="37">
                  <c:v>2.1525564320122377E-2</c:v>
                </c:pt>
                <c:pt idx="38">
                  <c:v>2.3732535391911856E-2</c:v>
                </c:pt>
                <c:pt idx="39">
                  <c:v>2.6020168642808539E-2</c:v>
                </c:pt>
                <c:pt idx="40">
                  <c:v>2.8386684528346435E-2</c:v>
                </c:pt>
                <c:pt idx="41">
                  <c:v>3.0830436021003292E-2</c:v>
                </c:pt>
                <c:pt idx="42">
                  <c:v>3.3349892496444225E-2</c:v>
                </c:pt>
                <c:pt idx="43">
                  <c:v>3.5943626265785997E-2</c:v>
                </c:pt>
                <c:pt idx="44">
                  <c:v>3.8610301216958152E-2</c:v>
                </c:pt>
                <c:pt idx="45">
                  <c:v>4.1348663156150552E-2</c:v>
                </c:pt>
                <c:pt idx="46">
                  <c:v>4.4157531533638966E-2</c:v>
                </c:pt>
                <c:pt idx="47">
                  <c:v>4.7035792307366431E-2</c:v>
                </c:pt>
                <c:pt idx="48">
                  <c:v>4.9982391749514174E-2</c:v>
                </c:pt>
                <c:pt idx="49">
                  <c:v>5.2996331040707001E-2</c:v>
                </c:pt>
                <c:pt idx="50">
                  <c:v>5.6076661526795378E-2</c:v>
                </c:pt>
                <c:pt idx="51">
                  <c:v>5.9222480536689999E-2</c:v>
                </c:pt>
                <c:pt idx="52">
                  <c:v>3.8963028002490088E-2</c:v>
                </c:pt>
                <c:pt idx="53">
                  <c:v>4.7702801346053932E-2</c:v>
                </c:pt>
                <c:pt idx="54">
                  <c:v>5.6605003321402426E-2</c:v>
                </c:pt>
                <c:pt idx="55">
                  <c:v>6.564866234704031E-2</c:v>
                </c:pt>
                <c:pt idx="56">
                  <c:v>7.481784264718451E-2</c:v>
                </c:pt>
                <c:pt idx="57">
                  <c:v>8.4099999999999994E-2</c:v>
                </c:pt>
                <c:pt idx="58">
                  <c:v>9.3484987935244138E-2</c:v>
                </c:pt>
                <c:pt idx="59">
                  <c:v>0.10296442034604562</c:v>
                </c:pt>
                <c:pt idx="60">
                  <c:v>0.1125312432130907</c:v>
                </c:pt>
                <c:pt idx="61">
                  <c:v>0.12217943582376878</c:v>
                </c:pt>
                <c:pt idx="62">
                  <c:v>0.13190379577464201</c:v>
                </c:pt>
                <c:pt idx="63">
                  <c:v>0.14169978018734183</c:v>
                </c:pt>
                <c:pt idx="64">
                  <c:v>0.15156338581357698</c:v>
                </c:pt>
                <c:pt idx="65">
                  <c:v>0.16149105675837336</c:v>
                </c:pt>
                <c:pt idx="66">
                  <c:v>0.17147961226709338</c:v>
                </c:pt>
                <c:pt idx="67">
                  <c:v>0.18152618938004464</c:v>
                </c:pt>
                <c:pt idx="68">
                  <c:v>0.19162819679856574</c:v>
                </c:pt>
                <c:pt idx="69">
                  <c:v>0.20178327733798238</c:v>
                </c:pt>
                <c:pt idx="70">
                  <c:v>0.21198927704934162</c:v>
                </c:pt>
                <c:pt idx="71">
                  <c:v>0.22224421958552676</c:v>
                </c:pt>
                <c:pt idx="72">
                  <c:v>0.23254628473858036</c:v>
                </c:pt>
                <c:pt idx="73">
                  <c:v>0.24289379032902939</c:v>
                </c:pt>
                <c:pt idx="74">
                  <c:v>0.25328517681435914</c:v>
                </c:pt>
                <c:pt idx="75">
                  <c:v>0.26371899412238364</c:v>
                </c:pt>
                <c:pt idx="76">
                  <c:v>0.27419389031961666</c:v>
                </c:pt>
                <c:pt idx="77">
                  <c:v>0.28470860180421409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00-4530-8713-DA07BA84E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116376"/>
        <c:axId val="499116704"/>
      </c:scatterChart>
      <c:valAx>
        <c:axId val="499116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116704"/>
        <c:crosses val="autoZero"/>
        <c:crossBetween val="midCat"/>
      </c:valAx>
      <c:valAx>
        <c:axId val="49911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116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50108705161854772"/>
                  <c:y val="-0.254280766987459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'4 Bivalves'!$A$2:$A$105</c:f>
              <c:numCache>
                <c:formatCode>General</c:formatCode>
                <c:ptCount val="104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0.5</c:v>
                </c:pt>
                <c:pt idx="27">
                  <c:v>0.6</c:v>
                </c:pt>
                <c:pt idx="28">
                  <c:v>0.7</c:v>
                </c:pt>
                <c:pt idx="29">
                  <c:v>0.8</c:v>
                </c:pt>
                <c:pt idx="30">
                  <c:v>0.9</c:v>
                </c:pt>
                <c:pt idx="31">
                  <c:v>1</c:v>
                </c:pt>
                <c:pt idx="32">
                  <c:v>1.1000000000000001</c:v>
                </c:pt>
                <c:pt idx="33">
                  <c:v>1.2</c:v>
                </c:pt>
                <c:pt idx="34">
                  <c:v>1.3</c:v>
                </c:pt>
                <c:pt idx="35">
                  <c:v>1.4</c:v>
                </c:pt>
                <c:pt idx="36">
                  <c:v>1.5</c:v>
                </c:pt>
                <c:pt idx="37">
                  <c:v>1.6</c:v>
                </c:pt>
                <c:pt idx="38">
                  <c:v>1.7</c:v>
                </c:pt>
                <c:pt idx="39">
                  <c:v>1.8</c:v>
                </c:pt>
                <c:pt idx="40">
                  <c:v>1.9</c:v>
                </c:pt>
                <c:pt idx="41">
                  <c:v>2</c:v>
                </c:pt>
                <c:pt idx="42">
                  <c:v>2.1</c:v>
                </c:pt>
                <c:pt idx="43">
                  <c:v>2.2000000000000002</c:v>
                </c:pt>
                <c:pt idx="44">
                  <c:v>2.2999999999999998</c:v>
                </c:pt>
                <c:pt idx="45">
                  <c:v>2.4</c:v>
                </c:pt>
                <c:pt idx="46">
                  <c:v>2.5</c:v>
                </c:pt>
                <c:pt idx="47">
                  <c:v>2.6</c:v>
                </c:pt>
                <c:pt idx="48">
                  <c:v>2.7</c:v>
                </c:pt>
                <c:pt idx="49">
                  <c:v>2.8</c:v>
                </c:pt>
                <c:pt idx="50">
                  <c:v>2.9</c:v>
                </c:pt>
                <c:pt idx="51">
                  <c:v>3</c:v>
                </c:pt>
                <c:pt idx="52">
                  <c:v>0.5</c:v>
                </c:pt>
                <c:pt idx="53">
                  <c:v>0.6</c:v>
                </c:pt>
                <c:pt idx="54">
                  <c:v>0.7</c:v>
                </c:pt>
                <c:pt idx="55">
                  <c:v>0.8</c:v>
                </c:pt>
                <c:pt idx="56">
                  <c:v>0.9</c:v>
                </c:pt>
                <c:pt idx="57">
                  <c:v>1</c:v>
                </c:pt>
                <c:pt idx="58">
                  <c:v>1.1000000000000001</c:v>
                </c:pt>
                <c:pt idx="59">
                  <c:v>1.2</c:v>
                </c:pt>
                <c:pt idx="60">
                  <c:v>1.3</c:v>
                </c:pt>
                <c:pt idx="61">
                  <c:v>1.4</c:v>
                </c:pt>
                <c:pt idx="62">
                  <c:v>1.5</c:v>
                </c:pt>
                <c:pt idx="63">
                  <c:v>1.6</c:v>
                </c:pt>
                <c:pt idx="64">
                  <c:v>1.7</c:v>
                </c:pt>
                <c:pt idx="65">
                  <c:v>1.8</c:v>
                </c:pt>
                <c:pt idx="66">
                  <c:v>1.9</c:v>
                </c:pt>
                <c:pt idx="67">
                  <c:v>2</c:v>
                </c:pt>
                <c:pt idx="68">
                  <c:v>2.1</c:v>
                </c:pt>
                <c:pt idx="69">
                  <c:v>2.2000000000000002</c:v>
                </c:pt>
                <c:pt idx="70">
                  <c:v>2.2999999999999998</c:v>
                </c:pt>
                <c:pt idx="71">
                  <c:v>2.4</c:v>
                </c:pt>
                <c:pt idx="72">
                  <c:v>2.5</c:v>
                </c:pt>
                <c:pt idx="73">
                  <c:v>2.6</c:v>
                </c:pt>
                <c:pt idx="74">
                  <c:v>2.7</c:v>
                </c:pt>
                <c:pt idx="75">
                  <c:v>2.8</c:v>
                </c:pt>
                <c:pt idx="76">
                  <c:v>2.9</c:v>
                </c:pt>
                <c:pt idx="77">
                  <c:v>3</c:v>
                </c:pt>
                <c:pt idx="78">
                  <c:v>0.5</c:v>
                </c:pt>
                <c:pt idx="79">
                  <c:v>0.6</c:v>
                </c:pt>
                <c:pt idx="80">
                  <c:v>0.7</c:v>
                </c:pt>
                <c:pt idx="81">
                  <c:v>0.8</c:v>
                </c:pt>
                <c:pt idx="82">
                  <c:v>0.9</c:v>
                </c:pt>
                <c:pt idx="83">
                  <c:v>1</c:v>
                </c:pt>
                <c:pt idx="84">
                  <c:v>1.1000000000000001</c:v>
                </c:pt>
                <c:pt idx="85">
                  <c:v>1.2</c:v>
                </c:pt>
                <c:pt idx="86">
                  <c:v>1.3</c:v>
                </c:pt>
                <c:pt idx="87">
                  <c:v>1.4</c:v>
                </c:pt>
                <c:pt idx="88">
                  <c:v>1.5</c:v>
                </c:pt>
                <c:pt idx="89">
                  <c:v>1.6</c:v>
                </c:pt>
                <c:pt idx="90">
                  <c:v>1.7</c:v>
                </c:pt>
                <c:pt idx="91">
                  <c:v>1.8</c:v>
                </c:pt>
                <c:pt idx="92">
                  <c:v>1.9</c:v>
                </c:pt>
                <c:pt idx="93">
                  <c:v>2</c:v>
                </c:pt>
                <c:pt idx="94">
                  <c:v>2.1</c:v>
                </c:pt>
                <c:pt idx="95">
                  <c:v>2.2000000000000002</c:v>
                </c:pt>
                <c:pt idx="96">
                  <c:v>2.2999999999999998</c:v>
                </c:pt>
                <c:pt idx="97">
                  <c:v>2.4</c:v>
                </c:pt>
                <c:pt idx="98">
                  <c:v>2.5</c:v>
                </c:pt>
                <c:pt idx="99">
                  <c:v>2.6</c:v>
                </c:pt>
                <c:pt idx="100">
                  <c:v>2.7</c:v>
                </c:pt>
                <c:pt idx="101">
                  <c:v>2.8</c:v>
                </c:pt>
                <c:pt idx="102">
                  <c:v>2.9</c:v>
                </c:pt>
                <c:pt idx="103">
                  <c:v>3</c:v>
                </c:pt>
              </c:numCache>
            </c:numRef>
          </c:xVal>
          <c:yVal>
            <c:numRef>
              <c:f>'4 Bivalves'!$B$2:$B$105</c:f>
              <c:numCache>
                <c:formatCode>General</c:formatCode>
                <c:ptCount val="104"/>
                <c:pt idx="0">
                  <c:v>9.6203487231001715E-4</c:v>
                </c:pt>
                <c:pt idx="1">
                  <c:v>1.6028700119489253E-3</c:v>
                </c:pt>
                <c:pt idx="2">
                  <c:v>2.4680236369520993E-3</c:v>
                </c:pt>
                <c:pt idx="3">
                  <c:v>3.5869619212091043E-3</c:v>
                </c:pt>
                <c:pt idx="4">
                  <c:v>4.9883145269453404E-3</c:v>
                </c:pt>
                <c:pt idx="5">
                  <c:v>6.7000000000000002E-3</c:v>
                </c:pt>
                <c:pt idx="6">
                  <c:v>8.7493204093381099E-3</c:v>
                </c:pt>
                <c:pt idx="7">
                  <c:v>1.1163035134340816E-2</c:v>
                </c:pt>
                <c:pt idx="8">
                  <c:v>1.3967419890397905E-2</c:v>
                </c:pt>
                <c:pt idx="9">
                  <c:v>1.718831493901439E-2</c:v>
                </c:pt>
                <c:pt idx="10">
                  <c:v>2.0851165148380566E-2</c:v>
                </c:pt>
                <c:pt idx="11">
                  <c:v>2.4981053768242667E-2</c:v>
                </c:pt>
                <c:pt idx="12">
                  <c:v>2.9602731260015152E-2</c:v>
                </c:pt>
                <c:pt idx="13">
                  <c:v>3.4740640170644044E-2</c:v>
                </c:pt>
                <c:pt idx="14">
                  <c:v>4.0418936794345266E-2</c:v>
                </c:pt>
                <c:pt idx="15">
                  <c:v>4.6661510192672249E-2</c:v>
                </c:pt>
                <c:pt idx="16">
                  <c:v>5.3491999017278503E-2</c:v>
                </c:pt>
                <c:pt idx="17">
                  <c:v>6.0933806486460525E-2</c:v>
                </c:pt>
                <c:pt idx="18">
                  <c:v>6.9010113796389994E-2</c:v>
                </c:pt>
                <c:pt idx="19">
                  <c:v>7.7743892194358538E-2</c:v>
                </c:pt>
                <c:pt idx="20">
                  <c:v>8.7157913899883588E-2</c:v>
                </c:pt>
                <c:pt idx="21">
                  <c:v>9.7274762027035055E-2</c:v>
                </c:pt>
                <c:pt idx="22">
                  <c:v>0.10811683963560638</c:v>
                </c:pt>
                <c:pt idx="23">
                  <c:v>0.11970637801816128</c:v>
                </c:pt>
                <c:pt idx="24">
                  <c:v>0.13206544431336006</c:v>
                </c:pt>
                <c:pt idx="25">
                  <c:v>0.1452159485224257</c:v>
                </c:pt>
                <c:pt idx="26">
                  <c:v>8.379653535541652E-4</c:v>
                </c:pt>
                <c:pt idx="27">
                  <c:v>1.406373911218006E-3</c:v>
                </c:pt>
                <c:pt idx="28">
                  <c:v>2.1788617958160084E-3</c:v>
                </c:pt>
                <c:pt idx="29">
                  <c:v>3.1836609714461458E-3</c:v>
                </c:pt>
                <c:pt idx="30">
                  <c:v>4.4483605152750511E-3</c:v>
                </c:pt>
                <c:pt idx="31">
                  <c:v>6.0000000000000001E-3</c:v>
                </c:pt>
                <c:pt idx="32">
                  <c:v>7.8651403392949494E-3</c:v>
                </c:pt>
                <c:pt idx="33">
                  <c:v>1.0069919277113166E-2</c:v>
                </c:pt>
                <c:pt idx="34">
                  <c:v>1.2640095958150547E-2</c:v>
                </c:pt>
                <c:pt idx="35">
                  <c:v>1.5601087466739775E-2</c:v>
                </c:pt>
                <c:pt idx="36">
                  <c:v>1.8977999292190358E-2</c:v>
                </c:pt>
                <c:pt idx="37">
                  <c:v>2.2795651094233631E-2</c:v>
                </c:pt>
                <c:pt idx="38">
                  <c:v>2.70785987600052E-2</c:v>
                </c:pt>
                <c:pt idx="39">
                  <c:v>3.185115348557796E-2</c:v>
                </c:pt>
                <c:pt idx="40">
                  <c:v>3.7137398435350015E-2</c:v>
                </c:pt>
                <c:pt idx="41">
                  <c:v>4.2961203404542667E-2</c:v>
                </c:pt>
                <c:pt idx="42">
                  <c:v>4.9346237816864563E-2</c:v>
                </c:pt>
                <c:pt idx="43">
                  <c:v>5.6315982320287346E-2</c:v>
                </c:pt>
                <c:pt idx="44">
                  <c:v>6.3893739191770119E-2</c:v>
                </c:pt>
                <c:pt idx="45">
                  <c:v>7.2102641721897315E-2</c:v>
                </c:pt>
                <c:pt idx="46">
                  <c:v>8.0965662719472295E-2</c:v>
                </c:pt>
                <c:pt idx="47">
                  <c:v>9.0505622251840556E-2</c:v>
                </c:pt>
                <c:pt idx="48">
                  <c:v>0.10074519471745746</c:v>
                </c:pt>
                <c:pt idx="49">
                  <c:v>0.11170691533177812</c:v>
                </c:pt>
                <c:pt idx="50">
                  <c:v>0.12341318609506347</c:v>
                </c:pt>
                <c:pt idx="51">
                  <c:v>0.13588628130050948</c:v>
                </c:pt>
                <c:pt idx="52">
                  <c:v>8.9684345912918959E-5</c:v>
                </c:pt>
                <c:pt idx="53">
                  <c:v>1.6911736374049813E-4</c:v>
                </c:pt>
                <c:pt idx="54">
                  <c:v>2.8913194731418535E-4</c:v>
                </c:pt>
                <c:pt idx="55">
                  <c:v>4.6009770263376158E-4</c:v>
                </c:pt>
                <c:pt idx="56">
                  <c:v>6.9312201049173206E-4</c:v>
                </c:pt>
                <c:pt idx="57">
                  <c:v>1E-3</c:v>
                </c:pt>
                <c:pt idx="58">
                  <c:v>1.3931733288756478E-3</c:v>
                </c:pt>
                <c:pt idx="59">
                  <c:v>1.8856954579866869E-3</c:v>
                </c:pt>
                <c:pt idx="60">
                  <c:v>2.4912018783276534E-3</c:v>
                </c:pt>
                <c:pt idx="61">
                  <c:v>3.2238842171511692E-3</c:v>
                </c:pt>
                <c:pt idx="62">
                  <c:v>4.0984674498314192E-3</c:v>
                </c:pt>
                <c:pt idx="63">
                  <c:v>5.1301896440266621E-3</c:v>
                </c:pt>
                <c:pt idx="64">
                  <c:v>6.334783800732594E-3</c:v>
                </c:pt>
                <c:pt idx="65">
                  <c:v>7.7284614548533892E-3</c:v>
                </c:pt>
                <c:pt idx="66">
                  <c:v>9.3278977692773136E-3</c:v>
                </c:pt>
                <c:pt idx="67">
                  <c:v>1.1150217909499754E-2</c:v>
                </c:pt>
                <c:pt idx="68">
                  <c:v>1.3212984526019317E-2</c:v>
                </c:pt>
                <c:pt idx="69">
                  <c:v>1.5534186202666639E-2</c:v>
                </c:pt>
                <c:pt idx="70">
                  <c:v>1.8132226753185935E-2</c:v>
                </c:pt>
                <c:pt idx="71">
                  <c:v>2.1025915267505489E-2</c:v>
                </c:pt>
                <c:pt idx="72">
                  <c:v>2.4234456824435285E-2</c:v>
                </c:pt>
                <c:pt idx="73">
                  <c:v>2.7777443799908434E-2</c:v>
                </c:pt>
                <c:pt idx="74">
                  <c:v>3.1674847709993389E-2</c:v>
                </c:pt>
                <c:pt idx="75">
                  <c:v>3.5947011536232552E-2</c:v>
                </c:pt>
                <c:pt idx="76">
                  <c:v>4.0614642487781787E-2</c:v>
                </c:pt>
                <c:pt idx="77">
                  <c:v>4.5698805160612095E-2</c:v>
                </c:pt>
                <c:pt idx="78">
                  <c:v>2.0018792031066632E-3</c:v>
                </c:pt>
                <c:pt idx="79">
                  <c:v>3.3390309472187281E-3</c:v>
                </c:pt>
                <c:pt idx="80">
                  <c:v>5.1460397430388724E-3</c:v>
                </c:pt>
                <c:pt idx="81">
                  <c:v>7.4851160689685427E-3</c:v>
                </c:pt>
                <c:pt idx="82">
                  <c:v>1.0416756616691463E-2</c:v>
                </c:pt>
                <c:pt idx="83">
                  <c:v>1.4E-2</c:v>
                </c:pt>
                <c:pt idx="84">
                  <c:v>1.8292619896208825E-2</c:v>
                </c:pt>
                <c:pt idx="85">
                  <c:v>2.3351275735577673E-2</c:v>
                </c:pt>
                <c:pt idx="86">
                  <c:v>2.923163331829555E-2</c:v>
                </c:pt>
                <c:pt idx="87">
                  <c:v>3.5988463385173385E-2</c:v>
                </c:pt>
                <c:pt idx="88">
                  <c:v>4.3675723567388469E-2</c:v>
                </c:pt>
                <c:pt idx="89">
                  <c:v>5.2346627510259494E-2</c:v>
                </c:pt>
                <c:pt idx="90">
                  <c:v>6.2053703902660691E-2</c:v>
                </c:pt>
                <c:pt idx="91">
                  <c:v>7.2848847426639746E-2</c:v>
                </c:pt>
                <c:pt idx="92">
                  <c:v>8.4783363144373847E-2</c:v>
                </c:pt>
                <c:pt idx="93">
                  <c:v>9.7908005485961805E-2</c:v>
                </c:pt>
                <c:pt idx="94">
                  <c:v>0.11227301274470818</c:v>
                </c:pt>
                <c:pt idx="95">
                  <c:v>0.12792813779647341</c:v>
                </c:pt>
                <c:pt idx="96">
                  <c:v>0.14492267561661687</c:v>
                </c:pt>
                <c:pt idx="97">
                  <c:v>0.16330548805879613</c:v>
                </c:pt>
                <c:pt idx="98">
                  <c:v>0.18312502627529076</c:v>
                </c:pt>
                <c:pt idx="99">
                  <c:v>0.20442935109223606</c:v>
                </c:pt>
                <c:pt idx="100">
                  <c:v>0.22726615160062702</c:v>
                </c:pt>
                <c:pt idx="101">
                  <c:v>0.25168276218192076</c:v>
                </c:pt>
                <c:pt idx="102">
                  <c:v>0.27772617815311507</c:v>
                </c:pt>
                <c:pt idx="103">
                  <c:v>0.30544307018851591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41-4F88-99AB-CAEEEEF23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373928"/>
        <c:axId val="400371632"/>
      </c:scatterChart>
      <c:valAx>
        <c:axId val="400373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371632"/>
        <c:crosses val="autoZero"/>
        <c:crossBetween val="midCat"/>
      </c:valAx>
      <c:valAx>
        <c:axId val="40037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373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2.4024059492563428E-2"/>
                  <c:y val="-0.1344127296587926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 Amphipoda'!$A$2:$A$79</c:f>
              <c:numCache>
                <c:formatCode>General</c:formatCode>
                <c:ptCount val="78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0.5</c:v>
                </c:pt>
                <c:pt idx="27">
                  <c:v>0.6</c:v>
                </c:pt>
                <c:pt idx="28">
                  <c:v>0.7</c:v>
                </c:pt>
                <c:pt idx="29">
                  <c:v>0.8</c:v>
                </c:pt>
                <c:pt idx="30">
                  <c:v>0.9</c:v>
                </c:pt>
                <c:pt idx="31">
                  <c:v>1</c:v>
                </c:pt>
                <c:pt idx="32">
                  <c:v>1.1000000000000001</c:v>
                </c:pt>
                <c:pt idx="33">
                  <c:v>1.2</c:v>
                </c:pt>
                <c:pt idx="34">
                  <c:v>1.3</c:v>
                </c:pt>
                <c:pt idx="35">
                  <c:v>1.4</c:v>
                </c:pt>
                <c:pt idx="36">
                  <c:v>1.5</c:v>
                </c:pt>
                <c:pt idx="37">
                  <c:v>1.6</c:v>
                </c:pt>
                <c:pt idx="38">
                  <c:v>1.7</c:v>
                </c:pt>
                <c:pt idx="39">
                  <c:v>1.8</c:v>
                </c:pt>
                <c:pt idx="40">
                  <c:v>1.9</c:v>
                </c:pt>
                <c:pt idx="41">
                  <c:v>2</c:v>
                </c:pt>
                <c:pt idx="42">
                  <c:v>2.1</c:v>
                </c:pt>
                <c:pt idx="43">
                  <c:v>2.2000000000000002</c:v>
                </c:pt>
                <c:pt idx="44">
                  <c:v>2.2999999999999998</c:v>
                </c:pt>
                <c:pt idx="45">
                  <c:v>2.4</c:v>
                </c:pt>
                <c:pt idx="46">
                  <c:v>2.5</c:v>
                </c:pt>
                <c:pt idx="47">
                  <c:v>2.6</c:v>
                </c:pt>
                <c:pt idx="48">
                  <c:v>2.7</c:v>
                </c:pt>
                <c:pt idx="49">
                  <c:v>2.8</c:v>
                </c:pt>
                <c:pt idx="50">
                  <c:v>2.9</c:v>
                </c:pt>
                <c:pt idx="51">
                  <c:v>3</c:v>
                </c:pt>
                <c:pt idx="52">
                  <c:v>0.5</c:v>
                </c:pt>
                <c:pt idx="53">
                  <c:v>0.6</c:v>
                </c:pt>
                <c:pt idx="54">
                  <c:v>0.7</c:v>
                </c:pt>
                <c:pt idx="55">
                  <c:v>0.8</c:v>
                </c:pt>
                <c:pt idx="56">
                  <c:v>0.9</c:v>
                </c:pt>
                <c:pt idx="57">
                  <c:v>1</c:v>
                </c:pt>
                <c:pt idx="58">
                  <c:v>1.1000000000000001</c:v>
                </c:pt>
                <c:pt idx="59">
                  <c:v>1.2</c:v>
                </c:pt>
                <c:pt idx="60">
                  <c:v>1.3</c:v>
                </c:pt>
                <c:pt idx="61">
                  <c:v>1.4</c:v>
                </c:pt>
                <c:pt idx="62">
                  <c:v>1.5</c:v>
                </c:pt>
                <c:pt idx="63">
                  <c:v>1.6</c:v>
                </c:pt>
                <c:pt idx="64">
                  <c:v>1.7</c:v>
                </c:pt>
                <c:pt idx="65">
                  <c:v>1.8</c:v>
                </c:pt>
                <c:pt idx="66">
                  <c:v>1.9</c:v>
                </c:pt>
                <c:pt idx="67">
                  <c:v>2</c:v>
                </c:pt>
                <c:pt idx="68">
                  <c:v>2.1</c:v>
                </c:pt>
                <c:pt idx="69">
                  <c:v>2.2000000000000002</c:v>
                </c:pt>
                <c:pt idx="70">
                  <c:v>2.2999999999999998</c:v>
                </c:pt>
                <c:pt idx="71">
                  <c:v>2.4</c:v>
                </c:pt>
                <c:pt idx="72">
                  <c:v>2.5</c:v>
                </c:pt>
                <c:pt idx="73">
                  <c:v>2.6</c:v>
                </c:pt>
                <c:pt idx="74">
                  <c:v>2.7</c:v>
                </c:pt>
                <c:pt idx="75">
                  <c:v>2.8</c:v>
                </c:pt>
                <c:pt idx="76">
                  <c:v>2.9</c:v>
                </c:pt>
                <c:pt idx="77">
                  <c:v>3</c:v>
                </c:pt>
              </c:numCache>
            </c:numRef>
          </c:xVal>
          <c:yVal>
            <c:numRef>
              <c:f>'3 Amphipoda'!$B$2:$B$79</c:f>
              <c:numCache>
                <c:formatCode>General</c:formatCode>
                <c:ptCount val="78"/>
                <c:pt idx="0">
                  <c:v>4.9048068016348343E-4</c:v>
                </c:pt>
                <c:pt idx="1">
                  <c:v>7.9660681932998726E-4</c:v>
                </c:pt>
                <c:pt idx="2">
                  <c:v>1.200390308045535E-3</c:v>
                </c:pt>
                <c:pt idx="3">
                  <c:v>1.7123047413353234E-3</c:v>
                </c:pt>
                <c:pt idx="4">
                  <c:v>2.342322924728261E-3</c:v>
                </c:pt>
                <c:pt idx="5">
                  <c:v>3.0999999999999999E-3</c:v>
                </c:pt>
                <c:pt idx="6">
                  <c:v>3.9945350512147967E-3</c:v>
                </c:pt>
                <c:pt idx="7">
                  <c:v>5.0348183726622048E-3</c:v>
                </c:pt>
                <c:pt idx="8">
                  <c:v>6.2294687418044947E-3</c:v>
                </c:pt>
                <c:pt idx="9">
                  <c:v>7.5868634697310242E-3</c:v>
                </c:pt>
                <c:pt idx="10">
                  <c:v>9.1151630772692629E-3</c:v>
                </c:pt>
                <c:pt idx="11">
                  <c:v>1.082233187323552E-2</c:v>
                </c:pt>
                <c:pt idx="12">
                  <c:v>1.2716155343011692E-2</c:v>
                </c:pt>
                <c:pt idx="13">
                  <c:v>1.4804255010079821E-2</c:v>
                </c:pt>
                <c:pt idx="14">
                  <c:v>1.7094101264572083E-2</c:v>
                </c:pt>
                <c:pt idx="15">
                  <c:v>1.9593024534211755E-2</c:v>
                </c:pt>
                <c:pt idx="16">
                  <c:v>2.230822508760491E-2</c:v>
                </c:pt>
                <c:pt idx="17">
                  <c:v>2.5246781697167847E-2</c:v>
                </c:pt>
                <c:pt idx="18">
                  <c:v>2.8415659342188562E-2</c:v>
                </c:pt>
                <c:pt idx="19">
                  <c:v>3.1821716097055051E-2</c:v>
                </c:pt>
                <c:pt idx="20">
                  <c:v>3.5471709322424841E-2</c:v>
                </c:pt>
                <c:pt idx="21">
                  <c:v>3.9372301255896996E-2</c:v>
                </c:pt>
                <c:pt idx="22">
                  <c:v>4.3530064082050998E-2</c:v>
                </c:pt>
                <c:pt idx="23">
                  <c:v>4.7951484548437034E-2</c:v>
                </c:pt>
                <c:pt idx="24">
                  <c:v>5.2642968183441524E-2</c:v>
                </c:pt>
                <c:pt idx="25">
                  <c:v>5.7610843163315439E-2</c:v>
                </c:pt>
                <c:pt idx="26">
                  <c:v>2.7084413330534323E-4</c:v>
                </c:pt>
                <c:pt idx="27">
                  <c:v>4.390861463925727E-4</c:v>
                </c:pt>
                <c:pt idx="28">
                  <c:v>6.6063066288998839E-4</c:v>
                </c:pt>
                <c:pt idx="29">
                  <c:v>9.411034963783064E-4</c:v>
                </c:pt>
                <c:pt idx="30">
                  <c:v>1.2858537370752264E-3</c:v>
                </c:pt>
                <c:pt idx="31">
                  <c:v>1.6999999999999999E-3</c:v>
                </c:pt>
                <c:pt idx="32">
                  <c:v>2.1884646557802172E-3</c:v>
                </c:pt>
                <c:pt idx="33">
                  <c:v>2.7560000645310183E-3</c:v>
                </c:pt>
                <c:pt idx="34">
                  <c:v>3.4072092412730328E-3</c:v>
                </c:pt>
                <c:pt idx="35">
                  <c:v>4.146562501491792E-3</c:v>
                </c:pt>
                <c:pt idx="36">
                  <c:v>4.9784111181533286E-3</c:v>
                </c:pt>
                <c:pt idx="37">
                  <c:v>5.9069987018676136E-3</c:v>
                </c:pt>
                <c:pt idx="38">
                  <c:v>6.9364708101476366E-3</c:v>
                </c:pt>
                <c:pt idx="39">
                  <c:v>8.0708831546426572E-3</c:v>
                </c:pt>
                <c:pt idx="40">
                  <c:v>9.3142086811928773E-3</c:v>
                </c:pt>
                <c:pt idx="41">
                  <c:v>1.0670343731395807E-2</c:v>
                </c:pt>
                <c:pt idx="42">
                  <c:v>1.2143113446790836E-2</c:v>
                </c:pt>
                <c:pt idx="43">
                  <c:v>1.3736276541873958E-2</c:v>
                </c:pt>
                <c:pt idx="44">
                  <c:v>1.5453529546120301E-2</c:v>
                </c:pt>
                <c:pt idx="45">
                  <c:v>1.7298510595467644E-2</c:v>
                </c:pt>
                <c:pt idx="46">
                  <c:v>1.9274802838561655E-2</c:v>
                </c:pt>
                <c:pt idx="47">
                  <c:v>2.1385937511277393E-2</c:v>
                </c:pt>
                <c:pt idx="48">
                  <c:v>2.3635396723758483E-2</c:v>
                </c:pt>
                <c:pt idx="49">
                  <c:v>2.6026615996843444E-2</c:v>
                </c:pt>
                <c:pt idx="50">
                  <c:v>2.8562986578833306E-2</c:v>
                </c:pt>
                <c:pt idx="51">
                  <c:v>3.1247857568763884E-2</c:v>
                </c:pt>
                <c:pt idx="52">
                  <c:v>7.9689747136299782E-3</c:v>
                </c:pt>
                <c:pt idx="53">
                  <c:v>1.1580411799085505E-2</c:v>
                </c:pt>
                <c:pt idx="54">
                  <c:v>1.5884184463918004E-2</c:v>
                </c:pt>
                <c:pt idx="55">
                  <c:v>2.0885670070954272E-2</c:v>
                </c:pt>
                <c:pt idx="56">
                  <c:v>2.6589555927123098E-2</c:v>
                </c:pt>
                <c:pt idx="57">
                  <c:v>3.3000000000000002E-2</c:v>
                </c:pt>
                <c:pt idx="58">
                  <c:v>4.0120740901742148E-2</c:v>
                </c:pt>
                <c:pt idx="59">
                  <c:v>4.7955176556928165E-2</c:v>
                </c:pt>
                <c:pt idx="60">
                  <c:v>5.6506422464192248E-2</c:v>
                </c:pt>
                <c:pt idx="61">
                  <c:v>6.5777356077281857E-2</c:v>
                </c:pt>
                <c:pt idx="62">
                  <c:v>7.5770651408471862E-2</c:v>
                </c:pt>
                <c:pt idx="63">
                  <c:v>8.6488806541530447E-2</c:v>
                </c:pt>
                <c:pt idx="64">
                  <c:v>9.7934165875215626E-2</c:v>
                </c:pt>
                <c:pt idx="65">
                  <c:v>0.11010893836747655</c:v>
                </c:pt>
                <c:pt idx="66">
                  <c:v>0.12301521268861715</c:v>
                </c:pt>
                <c:pt idx="67">
                  <c:v>0.13665496994706178</c:v>
                </c:pt>
                <c:pt idx="68">
                  <c:v>0.15103009448189852</c:v>
                </c:pt>
                <c:pt idx="69">
                  <c:v>0.16614238309640686</c:v>
                </c:pt>
                <c:pt idx="70">
                  <c:v>0.18199355302019815</c:v>
                </c:pt>
                <c:pt idx="71">
                  <c:v>0.19858524882403214</c:v>
                </c:pt>
                <c:pt idx="72">
                  <c:v>0.2159190484639785</c:v>
                </c:pt>
                <c:pt idx="73">
                  <c:v>0.23399646859576276</c:v>
                </c:pt>
                <c:pt idx="74">
                  <c:v>0.25281896927269637</c:v>
                </c:pt>
                <c:pt idx="75">
                  <c:v>0.27238795811933741</c:v>
                </c:pt>
                <c:pt idx="76">
                  <c:v>0.29270479405639244</c:v>
                </c:pt>
                <c:pt idx="77">
                  <c:v>0.3137707906392127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57-4232-814C-8BA69120A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178888"/>
        <c:axId val="542182168"/>
      </c:scatterChart>
      <c:valAx>
        <c:axId val="542178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182168"/>
        <c:crosses val="autoZero"/>
        <c:crossBetween val="midCat"/>
      </c:valAx>
      <c:valAx>
        <c:axId val="54218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178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 Gastropoda'!$B$1</c:f>
              <c:strCache>
                <c:ptCount val="1"/>
                <c:pt idx="0">
                  <c:v>AFDW mg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0.51775371828521433"/>
                  <c:y val="-0.277428915135608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 Gastropoda'!$A$2:$A$54</c:f>
              <c:numCache>
                <c:formatCode>General</c:formatCode>
                <c:ptCount val="53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0.5</c:v>
                </c:pt>
                <c:pt idx="27">
                  <c:v>0.6</c:v>
                </c:pt>
                <c:pt idx="28">
                  <c:v>0.7</c:v>
                </c:pt>
                <c:pt idx="29">
                  <c:v>0.8</c:v>
                </c:pt>
                <c:pt idx="30">
                  <c:v>0.9</c:v>
                </c:pt>
                <c:pt idx="31">
                  <c:v>1</c:v>
                </c:pt>
                <c:pt idx="32">
                  <c:v>1.1000000000000001</c:v>
                </c:pt>
                <c:pt idx="33">
                  <c:v>1.2</c:v>
                </c:pt>
                <c:pt idx="34">
                  <c:v>1.3</c:v>
                </c:pt>
                <c:pt idx="35">
                  <c:v>1.4</c:v>
                </c:pt>
                <c:pt idx="36">
                  <c:v>1.5</c:v>
                </c:pt>
                <c:pt idx="37">
                  <c:v>1.6</c:v>
                </c:pt>
                <c:pt idx="38">
                  <c:v>1.7</c:v>
                </c:pt>
                <c:pt idx="39">
                  <c:v>1.8</c:v>
                </c:pt>
                <c:pt idx="40">
                  <c:v>1.9</c:v>
                </c:pt>
                <c:pt idx="41">
                  <c:v>2</c:v>
                </c:pt>
                <c:pt idx="42">
                  <c:v>2.1</c:v>
                </c:pt>
                <c:pt idx="43">
                  <c:v>2.2000000000000002</c:v>
                </c:pt>
                <c:pt idx="44">
                  <c:v>2.2999999999999998</c:v>
                </c:pt>
                <c:pt idx="45">
                  <c:v>2.4</c:v>
                </c:pt>
                <c:pt idx="46">
                  <c:v>2.5</c:v>
                </c:pt>
                <c:pt idx="47">
                  <c:v>2.6</c:v>
                </c:pt>
                <c:pt idx="48">
                  <c:v>2.7</c:v>
                </c:pt>
                <c:pt idx="49">
                  <c:v>2.8</c:v>
                </c:pt>
                <c:pt idx="50">
                  <c:v>2.9</c:v>
                </c:pt>
                <c:pt idx="51">
                  <c:v>3</c:v>
                </c:pt>
              </c:numCache>
            </c:numRef>
          </c:xVal>
          <c:yVal>
            <c:numRef>
              <c:f>'2 Gastropoda'!$B$2:$B$54</c:f>
              <c:numCache>
                <c:formatCode>General</c:formatCode>
                <c:ptCount val="53"/>
                <c:pt idx="0">
                  <c:v>6.1068978698910767E-3</c:v>
                </c:pt>
                <c:pt idx="1">
                  <c:v>8.9394224514327564E-3</c:v>
                </c:pt>
                <c:pt idx="2">
                  <c:v>1.2337530849092846E-2</c:v>
                </c:pt>
                <c:pt idx="3">
                  <c:v>1.6309153518970495E-2</c:v>
                </c:pt>
                <c:pt idx="4">
                  <c:v>2.0861243516765712E-2</c:v>
                </c:pt>
                <c:pt idx="5">
                  <c:v>2.5999999999999999E-2</c:v>
                </c:pt>
                <c:pt idx="6">
                  <c:v>3.1731021983196675E-2</c:v>
                </c:pt>
                <c:pt idx="7">
                  <c:v>3.8059418822636575E-2</c:v>
                </c:pt>
                <c:pt idx="8">
                  <c:v>4.4989892379795247E-2</c:v>
                </c:pt>
                <c:pt idx="9">
                  <c:v>5.2526799843491623E-2</c:v>
                </c:pt>
                <c:pt idx="10">
                  <c:v>6.0674202878618536E-2</c:v>
                </c:pt>
                <c:pt idx="11">
                  <c:v>6.9435906826585916E-2</c:v>
                </c:pt>
                <c:pt idx="12">
                  <c:v>7.881549248990613E-2</c:v>
                </c:pt>
                <c:pt idx="13">
                  <c:v>8.8816342272575552E-2</c:v>
                </c:pt>
                <c:pt idx="14">
                  <c:v>9.9441661946586254E-2</c:v>
                </c:pt>
                <c:pt idx="15">
                  <c:v>0.11069449897514941</c:v>
                </c:pt>
                <c:pt idx="16">
                  <c:v>0.12257775808725384</c:v>
                </c:pt>
                <c:pt idx="17">
                  <c:v>0.13509421463074647</c:v>
                </c:pt>
                <c:pt idx="18">
                  <c:v>0.14824652611001746</c:v>
                </c:pt>
                <c:pt idx="19">
                  <c:v>0.16203724222527405</c:v>
                </c:pt>
                <c:pt idx="20">
                  <c:v>0.17646881366382289</c:v>
                </c:pt>
                <c:pt idx="21">
                  <c:v>0.19154359984335873</c:v>
                </c:pt>
                <c:pt idx="22">
                  <c:v>0.2072638757685798</c:v>
                </c:pt>
                <c:pt idx="23">
                  <c:v>0.22363183813243317</c:v>
                </c:pt>
                <c:pt idx="24">
                  <c:v>0.24064961076976529</c:v>
                </c:pt>
                <c:pt idx="25">
                  <c:v>0.25831924955250951</c:v>
                </c:pt>
                <c:pt idx="26">
                  <c:v>4.7552931034795321E-3</c:v>
                </c:pt>
                <c:pt idx="27">
                  <c:v>7.5011941449345263E-3</c:v>
                </c:pt>
                <c:pt idx="28">
                  <c:v>1.1028015809745649E-2</c:v>
                </c:pt>
                <c:pt idx="29">
                  <c:v>1.5398458520254553E-2</c:v>
                </c:pt>
                <c:pt idx="30">
                  <c:v>2.0670860381222646E-2</c:v>
                </c:pt>
                <c:pt idx="31">
                  <c:v>2.69E-2</c:v>
                </c:pt>
                <c:pt idx="32">
                  <c:v>3.4137679199090269E-2</c:v>
                </c:pt>
                <c:pt idx="33">
                  <c:v>4.2433161975040226E-2</c:v>
                </c:pt>
                <c:pt idx="34">
                  <c:v>5.1833515000431908E-2</c:v>
                </c:pt>
                <c:pt idx="35">
                  <c:v>6.2383878096828833E-2</c:v>
                </c:pt>
                <c:pt idx="36">
                  <c:v>7.4127683340975942E-2</c:v>
                </c:pt>
                <c:pt idx="37">
                  <c:v>8.7106835515934122E-2</c:v>
                </c:pt>
                <c:pt idx="38">
                  <c:v>0.10136186283657182</c:v>
                </c:pt>
                <c:pt idx="39">
                  <c:v>0.11693204438818301</c:v>
                </c:pt>
                <c:pt idx="40">
                  <c:v>0.13385551902667292</c:v>
                </c:pt>
                <c:pt idx="41">
                  <c:v>0.15216937931134503</c:v>
                </c:pt>
                <c:pt idx="42">
                  <c:v>0.17190975320237073</c:v>
                </c:pt>
                <c:pt idx="43">
                  <c:v>0.19311187564518142</c:v>
                </c:pt>
                <c:pt idx="44">
                  <c:v>0.21581015171279588</c:v>
                </c:pt>
                <c:pt idx="45">
                  <c:v>0.24003821263790484</c:v>
                </c:pt>
                <c:pt idx="46">
                  <c:v>0.26582896580790444</c:v>
                </c:pt>
                <c:pt idx="47">
                  <c:v>0.29321463959632027</c:v>
                </c:pt>
                <c:pt idx="48">
                  <c:v>0.32222682374796174</c:v>
                </c:pt>
                <c:pt idx="49">
                  <c:v>0.35289650591186073</c:v>
                </c:pt>
                <c:pt idx="50">
                  <c:v>0.38525410481771621</c:v>
                </c:pt>
                <c:pt idx="51">
                  <c:v>0.41932950051242535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56-4974-9DDA-4C40CB56E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9869336"/>
        <c:axId val="629868352"/>
      </c:scatterChart>
      <c:valAx>
        <c:axId val="62986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68352"/>
        <c:crosses val="autoZero"/>
        <c:crossBetween val="midCat"/>
      </c:valAx>
      <c:valAx>
        <c:axId val="62986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6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Harpacticoids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324598473466748E-2"/>
          <c:y val="0.1261123595505618"/>
          <c:w val="0.87834274197407003"/>
          <c:h val="0.8193609956058863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0.36054226600898193"/>
                  <c:y val="-0.159851366893745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0"/>
            <c:trendlineLbl>
              <c:layout>
                <c:manualLayout>
                  <c:x val="-0.40807951841107454"/>
                  <c:y val="-0.204795187118464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 Harpcaticoids'!$A$2:$A$28</c:f>
              <c:numCache>
                <c:formatCode>General</c:formatCode>
                <c:ptCount val="27"/>
                <c:pt idx="0">
                  <c:v>0.33735853505187002</c:v>
                </c:pt>
                <c:pt idx="1">
                  <c:v>0.36608770826783998</c:v>
                </c:pt>
                <c:pt idx="2">
                  <c:v>0.33761788745677401</c:v>
                </c:pt>
                <c:pt idx="3">
                  <c:v>0.36431939641622102</c:v>
                </c:pt>
                <c:pt idx="4">
                  <c:v>0.37466991512103098</c:v>
                </c:pt>
                <c:pt idx="5">
                  <c:v>0.36891700723043003</c:v>
                </c:pt>
                <c:pt idx="6">
                  <c:v>0.47079534737503898</c:v>
                </c:pt>
                <c:pt idx="7">
                  <c:v>0.47266975793775501</c:v>
                </c:pt>
                <c:pt idx="8">
                  <c:v>0.557701980509273</c:v>
                </c:pt>
                <c:pt idx="9">
                  <c:v>0.55800848789688695</c:v>
                </c:pt>
                <c:pt idx="10">
                  <c:v>0.58863564916692801</c:v>
                </c:pt>
                <c:pt idx="11">
                  <c:v>0.58690270355234198</c:v>
                </c:pt>
                <c:pt idx="12">
                  <c:v>0.68967698836843705</c:v>
                </c:pt>
                <c:pt idx="13">
                  <c:v>0.74093445457403295</c:v>
                </c:pt>
                <c:pt idx="14">
                  <c:v>0.694333542911034</c:v>
                </c:pt>
                <c:pt idx="15">
                  <c:v>0.74411741590694702</c:v>
                </c:pt>
                <c:pt idx="16">
                  <c:v>1.0056978937440999</c:v>
                </c:pt>
                <c:pt idx="17">
                  <c:v>1.00354055328513</c:v>
                </c:pt>
                <c:pt idx="18">
                  <c:v>1.2599221942785199</c:v>
                </c:pt>
                <c:pt idx="19">
                  <c:v>0.48020986912490998</c:v>
                </c:pt>
                <c:pt idx="20">
                  <c:v>0.50012515938035795</c:v>
                </c:pt>
                <c:pt idx="21">
                  <c:v>0.52032887312590603</c:v>
                </c:pt>
                <c:pt idx="22">
                  <c:v>0.52020576553866804</c:v>
                </c:pt>
                <c:pt idx="23">
                  <c:v>0.54058886462562095</c:v>
                </c:pt>
                <c:pt idx="24">
                  <c:v>0.55666671551888303</c:v>
                </c:pt>
                <c:pt idx="25">
                  <c:v>0.57867483475737502</c:v>
                </c:pt>
                <c:pt idx="26">
                  <c:v>0.59681737575659799</c:v>
                </c:pt>
              </c:numCache>
            </c:numRef>
          </c:xVal>
          <c:yVal>
            <c:numRef>
              <c:f>'1 Harpcaticoids'!$C$2:$C$28</c:f>
              <c:numCache>
                <c:formatCode>General</c:formatCode>
                <c:ptCount val="27"/>
                <c:pt idx="0">
                  <c:v>4.6389731020119373E-4</c:v>
                </c:pt>
                <c:pt idx="1">
                  <c:v>4.7749508802263371E-4</c:v>
                </c:pt>
                <c:pt idx="2">
                  <c:v>7.7808653921721958E-4</c:v>
                </c:pt>
                <c:pt idx="3">
                  <c:v>8.2029579927695112E-4</c:v>
                </c:pt>
                <c:pt idx="4">
                  <c:v>9.3430230273498652E-4</c:v>
                </c:pt>
                <c:pt idx="5">
                  <c:v>1.4200139500157166E-3</c:v>
                </c:pt>
                <c:pt idx="6">
                  <c:v>5.8925563895001541E-4</c:v>
                </c:pt>
                <c:pt idx="7">
                  <c:v>3.7498688502043368E-4</c:v>
                </c:pt>
                <c:pt idx="8">
                  <c:v>1.5012100165042402E-3</c:v>
                </c:pt>
                <c:pt idx="9">
                  <c:v>1.8725245598868274E-3</c:v>
                </c:pt>
                <c:pt idx="10">
                  <c:v>1.7004162409619608E-3</c:v>
                </c:pt>
                <c:pt idx="11">
                  <c:v>2.0860609379911971E-3</c:v>
                </c:pt>
                <c:pt idx="12">
                  <c:v>2.3406835998899694E-3</c:v>
                </c:pt>
                <c:pt idx="13">
                  <c:v>2.3109003163313364E-3</c:v>
                </c:pt>
                <c:pt idx="14">
                  <c:v>3.0118083935869173E-3</c:v>
                </c:pt>
                <c:pt idx="15">
                  <c:v>3.6818590360735591E-3</c:v>
                </c:pt>
                <c:pt idx="16">
                  <c:v>4.9752591559258045E-3</c:v>
                </c:pt>
                <c:pt idx="17">
                  <c:v>7.331776023656038E-3</c:v>
                </c:pt>
                <c:pt idx="18">
                  <c:v>9.7821102345960267E-3</c:v>
                </c:pt>
                <c:pt idx="19">
                  <c:v>6.0085491588940485E-4</c:v>
                </c:pt>
                <c:pt idx="20">
                  <c:v>6.7579132748601684E-4</c:v>
                </c:pt>
                <c:pt idx="21">
                  <c:v>7.0473998832398137E-4</c:v>
                </c:pt>
                <c:pt idx="22">
                  <c:v>7.528781599640404E-4</c:v>
                </c:pt>
                <c:pt idx="23">
                  <c:v>7.9249837507438159E-4</c:v>
                </c:pt>
                <c:pt idx="24">
                  <c:v>8.3992064952695855E-4</c:v>
                </c:pt>
                <c:pt idx="25">
                  <c:v>9.75370427700896E-4</c:v>
                </c:pt>
                <c:pt idx="26">
                  <c:v>1.0278298114538668E-3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24-4D95-8E49-1B72B282F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265760"/>
        <c:axId val="503259200"/>
      </c:scatterChart>
      <c:valAx>
        <c:axId val="503265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259200"/>
        <c:crosses val="autoZero"/>
        <c:crossBetween val="midCat"/>
      </c:valAx>
      <c:valAx>
        <c:axId val="50325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265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1.4278652668416448E-2"/>
                  <c:y val="-0.193641003207932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'26 Polyplacophora '!$A$2:$A$6</c:f>
              <c:numCache>
                <c:formatCode>General</c:formatCode>
                <c:ptCount val="5"/>
                <c:pt idx="0">
                  <c:v>20</c:v>
                </c:pt>
                <c:pt idx="1">
                  <c:v>44</c:v>
                </c:pt>
                <c:pt idx="2">
                  <c:v>60</c:v>
                </c:pt>
                <c:pt idx="3">
                  <c:v>73</c:v>
                </c:pt>
                <c:pt idx="4">
                  <c:v>82</c:v>
                </c:pt>
              </c:numCache>
            </c:numRef>
          </c:xVal>
          <c:yVal>
            <c:numRef>
              <c:f>'26 Polyplacophora '!$D$2:$D$6</c:f>
              <c:numCache>
                <c:formatCode>General</c:formatCode>
                <c:ptCount val="5"/>
                <c:pt idx="0">
                  <c:v>375.03000000000003</c:v>
                </c:pt>
                <c:pt idx="1">
                  <c:v>2744.28</c:v>
                </c:pt>
                <c:pt idx="2">
                  <c:v>6004.26</c:v>
                </c:pt>
                <c:pt idx="3">
                  <c:v>9851.2200000000012</c:v>
                </c:pt>
                <c:pt idx="4">
                  <c:v>13211.640000000001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97-468F-88F4-A506B295C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784184"/>
        <c:axId val="477783528"/>
      </c:scatterChart>
      <c:valAx>
        <c:axId val="477784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783528"/>
        <c:crosses val="autoZero"/>
        <c:crossBetween val="midCat"/>
      </c:valAx>
      <c:valAx>
        <c:axId val="47778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784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'25 Echinoidea '!$E$1</c:f>
              <c:strCache>
                <c:ptCount val="1"/>
                <c:pt idx="0">
                  <c:v>Afdw mg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'25 Echinoidea '!$A$2:$A$29</c:f>
              <c:numCache>
                <c:formatCode>General</c:formatCode>
                <c:ptCount val="28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1</c:v>
                </c:pt>
                <c:pt idx="5">
                  <c:v>1.1000000000000001</c:v>
                </c:pt>
                <c:pt idx="6">
                  <c:v>1.2</c:v>
                </c:pt>
                <c:pt idx="7">
                  <c:v>1.3</c:v>
                </c:pt>
                <c:pt idx="8">
                  <c:v>1.4</c:v>
                </c:pt>
                <c:pt idx="9">
                  <c:v>1.5</c:v>
                </c:pt>
                <c:pt idx="10">
                  <c:v>1.6</c:v>
                </c:pt>
                <c:pt idx="11">
                  <c:v>1.7</c:v>
                </c:pt>
                <c:pt idx="12">
                  <c:v>1.8</c:v>
                </c:pt>
                <c:pt idx="13">
                  <c:v>1.9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</c:numCache>
            </c:numRef>
          </c:xVal>
          <c:yVal>
            <c:numRef>
              <c:f>'25 Echinoidea '!$E$2:$E$29</c:f>
              <c:numCache>
                <c:formatCode>General</c:formatCode>
                <c:ptCount val="28"/>
                <c:pt idx="0">
                  <c:v>2.3375385341927929E-2</c:v>
                </c:pt>
                <c:pt idx="1">
                  <c:v>3.2545693958569322E-2</c:v>
                </c:pt>
                <c:pt idx="2">
                  <c:v>4.3351312076205649E-2</c:v>
                </c:pt>
                <c:pt idx="3">
                  <c:v>5.5824740394091743E-2</c:v>
                </c:pt>
                <c:pt idx="4">
                  <c:v>6.999516543714604E-2</c:v>
                </c:pt>
                <c:pt idx="5">
                  <c:v>8.5889117290878447E-2</c:v>
                </c:pt>
                <c:pt idx="6">
                  <c:v>0.10353094535115956</c:v>
                </c:pt>
                <c:pt idx="7">
                  <c:v>0.12294317420590392</c:v>
                </c:pt>
                <c:pt idx="8">
                  <c:v>0.14414677719115196</c:v>
                </c:pt>
                <c:pt idx="9">
                  <c:v>0.1671613914471583</c:v>
                </c:pt>
                <c:pt idx="10">
                  <c:v>0.19200549021163379</c:v>
                </c:pt>
                <c:pt idx="11">
                  <c:v>0.21869652309750484</c:v>
                </c:pt>
                <c:pt idx="12">
                  <c:v>0.24725103190562844</c:v>
                </c:pt>
                <c:pt idx="13">
                  <c:v>0.27768474740759319</c:v>
                </c:pt>
                <c:pt idx="14">
                  <c:v>0.31001267109468134</c:v>
                </c:pt>
                <c:pt idx="15">
                  <c:v>0.74036755457021075</c:v>
                </c:pt>
                <c:pt idx="16">
                  <c:v>1.373064205778062</c:v>
                </c:pt>
                <c:pt idx="17">
                  <c:v>2.21695380454263</c:v>
                </c:pt>
                <c:pt idx="18">
                  <c:v>3.2791310907073234</c:v>
                </c:pt>
                <c:pt idx="19">
                  <c:v>4.5655545509560405</c:v>
                </c:pt>
                <c:pt idx="20">
                  <c:v>6.0813814691243611</c:v>
                </c:pt>
                <c:pt idx="21">
                  <c:v>7.8311710878445417</c:v>
                </c:pt>
                <c:pt idx="22">
                  <c:v>9.8190177328309982</c:v>
                </c:pt>
                <c:pt idx="23">
                  <c:v>12.048643080837371</c:v>
                </c:pt>
                <c:pt idx="24">
                  <c:v>14.52346289848618</c:v>
                </c:pt>
                <c:pt idx="25">
                  <c:v>17.246636965839006</c:v>
                </c:pt>
                <c:pt idx="26">
                  <c:v>20.2211074512187</c:v>
                </c:pt>
                <c:pt idx="27">
                  <c:v>23.449629079571988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86-4845-8F60-9E06DAD7B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15992"/>
        <c:axId val="518521568"/>
      </c:scatterChart>
      <c:valAx>
        <c:axId val="518515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21568"/>
        <c:crosses val="autoZero"/>
        <c:crossBetween val="midCat"/>
      </c:valAx>
      <c:valAx>
        <c:axId val="51852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15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'24 Macropodia'!$E$1</c:f>
              <c:strCache>
                <c:ptCount val="1"/>
                <c:pt idx="0">
                  <c:v>Afdw mg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'24 Macropodia'!$A$2:$A$32</c:f>
              <c:numCache>
                <c:formatCode>General</c:formatCode>
                <c:ptCount val="31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1</c:v>
                </c:pt>
                <c:pt idx="5">
                  <c:v>1.1000000000000001</c:v>
                </c:pt>
                <c:pt idx="6">
                  <c:v>1.2</c:v>
                </c:pt>
                <c:pt idx="7">
                  <c:v>1.3</c:v>
                </c:pt>
                <c:pt idx="8">
                  <c:v>1.4</c:v>
                </c:pt>
                <c:pt idx="9">
                  <c:v>1.5</c:v>
                </c:pt>
                <c:pt idx="10">
                  <c:v>1.6</c:v>
                </c:pt>
                <c:pt idx="11">
                  <c:v>1.7</c:v>
                </c:pt>
                <c:pt idx="12">
                  <c:v>1.8</c:v>
                </c:pt>
                <c:pt idx="13">
                  <c:v>1.9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</c:numCache>
            </c:numRef>
          </c:xVal>
          <c:yVal>
            <c:numRef>
              <c:f>'24 Macropodia'!$E$2:$E$32</c:f>
              <c:numCache>
                <c:formatCode>General</c:formatCode>
                <c:ptCount val="31"/>
                <c:pt idx="0">
                  <c:v>9.0674899774519521E-2</c:v>
                </c:pt>
                <c:pt idx="1">
                  <c:v>0.12906106141168994</c:v>
                </c:pt>
                <c:pt idx="2">
                  <c:v>0.17522529146425841</c:v>
                </c:pt>
                <c:pt idx="3">
                  <c:v>0.22947536401749011</c:v>
                </c:pt>
                <c:pt idx="4">
                  <c:v>0.29209271186651647</c:v>
                </c:pt>
                <c:pt idx="5">
                  <c:v>0.36333728767966811</c:v>
                </c:pt>
                <c:pt idx="6">
                  <c:v>0.44345113856007645</c:v>
                </c:pt>
                <c:pt idx="7">
                  <c:v>0.53266111963187945</c:v>
                </c:pt>
                <c:pt idx="8">
                  <c:v>0.63118100785448727</c:v>
                </c:pt>
                <c:pt idx="9">
                  <c:v>0.73921318412375181</c:v>
                </c:pt>
                <c:pt idx="10">
                  <c:v>0.85694999605813882</c:v>
                </c:pt>
                <c:pt idx="11">
                  <c:v>0.98457487911225094</c:v>
                </c:pt>
                <c:pt idx="12">
                  <c:v>1.1222632911433315</c:v>
                </c:pt>
                <c:pt idx="13">
                  <c:v>1.2701835005036994</c:v>
                </c:pt>
                <c:pt idx="14">
                  <c:v>1.428497257393228</c:v>
                </c:pt>
                <c:pt idx="15">
                  <c:v>3.6151672508428101</c:v>
                </c:pt>
                <c:pt idx="16">
                  <c:v>6.9861531338464617</c:v>
                </c:pt>
                <c:pt idx="17">
                  <c:v>11.645604337865842</c:v>
                </c:pt>
                <c:pt idx="18">
                  <c:v>17.680196365894904</c:v>
                </c:pt>
                <c:pt idx="19">
                  <c:v>25.164901363262544</c:v>
                </c:pt>
                <c:pt idx="20">
                  <c:v>34.166208830261404</c:v>
                </c:pt>
                <c:pt idx="21">
                  <c:v>44.74412993070149</c:v>
                </c:pt>
                <c:pt idx="22">
                  <c:v>56.953539686161001</c:v>
                </c:pt>
                <c:pt idx="23">
                  <c:v>70.845124827293731</c:v>
                </c:pt>
                <c:pt idx="24">
                  <c:v>86.466080777792229</c:v>
                </c:pt>
                <c:pt idx="25">
                  <c:v>103.86064076152954</c:v>
                </c:pt>
                <c:pt idx="26">
                  <c:v>123.07048796349132</c:v>
                </c:pt>
                <c:pt idx="27">
                  <c:v>144.13508351336486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D2-4BCF-8BC9-E904B8B45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911520"/>
        <c:axId val="552912504"/>
      </c:scatterChart>
      <c:valAx>
        <c:axId val="55291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912504"/>
        <c:crosses val="autoZero"/>
        <c:crossBetween val="midCat"/>
      </c:valAx>
      <c:valAx>
        <c:axId val="552912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91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'23 Portunidae'!$E$1</c:f>
              <c:strCache>
                <c:ptCount val="1"/>
                <c:pt idx="0">
                  <c:v>Afdw mg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'23 Portunidae'!$A$2:$A$29</c:f>
              <c:numCache>
                <c:formatCode>General</c:formatCode>
                <c:ptCount val="28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1</c:v>
                </c:pt>
                <c:pt idx="5">
                  <c:v>1.1000000000000001</c:v>
                </c:pt>
                <c:pt idx="6">
                  <c:v>1.2</c:v>
                </c:pt>
                <c:pt idx="7">
                  <c:v>1.3</c:v>
                </c:pt>
                <c:pt idx="8">
                  <c:v>1.4</c:v>
                </c:pt>
                <c:pt idx="9">
                  <c:v>1.5</c:v>
                </c:pt>
                <c:pt idx="10">
                  <c:v>1.6</c:v>
                </c:pt>
                <c:pt idx="11">
                  <c:v>1.7</c:v>
                </c:pt>
                <c:pt idx="12">
                  <c:v>1.8</c:v>
                </c:pt>
                <c:pt idx="13">
                  <c:v>1.9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</c:numCache>
            </c:numRef>
          </c:xVal>
          <c:yVal>
            <c:numRef>
              <c:f>'23 Portunidae'!$E$2:$E$29</c:f>
              <c:numCache>
                <c:formatCode>General</c:formatCode>
                <c:ptCount val="28"/>
                <c:pt idx="0">
                  <c:v>1.3264948422971328E-2</c:v>
                </c:pt>
                <c:pt idx="1">
                  <c:v>2.0662248760697294E-2</c:v>
                </c:pt>
                <c:pt idx="2">
                  <c:v>3.0332236494616048E-2</c:v>
                </c:pt>
                <c:pt idx="3">
                  <c:v>4.2556699181026565E-2</c:v>
                </c:pt>
                <c:pt idx="4">
                  <c:v>5.7613030593896178E-2</c:v>
                </c:pt>
                <c:pt idx="5">
                  <c:v>7.5774781139287956E-2</c:v>
                </c:pt>
                <c:pt idx="6">
                  <c:v>9.7312090694129105E-2</c:v>
                </c:pt>
                <c:pt idx="7">
                  <c:v>0.12249203752168331</c:v>
                </c:pt>
                <c:pt idx="8">
                  <c:v>0.15157892524208103</c:v>
                </c:pt>
                <c:pt idx="9">
                  <c:v>0.1848345228124538</c:v>
                </c:pt>
                <c:pt idx="10">
                  <c:v>0.22251826804002581</c:v>
                </c:pt>
                <c:pt idx="11">
                  <c:v>0.26488744224452554</c:v>
                </c:pt>
                <c:pt idx="12">
                  <c:v>0.31219732171557019</c:v>
                </c:pt>
                <c:pt idx="13">
                  <c:v>0.36470131023676505</c:v>
                </c:pt>
                <c:pt idx="14">
                  <c:v>0.4226510559670178</c:v>
                </c:pt>
                <c:pt idx="15">
                  <c:v>1.3559520379426109</c:v>
                </c:pt>
                <c:pt idx="16">
                  <c:v>3.1005818174918334</c:v>
                </c:pt>
                <c:pt idx="17">
                  <c:v>5.8892431206562206</c:v>
                </c:pt>
                <c:pt idx="18">
                  <c:v>9.947308009479908</c:v>
                </c:pt>
                <c:pt idx="19">
                  <c:v>15.494500697433605</c:v>
                </c:pt>
                <c:pt idx="20">
                  <c:v>22.745968503415199</c:v>
                </c:pt>
                <c:pt idx="21">
                  <c:v>31.913022284155112</c:v>
                </c:pt>
                <c:pt idx="22">
                  <c:v>43.203678024456387</c:v>
                </c:pt>
                <c:pt idx="23">
                  <c:v>56.823069589786321</c:v>
                </c:pt>
                <c:pt idx="24">
                  <c:v>72.973773309562318</c:v>
                </c:pt>
                <c:pt idx="25">
                  <c:v>91.856069626844246</c:v>
                </c:pt>
                <c:pt idx="26">
                  <c:v>113.66815829587382</c:v>
                </c:pt>
                <c:pt idx="27">
                  <c:v>138.60633834178705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60-4165-8FD2-68AE655C1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416992"/>
        <c:axId val="485419616"/>
      </c:scatterChart>
      <c:valAx>
        <c:axId val="485416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419616"/>
        <c:crosses val="autoZero"/>
        <c:crossBetween val="midCat"/>
      </c:valAx>
      <c:valAx>
        <c:axId val="48541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416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'22 Majidae'!$E$1</c:f>
              <c:strCache>
                <c:ptCount val="1"/>
                <c:pt idx="0">
                  <c:v>Afdw mg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'22 Majidae'!$A$2:$A$29</c:f>
              <c:numCache>
                <c:formatCode>General</c:formatCode>
                <c:ptCount val="28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1</c:v>
                </c:pt>
                <c:pt idx="5">
                  <c:v>1.1000000000000001</c:v>
                </c:pt>
                <c:pt idx="6">
                  <c:v>1.2</c:v>
                </c:pt>
                <c:pt idx="7">
                  <c:v>1.3</c:v>
                </c:pt>
                <c:pt idx="8">
                  <c:v>1.4</c:v>
                </c:pt>
                <c:pt idx="9">
                  <c:v>1.5</c:v>
                </c:pt>
                <c:pt idx="10">
                  <c:v>1.6</c:v>
                </c:pt>
                <c:pt idx="11">
                  <c:v>1.7</c:v>
                </c:pt>
                <c:pt idx="12">
                  <c:v>1.8</c:v>
                </c:pt>
                <c:pt idx="13">
                  <c:v>1.9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</c:numCache>
            </c:numRef>
          </c:xVal>
          <c:yVal>
            <c:numRef>
              <c:f>'22 Majidae'!$E$2:$E$29</c:f>
              <c:numCache>
                <c:formatCode>General</c:formatCode>
                <c:ptCount val="28"/>
                <c:pt idx="0">
                  <c:v>2.6124829481200065E-2</c:v>
                </c:pt>
                <c:pt idx="1">
                  <c:v>4.0938922637617267E-2</c:v>
                </c:pt>
                <c:pt idx="2">
                  <c:v>6.0412240539837986E-2</c:v>
                </c:pt>
                <c:pt idx="3">
                  <c:v>8.5149753163004729E-2</c:v>
                </c:pt>
                <c:pt idx="4">
                  <c:v>0.11574992567880357</c:v>
                </c:pt>
                <c:pt idx="5">
                  <c:v>0.15280550672086701</c:v>
                </c:pt>
                <c:pt idx="6">
                  <c:v>0.19690415103735134</c:v>
                </c:pt>
                <c:pt idx="7">
                  <c:v>0.24862892342457743</c:v>
                </c:pt>
                <c:pt idx="8">
                  <c:v>0.30855871469495033</c:v>
                </c:pt>
                <c:pt idx="9">
                  <c:v>0.37726859068224289</c:v>
                </c:pt>
                <c:pt idx="10">
                  <c:v>0.45533008911393075</c:v>
                </c:pt>
                <c:pt idx="11">
                  <c:v>0.54331147511704714</c:v>
                </c:pt>
                <c:pt idx="12">
                  <c:v>0.64177796336113324</c:v>
                </c:pt>
                <c:pt idx="13">
                  <c:v>0.75129191291029107</c:v>
                </c:pt>
                <c:pt idx="14">
                  <c:v>0.87241299947326523</c:v>
                </c:pt>
                <c:pt idx="15">
                  <c:v>2.8434923035498674</c:v>
                </c:pt>
                <c:pt idx="16">
                  <c:v>6.5754205645188994</c:v>
                </c:pt>
                <c:pt idx="17">
                  <c:v>12.598513725840711</c:v>
                </c:pt>
                <c:pt idx="18">
                  <c:v>21.431544210255655</c:v>
                </c:pt>
                <c:pt idx="19">
                  <c:v>33.584308408968361</c:v>
                </c:pt>
                <c:pt idx="20">
                  <c:v>49.559274823280546</c:v>
                </c:pt>
                <c:pt idx="21">
                  <c:v>69.852731506573789</c:v>
                </c:pt>
                <c:pt idx="22">
                  <c:v>94.955630286668253</c:v>
                </c:pt>
                <c:pt idx="23">
                  <c:v>125.3542334205638</c:v>
                </c:pt>
                <c:pt idx="24">
                  <c:v>161.53062438844313</c:v>
                </c:pt>
                <c:pt idx="25">
                  <c:v>203.96312129641237</c:v>
                </c:pt>
                <c:pt idx="26">
                  <c:v>253.12661811642658</c:v>
                </c:pt>
                <c:pt idx="27">
                  <c:v>309.49287099331252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BD-463E-8C90-D9FAD8B4F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043456"/>
        <c:axId val="360042800"/>
      </c:scatterChart>
      <c:valAx>
        <c:axId val="360043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042800"/>
        <c:crosses val="autoZero"/>
        <c:crossBetween val="midCat"/>
      </c:valAx>
      <c:valAx>
        <c:axId val="36004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043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'21 Alpheidae '!$F$1</c:f>
              <c:strCache>
                <c:ptCount val="1"/>
                <c:pt idx="0">
                  <c:v>Afdw mg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35205424321959755"/>
                  <c:y val="2.73611111111111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'21 Alpheidae '!$B$2:$B$24</c:f>
              <c:numCache>
                <c:formatCode>General</c:formatCode>
                <c:ptCount val="23"/>
                <c:pt idx="0">
                  <c:v>1.9679999999999997</c:v>
                </c:pt>
                <c:pt idx="1">
                  <c:v>2.2959999999999998</c:v>
                </c:pt>
                <c:pt idx="2">
                  <c:v>2.6240000000000001</c:v>
                </c:pt>
                <c:pt idx="3">
                  <c:v>2.952</c:v>
                </c:pt>
                <c:pt idx="4">
                  <c:v>3.28</c:v>
                </c:pt>
                <c:pt idx="5">
                  <c:v>3.6080000000000001</c:v>
                </c:pt>
                <c:pt idx="6">
                  <c:v>3.9359999999999995</c:v>
                </c:pt>
                <c:pt idx="7">
                  <c:v>4.2640000000000002</c:v>
                </c:pt>
                <c:pt idx="8">
                  <c:v>4.5919999999999996</c:v>
                </c:pt>
                <c:pt idx="9">
                  <c:v>4.92</c:v>
                </c:pt>
                <c:pt idx="10">
                  <c:v>5.2480000000000002</c:v>
                </c:pt>
                <c:pt idx="11">
                  <c:v>5.5759999999999996</c:v>
                </c:pt>
                <c:pt idx="12">
                  <c:v>5.9039999999999999</c:v>
                </c:pt>
                <c:pt idx="13">
                  <c:v>6.2319999999999993</c:v>
                </c:pt>
                <c:pt idx="14">
                  <c:v>6.56</c:v>
                </c:pt>
                <c:pt idx="15">
                  <c:v>9.84</c:v>
                </c:pt>
                <c:pt idx="16">
                  <c:v>13.12</c:v>
                </c:pt>
              </c:numCache>
            </c:numRef>
          </c:xVal>
          <c:yVal>
            <c:numRef>
              <c:f>'21 Alpheidae '!$F$2:$F$24</c:f>
              <c:numCache>
                <c:formatCode>General</c:formatCode>
                <c:ptCount val="23"/>
                <c:pt idx="0">
                  <c:v>0.13216168678063234</c:v>
                </c:pt>
                <c:pt idx="1">
                  <c:v>0.19757901167553937</c:v>
                </c:pt>
                <c:pt idx="2">
                  <c:v>0.26367041703990463</c:v>
                </c:pt>
                <c:pt idx="3">
                  <c:v>0.34009637827989858</c:v>
                </c:pt>
                <c:pt idx="4">
                  <c:v>0.42705513100025982</c:v>
                </c:pt>
                <c:pt idx="5">
                  <c:v>0.52472715139400972</c:v>
                </c:pt>
                <c:pt idx="6">
                  <c:v>0.63327831492310371</c:v>
                </c:pt>
                <c:pt idx="7">
                  <c:v>0.75286226256005262</c:v>
                </c:pt>
                <c:pt idx="8">
                  <c:v>0.88362222202383689</c:v>
                </c:pt>
                <c:pt idx="9">
                  <c:v>1.0256924412501687</c:v>
                </c:pt>
                <c:pt idx="10">
                  <c:v>1.1791993380823063</c:v>
                </c:pt>
                <c:pt idx="11">
                  <c:v>1.3442624372772227</c:v>
                </c:pt>
                <c:pt idx="12">
                  <c:v>1.5209951448256362</c:v>
                </c:pt>
                <c:pt idx="13">
                  <c:v>1.7095053956115818</c:v>
                </c:pt>
                <c:pt idx="14">
                  <c:v>1.9098962009224769</c:v>
                </c:pt>
                <c:pt idx="15">
                  <c:v>4.587150357543428</c:v>
                </c:pt>
                <c:pt idx="16">
                  <c:v>8.5415283262242081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7E-4883-B21A-D95A6A59B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036568"/>
        <c:axId val="360036896"/>
      </c:scatterChart>
      <c:valAx>
        <c:axId val="360036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036896"/>
        <c:crosses val="autoZero"/>
        <c:crossBetween val="midCat"/>
      </c:valAx>
      <c:valAx>
        <c:axId val="36003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036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 Paguridae'!$F$1</c:f>
              <c:strCache>
                <c:ptCount val="1"/>
                <c:pt idx="0">
                  <c:v>Afdw mg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'20 Paguridae'!$B$2:$B$18</c:f>
              <c:numCache>
                <c:formatCode>General</c:formatCode>
                <c:ptCount val="17"/>
                <c:pt idx="0">
                  <c:v>4.5</c:v>
                </c:pt>
                <c:pt idx="1">
                  <c:v>5.25</c:v>
                </c:pt>
                <c:pt idx="2">
                  <c:v>6</c:v>
                </c:pt>
                <c:pt idx="3">
                  <c:v>6.75</c:v>
                </c:pt>
                <c:pt idx="4">
                  <c:v>7.5</c:v>
                </c:pt>
                <c:pt idx="5">
                  <c:v>8.25</c:v>
                </c:pt>
                <c:pt idx="6">
                  <c:v>9</c:v>
                </c:pt>
                <c:pt idx="7">
                  <c:v>9.75</c:v>
                </c:pt>
                <c:pt idx="8">
                  <c:v>10.5</c:v>
                </c:pt>
                <c:pt idx="9">
                  <c:v>11.25</c:v>
                </c:pt>
                <c:pt idx="10">
                  <c:v>12</c:v>
                </c:pt>
                <c:pt idx="11">
                  <c:v>12.75</c:v>
                </c:pt>
                <c:pt idx="12">
                  <c:v>13.5</c:v>
                </c:pt>
                <c:pt idx="13">
                  <c:v>14.25</c:v>
                </c:pt>
                <c:pt idx="14">
                  <c:v>15</c:v>
                </c:pt>
                <c:pt idx="15">
                  <c:v>22.5</c:v>
                </c:pt>
                <c:pt idx="16">
                  <c:v>30</c:v>
                </c:pt>
              </c:numCache>
            </c:numRef>
          </c:xVal>
          <c:yVal>
            <c:numRef>
              <c:f>'20 Paguridae'!$F$2:$F$18</c:f>
              <c:numCache>
                <c:formatCode>General</c:formatCode>
                <c:ptCount val="17"/>
                <c:pt idx="0">
                  <c:v>0.78754183928317645</c:v>
                </c:pt>
                <c:pt idx="1">
                  <c:v>1.1778004158287931</c:v>
                </c:pt>
                <c:pt idx="2">
                  <c:v>1.6691242884595583</c:v>
                </c:pt>
                <c:pt idx="3">
                  <c:v>2.2701152856308586</c:v>
                </c:pt>
                <c:pt idx="4">
                  <c:v>2.9889642514928778</c:v>
                </c:pt>
                <c:pt idx="5">
                  <c:v>3.8335137188180526</c:v>
                </c:pt>
                <c:pt idx="6">
                  <c:v>4.8113057260533987</c:v>
                </c:pt>
                <c:pt idx="7">
                  <c:v>5.9296193342248555</c:v>
                </c:pt>
                <c:pt idx="8">
                  <c:v>7.1955007368028232</c:v>
                </c:pt>
                <c:pt idx="9">
                  <c:v>8.6157878820688172</c:v>
                </c:pt>
                <c:pt idx="10">
                  <c:v>10.197130928141949</c:v>
                </c:pt>
                <c:pt idx="11">
                  <c:v>11.946009466265435</c:v>
                </c:pt>
                <c:pt idx="12">
                  <c:v>13.868747192528261</c:v>
                </c:pt>
                <c:pt idx="13">
                  <c:v>15.971524533462212</c:v>
                </c:pt>
                <c:pt idx="14">
                  <c:v>18.260389608336325</c:v>
                </c:pt>
                <c:pt idx="15">
                  <c:v>52.636174364005875</c:v>
                </c:pt>
                <c:pt idx="16">
                  <c:v>111.55765027356729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9-47A6-A0EB-EC9701F8F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955992"/>
        <c:axId val="484953368"/>
      </c:scatterChart>
      <c:valAx>
        <c:axId val="484955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953368"/>
        <c:crosses val="autoZero"/>
        <c:crossBetween val="midCat"/>
      </c:valAx>
      <c:valAx>
        <c:axId val="48495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955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12</xdr:row>
      <xdr:rowOff>38100</xdr:rowOff>
    </xdr:from>
    <xdr:to>
      <xdr:col>16</xdr:col>
      <xdr:colOff>271462</xdr:colOff>
      <xdr:row>26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5FC2DF-AFC9-4E8A-850C-CC5153B5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12</xdr:row>
      <xdr:rowOff>38100</xdr:rowOff>
    </xdr:from>
    <xdr:to>
      <xdr:col>16</xdr:col>
      <xdr:colOff>271462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A10192-F050-4D38-85FE-ED52E7A119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12</xdr:row>
      <xdr:rowOff>38100</xdr:rowOff>
    </xdr:from>
    <xdr:to>
      <xdr:col>16</xdr:col>
      <xdr:colOff>271462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5B9162-5DEC-4E5E-8C0E-563969027E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12</xdr:row>
      <xdr:rowOff>38100</xdr:rowOff>
    </xdr:from>
    <xdr:to>
      <xdr:col>18</xdr:col>
      <xdr:colOff>228600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5BE631-CADA-4A78-AC4F-AB48262086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12</xdr:row>
      <xdr:rowOff>38100</xdr:rowOff>
    </xdr:from>
    <xdr:to>
      <xdr:col>16</xdr:col>
      <xdr:colOff>271462</xdr:colOff>
      <xdr:row>26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FD2C8F-3AB1-499A-AEB2-3BA1317423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12</xdr:row>
      <xdr:rowOff>38100</xdr:rowOff>
    </xdr:from>
    <xdr:to>
      <xdr:col>16</xdr:col>
      <xdr:colOff>271462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E0F1F5-1323-4C85-A30A-A3CDBEA487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12</xdr:row>
      <xdr:rowOff>38100</xdr:rowOff>
    </xdr:from>
    <xdr:to>
      <xdr:col>16</xdr:col>
      <xdr:colOff>271462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2EB388-30B7-4141-B177-2F1709994C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719137</xdr:colOff>
      <xdr:row>12</xdr:row>
      <xdr:rowOff>38100</xdr:rowOff>
    </xdr:from>
    <xdr:to>
      <xdr:col>14</xdr:col>
      <xdr:colOff>414337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04ECBB-968B-4EBD-98BF-8366C09205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414337</xdr:colOff>
      <xdr:row>2</xdr:row>
      <xdr:rowOff>47625</xdr:rowOff>
    </xdr:from>
    <xdr:to>
      <xdr:col>13</xdr:col>
      <xdr:colOff>109537</xdr:colOff>
      <xdr:row>16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DDEB86-D2CA-4ED2-94B1-BEF6C8A2E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</xdr:colOff>
      <xdr:row>12</xdr:row>
      <xdr:rowOff>38100</xdr:rowOff>
    </xdr:from>
    <xdr:to>
      <xdr:col>15</xdr:col>
      <xdr:colOff>309562</xdr:colOff>
      <xdr:row>26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17D516-8550-42C0-98C9-75C83BA94E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13</xdr:row>
      <xdr:rowOff>33337</xdr:rowOff>
    </xdr:from>
    <xdr:to>
      <xdr:col>13</xdr:col>
      <xdr:colOff>161925</xdr:colOff>
      <xdr:row>27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DAC0C7-A3D2-434B-B8CF-19B41C2FF6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414337</xdr:colOff>
      <xdr:row>12</xdr:row>
      <xdr:rowOff>38100</xdr:rowOff>
    </xdr:from>
    <xdr:to>
      <xdr:col>16</xdr:col>
      <xdr:colOff>109537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9AA52B-499B-45BA-8941-60670915AC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509587</xdr:colOff>
      <xdr:row>12</xdr:row>
      <xdr:rowOff>47625</xdr:rowOff>
    </xdr:from>
    <xdr:to>
      <xdr:col>16</xdr:col>
      <xdr:colOff>204787</xdr:colOff>
      <xdr:row>26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C75CC7-22F5-464F-9F82-F3404B288B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6</xdr:row>
      <xdr:rowOff>95250</xdr:rowOff>
    </xdr:from>
    <xdr:to>
      <xdr:col>13</xdr:col>
      <xdr:colOff>142875</xdr:colOff>
      <xdr:row>20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8EF8ED-4993-47CD-90E7-A65C903BFE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309562</xdr:colOff>
      <xdr:row>4</xdr:row>
      <xdr:rowOff>19050</xdr:rowOff>
    </xdr:from>
    <xdr:to>
      <xdr:col>16</xdr:col>
      <xdr:colOff>4762</xdr:colOff>
      <xdr:row>18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342C6D-84E9-44D2-88DC-CF24329D5E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585787</xdr:colOff>
      <xdr:row>6</xdr:row>
      <xdr:rowOff>47625</xdr:rowOff>
    </xdr:from>
    <xdr:to>
      <xdr:col>22</xdr:col>
      <xdr:colOff>352425</xdr:colOff>
      <xdr:row>25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F7E7E6-0136-425F-9F89-93C5A89140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471487</xdr:colOff>
      <xdr:row>11</xdr:row>
      <xdr:rowOff>114300</xdr:rowOff>
    </xdr:from>
    <xdr:to>
      <xdr:col>14</xdr:col>
      <xdr:colOff>166687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1DF7C4-A534-41E7-97F3-451957D4E8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509587</xdr:colOff>
      <xdr:row>13</xdr:row>
      <xdr:rowOff>47625</xdr:rowOff>
    </xdr:from>
    <xdr:to>
      <xdr:col>16</xdr:col>
      <xdr:colOff>204787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D4AD7D-99F4-49CF-BC9C-D1EDEB67EE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233362</xdr:colOff>
      <xdr:row>2</xdr:row>
      <xdr:rowOff>123825</xdr:rowOff>
    </xdr:from>
    <xdr:to>
      <xdr:col>11</xdr:col>
      <xdr:colOff>538162</xdr:colOff>
      <xdr:row>17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16B491-D429-4E2F-8036-D4464D2B13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12</xdr:row>
      <xdr:rowOff>47625</xdr:rowOff>
    </xdr:from>
    <xdr:to>
      <xdr:col>18</xdr:col>
      <xdr:colOff>542925</xdr:colOff>
      <xdr:row>26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4BC63D-FDC9-45A6-9303-F8EEC2C2C0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0</xdr:row>
      <xdr:rowOff>171450</xdr:rowOff>
    </xdr:from>
    <xdr:to>
      <xdr:col>14</xdr:col>
      <xdr:colOff>280987</xdr:colOff>
      <xdr:row>23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1B29FB8-D126-40E6-853A-CD08D74D81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595312</xdr:colOff>
      <xdr:row>13</xdr:row>
      <xdr:rowOff>38100</xdr:rowOff>
    </xdr:from>
    <xdr:to>
      <xdr:col>16</xdr:col>
      <xdr:colOff>290512</xdr:colOff>
      <xdr:row>27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1F49F5-52BF-4332-8C0C-CBA308C684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12</xdr:row>
      <xdr:rowOff>38100</xdr:rowOff>
    </xdr:from>
    <xdr:to>
      <xdr:col>16</xdr:col>
      <xdr:colOff>271462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C9A2FC-A75F-4837-8E95-FCB7BA66DF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12</xdr:row>
      <xdr:rowOff>38100</xdr:rowOff>
    </xdr:from>
    <xdr:to>
      <xdr:col>16</xdr:col>
      <xdr:colOff>271462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2D17CC-4B6F-4244-A9B8-5AFBD3B8D8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12</xdr:row>
      <xdr:rowOff>38100</xdr:rowOff>
    </xdr:from>
    <xdr:to>
      <xdr:col>16</xdr:col>
      <xdr:colOff>271462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A59EDD-A00D-4C38-BA5B-2EFBD43BC9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12</xdr:row>
      <xdr:rowOff>38100</xdr:rowOff>
    </xdr:from>
    <xdr:to>
      <xdr:col>16</xdr:col>
      <xdr:colOff>271462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28FCDC-20A9-4583-A93F-B905E25221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12</xdr:row>
      <xdr:rowOff>38100</xdr:rowOff>
    </xdr:from>
    <xdr:to>
      <xdr:col>16</xdr:col>
      <xdr:colOff>271462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C5A9F0-95A1-4D92-A25E-689FD0E06B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12</xdr:row>
      <xdr:rowOff>38100</xdr:rowOff>
    </xdr:from>
    <xdr:to>
      <xdr:col>16</xdr:col>
      <xdr:colOff>271462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0331E9-FF8E-43A1-AE89-B83D26AE94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274C-5EF8-4C13-9B9C-0477369AA75B}">
  <dimension ref="A1:M46"/>
  <sheetViews>
    <sheetView tabSelected="1" topLeftCell="B9" workbookViewId="0">
      <selection activeCell="F43" sqref="F43"/>
    </sheetView>
  </sheetViews>
  <sheetFormatPr defaultRowHeight="15" x14ac:dyDescent="0.25"/>
  <cols>
    <col min="1" max="1" width="16.7109375" customWidth="1"/>
    <col min="2" max="2" width="14.5703125" customWidth="1"/>
    <col min="4" max="4" width="13.140625" style="4" bestFit="1" customWidth="1"/>
    <col min="5" max="5" width="10.42578125" style="2" bestFit="1" customWidth="1"/>
    <col min="6" max="6" width="10.7109375" style="2" bestFit="1" customWidth="1"/>
    <col min="7" max="7" width="9.140625" style="5"/>
    <col min="8" max="8" width="10.28515625" style="6" customWidth="1"/>
    <col min="9" max="9" width="46" bestFit="1" customWidth="1"/>
    <col min="10" max="10" width="11" style="1" bestFit="1" customWidth="1"/>
    <col min="11" max="11" width="15.42578125" style="1" bestFit="1" customWidth="1"/>
    <col min="12" max="12" width="103.5703125" style="1" bestFit="1" customWidth="1"/>
  </cols>
  <sheetData>
    <row r="1" spans="1:13" s="14" customFormat="1" x14ac:dyDescent="0.25">
      <c r="A1" s="14" t="s">
        <v>0</v>
      </c>
      <c r="C1" s="14" t="s">
        <v>38</v>
      </c>
      <c r="D1" s="15" t="s">
        <v>62</v>
      </c>
      <c r="E1" s="16" t="s">
        <v>60</v>
      </c>
      <c r="F1" s="16" t="s">
        <v>61</v>
      </c>
      <c r="G1" s="17" t="s">
        <v>63</v>
      </c>
      <c r="H1" s="18" t="s">
        <v>64</v>
      </c>
      <c r="I1" s="14" t="s">
        <v>67</v>
      </c>
      <c r="J1" s="17" t="s">
        <v>70</v>
      </c>
      <c r="K1" s="17" t="s">
        <v>196</v>
      </c>
      <c r="L1" s="17" t="s">
        <v>65</v>
      </c>
      <c r="M1" s="17" t="s">
        <v>1</v>
      </c>
    </row>
    <row r="2" spans="1:13" x14ac:dyDescent="0.25">
      <c r="A2" t="s">
        <v>23</v>
      </c>
      <c r="C2">
        <v>278854</v>
      </c>
      <c r="D2" s="4">
        <v>44.504985891395663</v>
      </c>
      <c r="E2" s="2">
        <v>3.89794E-4</v>
      </c>
      <c r="F2" s="2">
        <v>3.6680793760000001</v>
      </c>
      <c r="G2" s="5">
        <v>4.7000000000000002E-3</v>
      </c>
      <c r="H2" s="6">
        <v>2.1779999999999999</v>
      </c>
      <c r="I2" t="s">
        <v>30</v>
      </c>
      <c r="J2" s="1">
        <v>1</v>
      </c>
      <c r="K2" s="1" t="s">
        <v>197</v>
      </c>
      <c r="L2" s="7" t="s">
        <v>66</v>
      </c>
    </row>
    <row r="3" spans="1:13" x14ac:dyDescent="0.25">
      <c r="A3" t="s">
        <v>20</v>
      </c>
      <c r="C3">
        <v>72964</v>
      </c>
      <c r="D3" s="4">
        <v>11.645024961376897</v>
      </c>
      <c r="E3" s="2">
        <v>1.42E-5</v>
      </c>
      <c r="F3" s="2">
        <v>18.89154357</v>
      </c>
      <c r="G3" s="5">
        <v>2.64E-2</v>
      </c>
      <c r="H3" s="6">
        <v>2.2949999999999999</v>
      </c>
      <c r="I3" t="s">
        <v>2</v>
      </c>
      <c r="J3" s="1">
        <v>2</v>
      </c>
      <c r="K3" s="1" t="s">
        <v>197</v>
      </c>
      <c r="L3" s="7" t="s">
        <v>71</v>
      </c>
    </row>
    <row r="4" spans="1:13" x14ac:dyDescent="0.25">
      <c r="A4" t="s">
        <v>3</v>
      </c>
      <c r="C4">
        <v>67226</v>
      </c>
      <c r="D4" s="4">
        <v>10.729242476475019</v>
      </c>
      <c r="E4" s="2">
        <v>4.8492000000000001E-4</v>
      </c>
      <c r="F4" s="2">
        <v>17.600036070000002</v>
      </c>
      <c r="G4" s="5">
        <v>5.5999999999999999E-3</v>
      </c>
      <c r="H4" s="6">
        <v>2.4529999999999998</v>
      </c>
      <c r="I4" t="s">
        <v>79</v>
      </c>
      <c r="J4" s="1">
        <v>3</v>
      </c>
      <c r="K4" s="1" t="s">
        <v>197</v>
      </c>
      <c r="L4" s="7" t="s">
        <v>80</v>
      </c>
    </row>
    <row r="5" spans="1:13" x14ac:dyDescent="0.25">
      <c r="A5" t="s">
        <v>24</v>
      </c>
      <c r="C5">
        <v>52100</v>
      </c>
      <c r="D5" s="4">
        <v>8.3151389793286601</v>
      </c>
      <c r="E5" s="2">
        <v>4.1105599999999998E-4</v>
      </c>
      <c r="F5" s="2">
        <v>19.651177300000001</v>
      </c>
      <c r="G5" s="5">
        <v>4.8999999999999998E-3</v>
      </c>
      <c r="H5" s="6">
        <v>2.9809999999999999</v>
      </c>
      <c r="I5" t="s">
        <v>79</v>
      </c>
      <c r="J5" s="1">
        <v>4</v>
      </c>
      <c r="K5" s="1" t="s">
        <v>197</v>
      </c>
      <c r="L5" s="7" t="s">
        <v>87</v>
      </c>
    </row>
    <row r="6" spans="1:13" x14ac:dyDescent="0.25">
      <c r="A6" t="s">
        <v>22</v>
      </c>
      <c r="C6">
        <v>40700</v>
      </c>
      <c r="D6" s="4">
        <v>6.4957035788613524</v>
      </c>
      <c r="E6" s="2">
        <v>5.3153800000000002E-4</v>
      </c>
      <c r="F6" s="2">
        <v>36.136608459999998</v>
      </c>
      <c r="G6" s="5">
        <v>1.2500000000000001E-2</v>
      </c>
      <c r="H6" s="6">
        <v>1.64</v>
      </c>
      <c r="I6" t="s">
        <v>2</v>
      </c>
      <c r="J6" s="1">
        <v>5</v>
      </c>
      <c r="K6" s="1" t="s">
        <v>197</v>
      </c>
      <c r="L6" s="7" t="s">
        <v>93</v>
      </c>
    </row>
    <row r="7" spans="1:13" x14ac:dyDescent="0.25">
      <c r="A7" t="s">
        <v>10</v>
      </c>
      <c r="C7">
        <v>31387</v>
      </c>
      <c r="D7" s="4">
        <v>5.0093525363567881</v>
      </c>
      <c r="E7" s="2">
        <v>2.4182399999999999E-4</v>
      </c>
      <c r="F7" s="2">
        <v>2.1350602410000001</v>
      </c>
      <c r="G7" s="5">
        <v>1.66E-2</v>
      </c>
      <c r="H7" s="6">
        <v>1.9279999999999999</v>
      </c>
      <c r="I7" t="s">
        <v>98</v>
      </c>
      <c r="J7" s="1">
        <v>6</v>
      </c>
      <c r="K7" s="1" t="s">
        <v>197</v>
      </c>
      <c r="L7" s="7" t="s">
        <v>99</v>
      </c>
    </row>
    <row r="8" spans="1:13" x14ac:dyDescent="0.25">
      <c r="A8" t="s">
        <v>43</v>
      </c>
      <c r="C8">
        <v>20805</v>
      </c>
      <c r="D8" s="4">
        <v>3.320469605852836</v>
      </c>
      <c r="E8" s="2">
        <v>1.9347979999999999E-3</v>
      </c>
      <c r="F8" s="2">
        <v>12.972629339999999</v>
      </c>
      <c r="G8" s="5">
        <v>3.8999999999999998E-3</v>
      </c>
      <c r="H8" s="6">
        <v>2.4746999999999999</v>
      </c>
      <c r="I8" t="s">
        <v>108</v>
      </c>
      <c r="J8" s="1">
        <v>7</v>
      </c>
      <c r="K8" s="1" t="s">
        <v>197</v>
      </c>
      <c r="L8" s="7" t="s">
        <v>103</v>
      </c>
    </row>
    <row r="9" spans="1:13" x14ac:dyDescent="0.25">
      <c r="A9" t="s">
        <v>39</v>
      </c>
      <c r="C9">
        <v>15962</v>
      </c>
      <c r="D9" s="4">
        <v>2.5475287598472951</v>
      </c>
      <c r="E9" s="2">
        <v>4.1232200000000001E-4</v>
      </c>
      <c r="F9" s="2">
        <v>1.9668249470000001</v>
      </c>
      <c r="G9" s="5">
        <v>8.2900000000000001E-2</v>
      </c>
      <c r="H9" s="6">
        <v>1.7466999999999999</v>
      </c>
      <c r="I9" t="s">
        <v>109</v>
      </c>
      <c r="J9" s="1">
        <v>8</v>
      </c>
      <c r="K9" s="1" t="s">
        <v>197</v>
      </c>
      <c r="L9" s="7" t="s">
        <v>110</v>
      </c>
    </row>
    <row r="10" spans="1:13" x14ac:dyDescent="0.25">
      <c r="A10" t="s">
        <v>19</v>
      </c>
      <c r="C10">
        <v>11388</v>
      </c>
      <c r="D10" s="4">
        <v>1.8175202053089208</v>
      </c>
      <c r="E10" s="2">
        <v>0.52141232199999998</v>
      </c>
      <c r="F10" s="2">
        <v>7.2856130400000003</v>
      </c>
      <c r="G10" s="5">
        <v>5.5999999999999999E-3</v>
      </c>
      <c r="H10" s="6">
        <v>1.1984999999999999</v>
      </c>
      <c r="I10" t="s">
        <v>126</v>
      </c>
      <c r="J10" s="1">
        <v>9</v>
      </c>
      <c r="K10" s="1" t="s">
        <v>197</v>
      </c>
      <c r="L10" s="7" t="s">
        <v>19</v>
      </c>
    </row>
    <row r="11" spans="1:13" x14ac:dyDescent="0.25">
      <c r="A11" t="s">
        <v>4</v>
      </c>
      <c r="C11">
        <v>8164</v>
      </c>
      <c r="D11" s="4">
        <v>1.3029711060890437</v>
      </c>
      <c r="E11" s="2">
        <v>2.1119770000000001E-3</v>
      </c>
      <c r="F11" s="2">
        <v>17.94475705</v>
      </c>
      <c r="G11" s="5">
        <v>8.8000000000000005E-3</v>
      </c>
      <c r="H11" s="6">
        <v>2.5960000000000001</v>
      </c>
      <c r="I11" t="s">
        <v>2</v>
      </c>
      <c r="J11" s="1">
        <v>10</v>
      </c>
      <c r="K11" s="1" t="s">
        <v>197</v>
      </c>
      <c r="L11" s="7" t="s">
        <v>131</v>
      </c>
    </row>
    <row r="12" spans="1:13" x14ac:dyDescent="0.25">
      <c r="A12" t="s">
        <v>21</v>
      </c>
      <c r="C12">
        <v>7142</v>
      </c>
      <c r="D12" s="4">
        <v>1.1398603184331149</v>
      </c>
      <c r="E12" s="2">
        <v>0.31321971399999998</v>
      </c>
      <c r="F12" s="2">
        <v>13.78419119</v>
      </c>
      <c r="G12" s="5">
        <v>1E-3</v>
      </c>
      <c r="H12" s="6">
        <v>2.6671</v>
      </c>
      <c r="I12" t="s">
        <v>2</v>
      </c>
      <c r="J12" s="1">
        <v>11</v>
      </c>
      <c r="K12" s="1" t="s">
        <v>197</v>
      </c>
      <c r="L12" s="7" t="s">
        <v>139</v>
      </c>
    </row>
    <row r="13" spans="1:13" x14ac:dyDescent="0.25">
      <c r="A13" t="s">
        <v>14</v>
      </c>
      <c r="C13">
        <v>5732</v>
      </c>
      <c r="D13" s="4">
        <v>0.91482488732268474</v>
      </c>
      <c r="E13" s="2">
        <v>3.6571186999999998E-2</v>
      </c>
      <c r="F13" s="2">
        <v>7.1057264350000002</v>
      </c>
      <c r="G13" s="5">
        <v>2.7000000000000001E-3</v>
      </c>
      <c r="H13" s="6">
        <v>2.8889999999999998</v>
      </c>
      <c r="I13" t="s">
        <v>13</v>
      </c>
      <c r="J13" s="1">
        <v>12</v>
      </c>
      <c r="K13" s="1" t="s">
        <v>197</v>
      </c>
      <c r="L13" s="7" t="s">
        <v>12</v>
      </c>
    </row>
    <row r="14" spans="1:13" x14ac:dyDescent="0.25">
      <c r="A14" t="s">
        <v>41</v>
      </c>
      <c r="C14">
        <v>5102</v>
      </c>
      <c r="D14" s="4">
        <v>0.81427714150738617</v>
      </c>
      <c r="E14" s="2">
        <v>6.5910700000000003E-4</v>
      </c>
      <c r="F14" s="2">
        <v>6.5085548480000002</v>
      </c>
      <c r="G14" s="5">
        <v>0.1186</v>
      </c>
      <c r="H14" s="6">
        <v>2.2759999999999998</v>
      </c>
      <c r="I14" t="s">
        <v>153</v>
      </c>
      <c r="J14" s="1">
        <v>13</v>
      </c>
      <c r="K14" s="1" t="s">
        <v>198</v>
      </c>
      <c r="L14" s="7" t="s">
        <v>140</v>
      </c>
    </row>
    <row r="15" spans="1:13" x14ac:dyDescent="0.25">
      <c r="A15" t="s">
        <v>5</v>
      </c>
      <c r="C15">
        <v>2168</v>
      </c>
      <c r="D15" s="4">
        <v>0.34601192528185287</v>
      </c>
      <c r="E15" s="2">
        <v>0.25198295700000001</v>
      </c>
      <c r="F15" s="2">
        <v>4.8829053570000003</v>
      </c>
      <c r="G15" s="5">
        <v>2.2000000000000001E-3</v>
      </c>
      <c r="H15" s="6">
        <v>2.42</v>
      </c>
      <c r="I15" t="s">
        <v>2</v>
      </c>
      <c r="J15" s="1">
        <v>14</v>
      </c>
      <c r="K15" s="1" t="s">
        <v>197</v>
      </c>
      <c r="L15" s="7" t="s">
        <v>5</v>
      </c>
    </row>
    <row r="16" spans="1:13" x14ac:dyDescent="0.25">
      <c r="A16" t="s">
        <v>8</v>
      </c>
      <c r="C16">
        <v>1738</v>
      </c>
      <c r="D16" s="4">
        <v>0.2773840987729983</v>
      </c>
      <c r="E16" s="2">
        <v>0.82157050300000001</v>
      </c>
      <c r="F16" s="2">
        <v>13.62383281</v>
      </c>
      <c r="G16" s="5">
        <v>1.9E-3</v>
      </c>
      <c r="H16" s="6">
        <v>3.0329999999999999</v>
      </c>
      <c r="I16" t="s">
        <v>153</v>
      </c>
      <c r="J16" s="1">
        <v>15</v>
      </c>
      <c r="K16" s="1" t="s">
        <v>197</v>
      </c>
      <c r="L16" s="7" t="s">
        <v>143</v>
      </c>
    </row>
    <row r="17" spans="1:13" ht="14.25" customHeight="1" x14ac:dyDescent="0.25">
      <c r="A17" t="s">
        <v>47</v>
      </c>
      <c r="C17">
        <v>1243</v>
      </c>
      <c r="D17" s="4">
        <v>0.19838229848954941</v>
      </c>
      <c r="E17" s="2">
        <v>0.494312796</v>
      </c>
      <c r="F17" s="2">
        <v>9.7703669249999994</v>
      </c>
      <c r="G17" s="5">
        <v>8.9599999999999999E-2</v>
      </c>
      <c r="H17" s="6">
        <v>2.6</v>
      </c>
      <c r="I17" t="s">
        <v>153</v>
      </c>
      <c r="J17" s="1">
        <v>16</v>
      </c>
      <c r="K17" s="1" t="s">
        <v>197</v>
      </c>
      <c r="L17" s="7" t="s">
        <v>148</v>
      </c>
      <c r="M17" t="s">
        <v>149</v>
      </c>
    </row>
    <row r="18" spans="1:13" s="3" customFormat="1" x14ac:dyDescent="0.25">
      <c r="A18" s="3" t="s">
        <v>54</v>
      </c>
      <c r="C18" s="3">
        <v>1183</v>
      </c>
      <c r="D18" s="8">
        <v>0.18880632269761621</v>
      </c>
      <c r="E18" s="9">
        <v>0.379383886</v>
      </c>
      <c r="F18" s="9">
        <v>1.6695038980000001</v>
      </c>
      <c r="G18" s="10">
        <v>3.8999999999999998E-3</v>
      </c>
      <c r="H18" s="11">
        <v>2.4746999999999999</v>
      </c>
      <c r="I18" s="3" t="s">
        <v>178</v>
      </c>
      <c r="J18" s="12">
        <v>7</v>
      </c>
      <c r="K18" s="12" t="s">
        <v>197</v>
      </c>
      <c r="L18" s="13" t="s">
        <v>179</v>
      </c>
    </row>
    <row r="19" spans="1:13" x14ac:dyDescent="0.25">
      <c r="A19" t="s">
        <v>52</v>
      </c>
      <c r="C19">
        <v>911</v>
      </c>
      <c r="D19" s="4">
        <v>0.14539523244085237</v>
      </c>
      <c r="E19" s="2">
        <v>1.913536E-3</v>
      </c>
      <c r="F19" s="2">
        <v>13.97293837</v>
      </c>
      <c r="G19" s="5">
        <v>4.0399999999999998E-2</v>
      </c>
      <c r="H19" s="6">
        <v>2.1937000000000002</v>
      </c>
      <c r="I19" t="s">
        <v>167</v>
      </c>
      <c r="J19" s="1">
        <v>17</v>
      </c>
      <c r="K19" s="1" t="s">
        <v>197</v>
      </c>
      <c r="L19" s="7" t="s">
        <v>168</v>
      </c>
    </row>
    <row r="20" spans="1:13" x14ac:dyDescent="0.25">
      <c r="A20" t="s">
        <v>51</v>
      </c>
      <c r="C20">
        <v>468</v>
      </c>
      <c r="D20" s="4">
        <v>7.4692611177078941E-2</v>
      </c>
      <c r="E20" s="2">
        <v>0.35071089999999999</v>
      </c>
      <c r="F20" s="2">
        <v>3.319114103</v>
      </c>
      <c r="G20" s="5">
        <v>4.0399999999999998E-2</v>
      </c>
      <c r="H20" s="6">
        <v>2.1937000000000002</v>
      </c>
      <c r="I20" t="s">
        <v>167</v>
      </c>
      <c r="J20" s="1">
        <v>17</v>
      </c>
      <c r="K20" s="1" t="s">
        <v>197</v>
      </c>
      <c r="L20" s="7" t="s">
        <v>168</v>
      </c>
    </row>
    <row r="21" spans="1:13" x14ac:dyDescent="0.25">
      <c r="A21" t="s">
        <v>59</v>
      </c>
      <c r="C21">
        <v>397</v>
      </c>
      <c r="D21" s="4">
        <v>6.3361039823291318E-2</v>
      </c>
      <c r="E21" s="2">
        <v>1.7640449439999999</v>
      </c>
      <c r="F21" s="2">
        <v>64.138341139999994</v>
      </c>
      <c r="G21" s="5">
        <v>1.18E-2</v>
      </c>
      <c r="H21" s="6">
        <v>2.23</v>
      </c>
      <c r="I21" t="s">
        <v>154</v>
      </c>
      <c r="J21" s="1">
        <v>18</v>
      </c>
      <c r="K21" s="1" t="s">
        <v>197</v>
      </c>
      <c r="L21" s="7" t="s">
        <v>160</v>
      </c>
    </row>
    <row r="22" spans="1:13" x14ac:dyDescent="0.25">
      <c r="A22" t="s">
        <v>42</v>
      </c>
      <c r="C22">
        <v>273</v>
      </c>
      <c r="D22" s="4">
        <v>4.3570689853296048E-2</v>
      </c>
      <c r="E22" s="2">
        <v>1.41743E-4</v>
      </c>
      <c r="F22" s="2">
        <v>4.602820146</v>
      </c>
      <c r="G22" s="1">
        <v>2.8299999999999999E-2</v>
      </c>
      <c r="H22" s="6">
        <v>2.1930000000000001</v>
      </c>
      <c r="I22" t="s">
        <v>153</v>
      </c>
      <c r="J22" s="1">
        <v>19</v>
      </c>
      <c r="K22" s="1" t="s">
        <v>199</v>
      </c>
      <c r="L22" s="7" t="s">
        <v>169</v>
      </c>
      <c r="M22" t="s">
        <v>193</v>
      </c>
    </row>
    <row r="23" spans="1:13" x14ac:dyDescent="0.25">
      <c r="A23" t="s">
        <v>53</v>
      </c>
      <c r="C23">
        <v>192</v>
      </c>
      <c r="D23" s="4">
        <v>3.0643122534186232E-2</v>
      </c>
      <c r="E23" s="2">
        <v>1.397594759</v>
      </c>
      <c r="F23" s="2">
        <v>19.069970080000001</v>
      </c>
      <c r="G23" s="1">
        <f xml:space="preserve"> 0.0155</f>
        <v>1.55E-2</v>
      </c>
      <c r="H23" s="1">
        <v>2.6110000000000002</v>
      </c>
      <c r="I23" t="s">
        <v>153</v>
      </c>
      <c r="J23" s="1">
        <v>20</v>
      </c>
      <c r="K23" s="1" t="s">
        <v>197</v>
      </c>
      <c r="L23" s="7" t="s">
        <v>172</v>
      </c>
      <c r="M23" t="s">
        <v>195</v>
      </c>
    </row>
    <row r="24" spans="1:13" x14ac:dyDescent="0.25">
      <c r="A24" t="s">
        <v>40</v>
      </c>
      <c r="C24">
        <v>70</v>
      </c>
      <c r="D24" s="4">
        <v>1.1171971757255397E-2</v>
      </c>
      <c r="E24" s="2">
        <v>3.8506236710000001</v>
      </c>
      <c r="F24" s="2">
        <v>20.102245280000002</v>
      </c>
      <c r="G24" s="5">
        <v>3.1899999999999998E-2</v>
      </c>
      <c r="H24" s="6">
        <v>2.1756000000000002</v>
      </c>
      <c r="I24" t="s">
        <v>153</v>
      </c>
      <c r="J24" s="1">
        <v>21</v>
      </c>
      <c r="K24" s="1" t="s">
        <v>197</v>
      </c>
      <c r="L24" s="7" t="s">
        <v>174</v>
      </c>
      <c r="M24" t="s">
        <v>194</v>
      </c>
    </row>
    <row r="25" spans="1:13" x14ac:dyDescent="0.25">
      <c r="A25" t="s">
        <v>55</v>
      </c>
      <c r="C25">
        <v>52</v>
      </c>
      <c r="D25" s="4">
        <v>8.2991790196754386E-3</v>
      </c>
      <c r="E25" s="2">
        <v>1.142593905</v>
      </c>
      <c r="F25" s="2">
        <v>13.518732699999999</v>
      </c>
      <c r="G25" s="5">
        <v>0.1157</v>
      </c>
      <c r="H25" s="6">
        <v>2.9140000000000001</v>
      </c>
      <c r="I25" t="s">
        <v>153</v>
      </c>
      <c r="J25" s="1">
        <v>22</v>
      </c>
      <c r="K25" s="1" t="s">
        <v>200</v>
      </c>
      <c r="L25" s="7" t="s">
        <v>176</v>
      </c>
    </row>
    <row r="26" spans="1:13" x14ac:dyDescent="0.25">
      <c r="A26" t="s">
        <v>58</v>
      </c>
      <c r="C26">
        <v>41</v>
      </c>
      <c r="D26" s="4">
        <v>6.5435834578210185E-3</v>
      </c>
      <c r="E26" s="2">
        <v>1.0393785419999999</v>
      </c>
      <c r="F26" s="2">
        <v>7.4844696549999998</v>
      </c>
      <c r="G26" s="5">
        <f xml:space="preserve"> 0.0576</f>
        <v>5.7599999999999998E-2</v>
      </c>
      <c r="H26" s="6">
        <v>2.875</v>
      </c>
      <c r="I26" t="s">
        <v>153</v>
      </c>
      <c r="J26" s="1">
        <v>23</v>
      </c>
      <c r="K26" s="1" t="s">
        <v>200</v>
      </c>
      <c r="L26" s="7" t="s">
        <v>181</v>
      </c>
    </row>
    <row r="27" spans="1:13" x14ac:dyDescent="0.25">
      <c r="A27" t="s">
        <v>37</v>
      </c>
      <c r="C27">
        <v>36</v>
      </c>
      <c r="D27" s="4">
        <v>5.7455854751599185E-3</v>
      </c>
      <c r="E27" s="2">
        <v>0.82423812900000004</v>
      </c>
      <c r="F27" s="2">
        <v>1.199149539</v>
      </c>
      <c r="G27" s="5">
        <v>0.29210000000000003</v>
      </c>
      <c r="H27" s="6">
        <v>2.29</v>
      </c>
      <c r="I27" t="s">
        <v>142</v>
      </c>
      <c r="J27" s="1">
        <v>24</v>
      </c>
      <c r="K27" s="1" t="s">
        <v>200</v>
      </c>
      <c r="L27" s="7" t="s">
        <v>151</v>
      </c>
    </row>
    <row r="28" spans="1:13" x14ac:dyDescent="0.25">
      <c r="A28" t="s">
        <v>45</v>
      </c>
      <c r="C28">
        <v>34</v>
      </c>
      <c r="D28" s="4">
        <v>5.426386282095479E-3</v>
      </c>
      <c r="E28" s="2">
        <v>1.7010559890000001</v>
      </c>
      <c r="F28" s="2">
        <v>8.6671186920000007</v>
      </c>
      <c r="G28" s="5">
        <v>7.0000000000000007E-2</v>
      </c>
      <c r="H28" s="6">
        <v>2.1469999999999998</v>
      </c>
      <c r="I28" t="s">
        <v>142</v>
      </c>
      <c r="J28" s="1">
        <v>25</v>
      </c>
      <c r="K28" s="1" t="s">
        <v>15</v>
      </c>
      <c r="L28" s="7" t="s">
        <v>182</v>
      </c>
    </row>
    <row r="29" spans="1:13" x14ac:dyDescent="0.25">
      <c r="A29" t="s">
        <v>44</v>
      </c>
      <c r="C29">
        <v>24</v>
      </c>
      <c r="D29" s="4">
        <v>3.830390316773279E-3</v>
      </c>
      <c r="E29" s="2">
        <v>1.902282069</v>
      </c>
      <c r="F29" s="2">
        <v>4.5804394049999999</v>
      </c>
      <c r="G29" s="5">
        <v>1.9E-3</v>
      </c>
      <c r="H29" s="6">
        <v>3.0329999999999999</v>
      </c>
      <c r="I29" t="s">
        <v>153</v>
      </c>
      <c r="J29" s="1">
        <v>15</v>
      </c>
      <c r="K29" s="1" t="s">
        <v>15</v>
      </c>
      <c r="L29" s="7" t="s">
        <v>143</v>
      </c>
    </row>
    <row r="30" spans="1:13" x14ac:dyDescent="0.25">
      <c r="A30" t="s">
        <v>57</v>
      </c>
      <c r="C30">
        <v>19</v>
      </c>
      <c r="D30" s="4">
        <v>3.032392334112179E-3</v>
      </c>
      <c r="E30" s="2">
        <v>1.274557057</v>
      </c>
      <c r="F30" s="2">
        <v>3.6827603770000001</v>
      </c>
      <c r="G30" s="5">
        <v>0.19489999999999999</v>
      </c>
      <c r="H30" s="6">
        <v>2.5244</v>
      </c>
      <c r="I30" t="s">
        <v>188</v>
      </c>
      <c r="J30" s="1">
        <v>26</v>
      </c>
      <c r="K30" s="1" t="s">
        <v>15</v>
      </c>
      <c r="L30" s="7" t="s">
        <v>184</v>
      </c>
    </row>
    <row r="31" spans="1:13" x14ac:dyDescent="0.25">
      <c r="A31" t="s">
        <v>46</v>
      </c>
      <c r="C31">
        <v>14</v>
      </c>
      <c r="D31" s="4">
        <v>2.2343943514510794E-3</v>
      </c>
      <c r="E31" s="2">
        <v>3.0289571959999999</v>
      </c>
      <c r="F31" s="2">
        <v>14.37797568</v>
      </c>
      <c r="G31" s="5">
        <v>0.1157</v>
      </c>
      <c r="H31" s="6">
        <v>2.9140000000000001</v>
      </c>
      <c r="I31" t="s">
        <v>153</v>
      </c>
      <c r="J31" s="1">
        <v>22</v>
      </c>
      <c r="K31" s="1" t="s">
        <v>200</v>
      </c>
      <c r="L31" s="7" t="s">
        <v>176</v>
      </c>
    </row>
    <row r="32" spans="1:13" x14ac:dyDescent="0.25">
      <c r="A32" t="s">
        <v>50</v>
      </c>
      <c r="C32">
        <v>13</v>
      </c>
      <c r="D32" s="4">
        <v>2.0747947549188597E-3</v>
      </c>
      <c r="E32" s="2">
        <v>2.3620631649999999</v>
      </c>
      <c r="F32" s="2">
        <v>12.26006349</v>
      </c>
      <c r="G32" s="5">
        <v>0.1157</v>
      </c>
      <c r="H32" s="6">
        <v>2.9140000000000001</v>
      </c>
      <c r="I32" t="s">
        <v>153</v>
      </c>
      <c r="J32" s="1">
        <v>22</v>
      </c>
      <c r="K32" s="1" t="s">
        <v>200</v>
      </c>
      <c r="L32" s="7" t="s">
        <v>176</v>
      </c>
    </row>
    <row r="33" spans="1:12" x14ac:dyDescent="0.25">
      <c r="A33" t="s">
        <v>7</v>
      </c>
      <c r="C33">
        <v>12</v>
      </c>
      <c r="D33" s="4">
        <v>1.9151951583866395E-3</v>
      </c>
      <c r="E33" s="2">
        <v>1.4890148830000001</v>
      </c>
      <c r="F33" s="2">
        <v>1.4890148830000001</v>
      </c>
      <c r="G33" s="5">
        <v>2E-3</v>
      </c>
      <c r="H33" s="6">
        <v>3.0297999999999998</v>
      </c>
      <c r="I33" t="s">
        <v>190</v>
      </c>
      <c r="J33" s="1">
        <v>27</v>
      </c>
      <c r="K33" s="1" t="s">
        <v>15</v>
      </c>
      <c r="L33" s="7" t="s">
        <v>9</v>
      </c>
    </row>
    <row r="34" spans="1:12" s="3" customFormat="1" x14ac:dyDescent="0.25">
      <c r="A34" s="3" t="s">
        <v>56</v>
      </c>
      <c r="C34" s="3">
        <v>12</v>
      </c>
      <c r="D34" s="8">
        <v>1.9151951583866395E-3</v>
      </c>
      <c r="E34" s="9">
        <v>0.83029057399999995</v>
      </c>
      <c r="F34" s="9">
        <v>0.83029057399999995</v>
      </c>
      <c r="G34" s="10">
        <v>4.0399999999999998E-2</v>
      </c>
      <c r="H34" s="11">
        <v>2.1937000000000002</v>
      </c>
      <c r="I34" s="3" t="s">
        <v>178</v>
      </c>
      <c r="J34" s="12">
        <v>17</v>
      </c>
      <c r="K34" s="12" t="s">
        <v>15</v>
      </c>
      <c r="L34" s="13" t="s">
        <v>192</v>
      </c>
    </row>
    <row r="35" spans="1:12" x14ac:dyDescent="0.25">
      <c r="A35" t="s">
        <v>49</v>
      </c>
      <c r="C35">
        <v>9</v>
      </c>
      <c r="D35" s="4">
        <v>1.4363963687899796E-3</v>
      </c>
      <c r="E35" s="2">
        <v>1.2792968330000001</v>
      </c>
      <c r="F35" s="2">
        <v>6.7605616800000004</v>
      </c>
      <c r="G35" s="5">
        <v>0.26579999999999998</v>
      </c>
      <c r="H35" s="6">
        <v>2.5409999999999999</v>
      </c>
      <c r="I35" t="s">
        <v>153</v>
      </c>
      <c r="K35" s="1" t="s">
        <v>200</v>
      </c>
      <c r="L35" s="7" t="s">
        <v>177</v>
      </c>
    </row>
    <row r="36" spans="1:12" s="3" customFormat="1" x14ac:dyDescent="0.25">
      <c r="A36" s="3" t="s">
        <v>48</v>
      </c>
      <c r="C36" s="3">
        <v>2</v>
      </c>
      <c r="D36" s="8">
        <v>3.1919919306443991E-4</v>
      </c>
      <c r="E36" s="9">
        <v>12.91571364</v>
      </c>
      <c r="F36" s="9">
        <v>12.91571364</v>
      </c>
      <c r="G36" s="10">
        <v>1.18E-2</v>
      </c>
      <c r="H36" s="11">
        <v>2.23</v>
      </c>
      <c r="I36" s="3" t="s">
        <v>178</v>
      </c>
      <c r="J36" s="12">
        <v>18</v>
      </c>
      <c r="K36" s="12" t="s">
        <v>15</v>
      </c>
      <c r="L36" s="13" t="s">
        <v>183</v>
      </c>
    </row>
    <row r="37" spans="1:12" s="2" customFormat="1" x14ac:dyDescent="0.25"/>
    <row r="40" spans="1:12" ht="18.75" customHeight="1" x14ac:dyDescent="0.25">
      <c r="D40"/>
      <c r="E40"/>
      <c r="F40"/>
    </row>
    <row r="41" spans="1:12" x14ac:dyDescent="0.25">
      <c r="D41"/>
      <c r="E41"/>
      <c r="F41"/>
    </row>
    <row r="42" spans="1:12" x14ac:dyDescent="0.25">
      <c r="D42"/>
      <c r="E42"/>
      <c r="F42"/>
    </row>
    <row r="43" spans="1:12" x14ac:dyDescent="0.25">
      <c r="D43"/>
      <c r="E43"/>
      <c r="F43"/>
    </row>
    <row r="44" spans="1:12" x14ac:dyDescent="0.25">
      <c r="D44"/>
      <c r="E44"/>
      <c r="F44"/>
    </row>
    <row r="45" spans="1:12" x14ac:dyDescent="0.25">
      <c r="D45"/>
      <c r="E45"/>
      <c r="F45"/>
    </row>
    <row r="46" spans="1:12" x14ac:dyDescent="0.25">
      <c r="D46"/>
      <c r="E46"/>
      <c r="F46"/>
    </row>
  </sheetData>
  <sortState ref="A1:F39">
    <sortCondition descending="1" ref="C1:C39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5C8C6-E517-4276-85AC-363C518DD39C}">
  <dimension ref="A1:H18"/>
  <sheetViews>
    <sheetView workbookViewId="0">
      <selection activeCell="G24" sqref="G24"/>
    </sheetView>
  </sheetViews>
  <sheetFormatPr defaultRowHeight="15" x14ac:dyDescent="0.25"/>
  <sheetData>
    <row r="1" spans="1:8" x14ac:dyDescent="0.25">
      <c r="A1" t="s">
        <v>173</v>
      </c>
      <c r="B1" t="s">
        <v>171</v>
      </c>
      <c r="C1" t="s">
        <v>33</v>
      </c>
      <c r="D1" t="s">
        <v>34</v>
      </c>
      <c r="E1" t="s">
        <v>35</v>
      </c>
      <c r="F1" t="s">
        <v>36</v>
      </c>
      <c r="G1" t="s">
        <v>18</v>
      </c>
      <c r="H1" t="s">
        <v>68</v>
      </c>
    </row>
    <row r="2" spans="1:8" x14ac:dyDescent="0.25">
      <c r="A2">
        <v>0.6</v>
      </c>
      <c r="B2">
        <f>A2*7.5</f>
        <v>4.5</v>
      </c>
      <c r="C2">
        <f>-1.712+2.611*LOG10(A2)</f>
        <v>-2.2912470852483064</v>
      </c>
      <c r="D2">
        <f>10^C2</f>
        <v>5.1139080472933536E-3</v>
      </c>
      <c r="E2">
        <f>D2*1000</f>
        <v>5.1139080472933536</v>
      </c>
      <c r="F2">
        <f>E2*0.154</f>
        <v>0.78754183928317645</v>
      </c>
      <c r="G2" t="s">
        <v>172</v>
      </c>
      <c r="H2" t="s">
        <v>142</v>
      </c>
    </row>
    <row r="3" spans="1:8" x14ac:dyDescent="0.25">
      <c r="A3">
        <v>0.7</v>
      </c>
      <c r="B3">
        <f t="shared" ref="B3:B18" si="0">A3*7.5</f>
        <v>5.25</v>
      </c>
      <c r="C3">
        <f t="shared" ref="C3:C18" si="1">-1.712+2.611*LOG10(A3)</f>
        <v>-2.1164490175227755</v>
      </c>
      <c r="D3">
        <f t="shared" ref="D3:D18" si="2">10^C3</f>
        <v>7.648054648238917E-3</v>
      </c>
      <c r="E3">
        <f t="shared" ref="E3:E18" si="3">D3*1000</f>
        <v>7.6480546482389169</v>
      </c>
      <c r="F3">
        <f t="shared" ref="F3:F18" si="4">E3*0.154</f>
        <v>1.1778004158287931</v>
      </c>
      <c r="G3" t="s">
        <v>172</v>
      </c>
      <c r="H3" t="s">
        <v>142</v>
      </c>
    </row>
    <row r="4" spans="1:8" x14ac:dyDescent="0.25">
      <c r="A4">
        <v>0.8</v>
      </c>
      <c r="B4">
        <f t="shared" si="0"/>
        <v>6</v>
      </c>
      <c r="C4">
        <f t="shared" si="1"/>
        <v>-1.9650320439640352</v>
      </c>
      <c r="D4">
        <f t="shared" si="2"/>
        <v>1.0838469405581547E-2</v>
      </c>
      <c r="E4">
        <f t="shared" si="3"/>
        <v>10.838469405581547</v>
      </c>
      <c r="F4">
        <f t="shared" si="4"/>
        <v>1.6691242884595583</v>
      </c>
      <c r="G4" t="s">
        <v>172</v>
      </c>
      <c r="H4" t="s">
        <v>142</v>
      </c>
    </row>
    <row r="5" spans="1:8" x14ac:dyDescent="0.25">
      <c r="A5">
        <v>0.9</v>
      </c>
      <c r="B5">
        <f t="shared" si="0"/>
        <v>6.75</v>
      </c>
      <c r="C5">
        <f t="shared" si="1"/>
        <v>-1.8314728078539226</v>
      </c>
      <c r="D5">
        <f t="shared" si="2"/>
        <v>1.474100834825233E-2</v>
      </c>
      <c r="E5">
        <f t="shared" si="3"/>
        <v>14.741008348252329</v>
      </c>
      <c r="F5">
        <f t="shared" si="4"/>
        <v>2.2701152856308586</v>
      </c>
      <c r="G5" t="s">
        <v>172</v>
      </c>
      <c r="H5" t="s">
        <v>142</v>
      </c>
    </row>
    <row r="6" spans="1:8" x14ac:dyDescent="0.25">
      <c r="A6">
        <v>1</v>
      </c>
      <c r="B6">
        <f t="shared" si="0"/>
        <v>7.5</v>
      </c>
      <c r="C6">
        <f t="shared" si="1"/>
        <v>-1.712</v>
      </c>
      <c r="D6">
        <f t="shared" si="2"/>
        <v>1.9408858775927778E-2</v>
      </c>
      <c r="E6">
        <f t="shared" si="3"/>
        <v>19.408858775927779</v>
      </c>
      <c r="F6">
        <f t="shared" si="4"/>
        <v>2.9889642514928778</v>
      </c>
      <c r="G6" t="s">
        <v>172</v>
      </c>
      <c r="H6" t="s">
        <v>142</v>
      </c>
    </row>
    <row r="7" spans="1:8" x14ac:dyDescent="0.25">
      <c r="A7">
        <v>1.1000000000000001</v>
      </c>
      <c r="B7">
        <f t="shared" si="0"/>
        <v>8.25</v>
      </c>
      <c r="C7">
        <f t="shared" si="1"/>
        <v>-1.6039236990518744</v>
      </c>
      <c r="D7">
        <f t="shared" si="2"/>
        <v>2.4892946226091252E-2</v>
      </c>
      <c r="E7">
        <f t="shared" si="3"/>
        <v>24.892946226091251</v>
      </c>
      <c r="F7">
        <f t="shared" si="4"/>
        <v>3.8335137188180526</v>
      </c>
      <c r="G7" t="s">
        <v>172</v>
      </c>
      <c r="H7" t="s">
        <v>142</v>
      </c>
    </row>
    <row r="8" spans="1:8" x14ac:dyDescent="0.25">
      <c r="A8">
        <v>1.2</v>
      </c>
      <c r="B8">
        <f t="shared" si="0"/>
        <v>9</v>
      </c>
      <c r="C8">
        <f t="shared" si="1"/>
        <v>-1.5052577665696516</v>
      </c>
      <c r="D8">
        <f t="shared" si="2"/>
        <v>3.124224497437272E-2</v>
      </c>
      <c r="E8">
        <f t="shared" si="3"/>
        <v>31.242244974372721</v>
      </c>
      <c r="F8">
        <f t="shared" si="4"/>
        <v>4.8113057260533987</v>
      </c>
      <c r="G8" t="s">
        <v>172</v>
      </c>
      <c r="H8" t="s">
        <v>142</v>
      </c>
    </row>
    <row r="9" spans="1:8" x14ac:dyDescent="0.25">
      <c r="A9">
        <v>1.3</v>
      </c>
      <c r="B9">
        <f t="shared" si="0"/>
        <v>9.75</v>
      </c>
      <c r="C9">
        <f t="shared" si="1"/>
        <v>-1.414493907126849</v>
      </c>
      <c r="D9">
        <f t="shared" si="2"/>
        <v>3.8504021650810752E-2</v>
      </c>
      <c r="E9">
        <f t="shared" si="3"/>
        <v>38.504021650810749</v>
      </c>
      <c r="F9">
        <f t="shared" si="4"/>
        <v>5.9296193342248555</v>
      </c>
      <c r="G9" t="s">
        <v>172</v>
      </c>
      <c r="H9" t="s">
        <v>142</v>
      </c>
    </row>
    <row r="10" spans="1:8" x14ac:dyDescent="0.25">
      <c r="A10">
        <v>1.4</v>
      </c>
      <c r="B10">
        <f t="shared" si="0"/>
        <v>10.5</v>
      </c>
      <c r="C10">
        <f t="shared" si="1"/>
        <v>-1.3304596988441204</v>
      </c>
      <c r="D10">
        <f t="shared" si="2"/>
        <v>4.6724030758459892E-2</v>
      </c>
      <c r="E10">
        <f t="shared" si="3"/>
        <v>46.72403075845989</v>
      </c>
      <c r="F10">
        <f t="shared" si="4"/>
        <v>7.1955007368028232</v>
      </c>
      <c r="G10" t="s">
        <v>172</v>
      </c>
      <c r="H10" t="s">
        <v>142</v>
      </c>
    </row>
    <row r="11" spans="1:8" x14ac:dyDescent="0.25">
      <c r="A11">
        <v>1.5</v>
      </c>
      <c r="B11">
        <f t="shared" si="0"/>
        <v>11.25</v>
      </c>
      <c r="C11">
        <f t="shared" si="1"/>
        <v>-1.2522257226056162</v>
      </c>
      <c r="D11">
        <f t="shared" si="2"/>
        <v>5.5946674558888423E-2</v>
      </c>
      <c r="E11">
        <f t="shared" si="3"/>
        <v>55.946674558888425</v>
      </c>
      <c r="F11">
        <f t="shared" si="4"/>
        <v>8.6157878820688172</v>
      </c>
      <c r="G11" t="s">
        <v>172</v>
      </c>
      <c r="H11" t="s">
        <v>142</v>
      </c>
    </row>
    <row r="12" spans="1:8" x14ac:dyDescent="0.25">
      <c r="A12">
        <v>1.6</v>
      </c>
      <c r="B12">
        <f t="shared" si="0"/>
        <v>12</v>
      </c>
      <c r="C12">
        <f t="shared" si="1"/>
        <v>-1.1790427252853803</v>
      </c>
      <c r="D12">
        <f t="shared" si="2"/>
        <v>6.6215135897025643E-2</v>
      </c>
      <c r="E12">
        <f t="shared" si="3"/>
        <v>66.215135897025647</v>
      </c>
      <c r="F12">
        <f t="shared" si="4"/>
        <v>10.197130928141949</v>
      </c>
      <c r="G12" t="s">
        <v>172</v>
      </c>
      <c r="H12" t="s">
        <v>142</v>
      </c>
    </row>
    <row r="13" spans="1:8" x14ac:dyDescent="0.25">
      <c r="A13">
        <v>1.7</v>
      </c>
      <c r="B13">
        <f t="shared" si="0"/>
        <v>12.75</v>
      </c>
      <c r="C13">
        <f t="shared" si="1"/>
        <v>-1.1102978662813268</v>
      </c>
      <c r="D13">
        <f t="shared" si="2"/>
        <v>7.7571490040684657E-2</v>
      </c>
      <c r="E13">
        <f t="shared" si="3"/>
        <v>77.571490040684651</v>
      </c>
      <c r="F13">
        <f t="shared" si="4"/>
        <v>11.946009466265435</v>
      </c>
      <c r="G13" t="s">
        <v>172</v>
      </c>
      <c r="H13" t="s">
        <v>142</v>
      </c>
    </row>
    <row r="14" spans="1:8" x14ac:dyDescent="0.25">
      <c r="A14">
        <v>1.8</v>
      </c>
      <c r="B14">
        <f t="shared" si="0"/>
        <v>13.5</v>
      </c>
      <c r="C14">
        <f t="shared" si="1"/>
        <v>-1.0454834891752678</v>
      </c>
      <c r="D14">
        <f t="shared" si="2"/>
        <v>9.0056799951482219E-2</v>
      </c>
      <c r="E14">
        <f t="shared" si="3"/>
        <v>90.056799951482219</v>
      </c>
      <c r="F14">
        <f t="shared" si="4"/>
        <v>13.868747192528261</v>
      </c>
      <c r="G14" t="s">
        <v>172</v>
      </c>
      <c r="H14" t="s">
        <v>142</v>
      </c>
    </row>
    <row r="15" spans="1:8" x14ac:dyDescent="0.25">
      <c r="A15">
        <v>1.9</v>
      </c>
      <c r="B15">
        <f t="shared" si="0"/>
        <v>14.25</v>
      </c>
      <c r="C15">
        <f t="shared" si="1"/>
        <v>-0.98417434791216363</v>
      </c>
      <c r="D15">
        <f t="shared" si="2"/>
        <v>0.10371119826923514</v>
      </c>
      <c r="E15">
        <f t="shared" si="3"/>
        <v>103.71119826923514</v>
      </c>
      <c r="F15">
        <f t="shared" si="4"/>
        <v>15.971524533462212</v>
      </c>
      <c r="G15" t="s">
        <v>172</v>
      </c>
      <c r="H15" t="s">
        <v>142</v>
      </c>
    </row>
    <row r="16" spans="1:8" x14ac:dyDescent="0.25">
      <c r="A16">
        <v>2</v>
      </c>
      <c r="B16">
        <f t="shared" si="0"/>
        <v>15</v>
      </c>
      <c r="C16">
        <f t="shared" si="1"/>
        <v>-0.92601068132134501</v>
      </c>
      <c r="D16">
        <f t="shared" si="2"/>
        <v>0.11857395849569044</v>
      </c>
      <c r="E16">
        <f t="shared" si="3"/>
        <v>118.57395849569043</v>
      </c>
      <c r="F16">
        <f t="shared" si="4"/>
        <v>18.260389608336325</v>
      </c>
      <c r="G16" t="s">
        <v>172</v>
      </c>
      <c r="H16" t="s">
        <v>142</v>
      </c>
    </row>
    <row r="17" spans="1:8" x14ac:dyDescent="0.25">
      <c r="A17">
        <v>3</v>
      </c>
      <c r="B17">
        <f t="shared" si="0"/>
        <v>22.5</v>
      </c>
      <c r="C17">
        <f t="shared" si="1"/>
        <v>-0.46623640392696131</v>
      </c>
      <c r="D17">
        <f t="shared" si="2"/>
        <v>0.34179334002601219</v>
      </c>
      <c r="E17">
        <f t="shared" si="3"/>
        <v>341.79334002601217</v>
      </c>
      <c r="F17">
        <f t="shared" si="4"/>
        <v>52.636174364005875</v>
      </c>
      <c r="G17" t="s">
        <v>172</v>
      </c>
      <c r="H17" t="s">
        <v>142</v>
      </c>
    </row>
    <row r="18" spans="1:8" x14ac:dyDescent="0.25">
      <c r="A18">
        <v>4</v>
      </c>
      <c r="B18">
        <f t="shared" si="0"/>
        <v>30</v>
      </c>
      <c r="C18">
        <f t="shared" si="1"/>
        <v>-0.14002136264269005</v>
      </c>
      <c r="D18">
        <f t="shared" si="2"/>
        <v>0.72440032645173558</v>
      </c>
      <c r="E18">
        <f t="shared" si="3"/>
        <v>724.40032645173562</v>
      </c>
      <c r="F18">
        <f t="shared" si="4"/>
        <v>111.55765027356729</v>
      </c>
      <c r="G18" t="s">
        <v>172</v>
      </c>
      <c r="H18" t="s">
        <v>142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39AA6-4B8F-4785-A60A-C79D7566488C}">
  <dimension ref="A1:H29"/>
  <sheetViews>
    <sheetView workbookViewId="0">
      <selection activeCell="A2" sqref="A2:A29"/>
    </sheetView>
  </sheetViews>
  <sheetFormatPr defaultRowHeight="15" x14ac:dyDescent="0.25"/>
  <sheetData>
    <row r="1" spans="1:8" x14ac:dyDescent="0.25">
      <c r="A1" t="s">
        <v>170</v>
      </c>
      <c r="B1" t="s">
        <v>171</v>
      </c>
      <c r="C1" t="s">
        <v>33</v>
      </c>
      <c r="D1" t="s">
        <v>34</v>
      </c>
      <c r="E1" t="s">
        <v>35</v>
      </c>
      <c r="F1" t="s">
        <v>36</v>
      </c>
      <c r="G1" t="s">
        <v>18</v>
      </c>
      <c r="H1" t="s">
        <v>68</v>
      </c>
    </row>
    <row r="2" spans="1:8" x14ac:dyDescent="0.25">
      <c r="A2">
        <v>0.6</v>
      </c>
      <c r="B2">
        <f>A2*1.61764705882353</f>
        <v>0.97058823529411797</v>
      </c>
      <c r="C2">
        <f>-3.139+2.193*LOG10(A2)</f>
        <v>-3.6255143079086691</v>
      </c>
      <c r="D2">
        <f>10^C2</f>
        <v>2.3685670976359447E-4</v>
      </c>
      <c r="E2">
        <f>D2*1000</f>
        <v>0.23685670976359446</v>
      </c>
      <c r="F2">
        <f>E2*0.112</f>
        <v>2.6527951493522581E-2</v>
      </c>
      <c r="G2" t="s">
        <v>169</v>
      </c>
      <c r="H2" t="s">
        <v>142</v>
      </c>
    </row>
    <row r="3" spans="1:8" x14ac:dyDescent="0.25">
      <c r="A3">
        <v>0.7</v>
      </c>
      <c r="B3">
        <f t="shared" ref="B3:B29" si="0">A3*1.61764705882353</f>
        <v>1.132352941176471</v>
      </c>
      <c r="C3">
        <f t="shared" ref="C3:C29" si="1">-3.139+2.193*LOG10(A3)</f>
        <v>-3.4786999982487345</v>
      </c>
      <c r="D3">
        <f t="shared" ref="D3:D29" si="2">10^C3</f>
        <v>3.3212380266441419E-4</v>
      </c>
      <c r="E3">
        <f t="shared" ref="E3:E29" si="3">D3*1000</f>
        <v>0.33212380266441421</v>
      </c>
      <c r="F3">
        <f t="shared" ref="F3:F29" si="4">E3*0.112</f>
        <v>3.7197865898414395E-2</v>
      </c>
      <c r="G3" t="s">
        <v>169</v>
      </c>
      <c r="H3" t="s">
        <v>142</v>
      </c>
    </row>
    <row r="4" spans="1:8" x14ac:dyDescent="0.25">
      <c r="A4">
        <v>0.8</v>
      </c>
      <c r="B4">
        <f t="shared" si="0"/>
        <v>1.2941176470588243</v>
      </c>
      <c r="C4">
        <f t="shared" si="1"/>
        <v>-3.3515236585266677</v>
      </c>
      <c r="D4">
        <f t="shared" si="2"/>
        <v>4.4511921404733525E-4</v>
      </c>
      <c r="E4">
        <f t="shared" si="3"/>
        <v>0.44511921404733523</v>
      </c>
      <c r="F4">
        <f t="shared" si="4"/>
        <v>4.9853351973301548E-2</v>
      </c>
      <c r="G4" t="s">
        <v>169</v>
      </c>
      <c r="H4" t="s">
        <v>142</v>
      </c>
    </row>
    <row r="5" spans="1:8" x14ac:dyDescent="0.25">
      <c r="A5">
        <v>0.9</v>
      </c>
      <c r="B5">
        <f t="shared" si="0"/>
        <v>1.4558823529411771</v>
      </c>
      <c r="C5">
        <f t="shared" si="1"/>
        <v>-3.2393461767995602</v>
      </c>
      <c r="D5">
        <f t="shared" si="2"/>
        <v>5.7630690513872196E-4</v>
      </c>
      <c r="E5">
        <f t="shared" si="3"/>
        <v>0.57630690513872196</v>
      </c>
      <c r="F5">
        <f t="shared" si="4"/>
        <v>6.4546373375536856E-2</v>
      </c>
      <c r="G5" t="s">
        <v>169</v>
      </c>
      <c r="H5" t="s">
        <v>142</v>
      </c>
    </row>
    <row r="6" spans="1:8" x14ac:dyDescent="0.25">
      <c r="A6">
        <v>1</v>
      </c>
      <c r="B6">
        <f t="shared" si="0"/>
        <v>1.6176470588235301</v>
      </c>
      <c r="C6">
        <f t="shared" si="1"/>
        <v>-3.1389999999999998</v>
      </c>
      <c r="D6">
        <f t="shared" si="2"/>
        <v>7.2610595743515438E-4</v>
      </c>
      <c r="E6">
        <f t="shared" si="3"/>
        <v>0.72610595743515438</v>
      </c>
      <c r="F6">
        <f t="shared" si="4"/>
        <v>8.1323867232737296E-2</v>
      </c>
      <c r="G6" t="s">
        <v>169</v>
      </c>
      <c r="H6" t="s">
        <v>142</v>
      </c>
    </row>
    <row r="7" spans="1:8" x14ac:dyDescent="0.25">
      <c r="A7">
        <v>1.1000000000000001</v>
      </c>
      <c r="B7">
        <f t="shared" si="0"/>
        <v>1.7794117647058834</v>
      </c>
      <c r="C7">
        <f t="shared" si="1"/>
        <v>-3.0482258414480121</v>
      </c>
      <c r="D7">
        <f t="shared" si="2"/>
        <v>8.9489927976511537E-4</v>
      </c>
      <c r="E7">
        <f t="shared" si="3"/>
        <v>0.89489927976511541</v>
      </c>
      <c r="F7">
        <f t="shared" si="4"/>
        <v>0.10022871933369293</v>
      </c>
      <c r="G7" t="s">
        <v>169</v>
      </c>
      <c r="H7" t="s">
        <v>142</v>
      </c>
    </row>
    <row r="8" spans="1:8" x14ac:dyDescent="0.25">
      <c r="A8">
        <v>1.2</v>
      </c>
      <c r="B8">
        <f t="shared" si="0"/>
        <v>1.9411764705882359</v>
      </c>
      <c r="C8">
        <f t="shared" si="1"/>
        <v>-2.9653555274175587</v>
      </c>
      <c r="D8">
        <f t="shared" si="2"/>
        <v>1.0830399397232034E-3</v>
      </c>
      <c r="E8">
        <f t="shared" si="3"/>
        <v>1.0830399397232033</v>
      </c>
      <c r="F8">
        <f t="shared" si="4"/>
        <v>0.12130047324899877</v>
      </c>
      <c r="G8" t="s">
        <v>169</v>
      </c>
      <c r="H8" t="s">
        <v>142</v>
      </c>
    </row>
    <row r="9" spans="1:8" x14ac:dyDescent="0.25">
      <c r="A9">
        <v>1.3</v>
      </c>
      <c r="B9">
        <f t="shared" si="0"/>
        <v>2.1029411764705892</v>
      </c>
      <c r="C9">
        <f t="shared" si="1"/>
        <v>-2.8891222283911069</v>
      </c>
      <c r="D9">
        <f t="shared" si="2"/>
        <v>1.2908559223530544E-3</v>
      </c>
      <c r="E9">
        <f t="shared" si="3"/>
        <v>1.2908559223530545</v>
      </c>
      <c r="F9">
        <f t="shared" si="4"/>
        <v>0.14457586330354211</v>
      </c>
      <c r="G9" t="s">
        <v>169</v>
      </c>
      <c r="H9" t="s">
        <v>142</v>
      </c>
    </row>
    <row r="10" spans="1:8" x14ac:dyDescent="0.25">
      <c r="A10">
        <v>1.4</v>
      </c>
      <c r="B10">
        <f t="shared" si="0"/>
        <v>2.264705882352942</v>
      </c>
      <c r="C10">
        <f t="shared" si="1"/>
        <v>-2.8185412177576237</v>
      </c>
      <c r="D10">
        <f t="shared" si="2"/>
        <v>1.5186538037167143E-3</v>
      </c>
      <c r="E10">
        <f t="shared" si="3"/>
        <v>1.5186538037167143</v>
      </c>
      <c r="F10">
        <f t="shared" si="4"/>
        <v>0.17008922601627202</v>
      </c>
      <c r="G10" t="s">
        <v>169</v>
      </c>
      <c r="H10" t="s">
        <v>142</v>
      </c>
    </row>
    <row r="11" spans="1:8" x14ac:dyDescent="0.25">
      <c r="A11">
        <v>1.5</v>
      </c>
      <c r="B11">
        <f t="shared" si="0"/>
        <v>2.4264705882352953</v>
      </c>
      <c r="C11">
        <f t="shared" si="1"/>
        <v>-2.7528318688908908</v>
      </c>
      <c r="D11">
        <f t="shared" si="2"/>
        <v>1.7667216501905509E-3</v>
      </c>
      <c r="E11">
        <f t="shared" si="3"/>
        <v>1.7667216501905509</v>
      </c>
      <c r="F11">
        <f t="shared" si="4"/>
        <v>0.19787282482134172</v>
      </c>
      <c r="G11" t="s">
        <v>169</v>
      </c>
      <c r="H11" t="s">
        <v>142</v>
      </c>
    </row>
    <row r="12" spans="1:8" x14ac:dyDescent="0.25">
      <c r="A12">
        <v>1.6</v>
      </c>
      <c r="B12">
        <f t="shared" si="0"/>
        <v>2.5882352941176485</v>
      </c>
      <c r="C12">
        <f t="shared" si="1"/>
        <v>-2.6913648780355568</v>
      </c>
      <c r="D12">
        <f t="shared" si="2"/>
        <v>2.0353313496274993E-3</v>
      </c>
      <c r="E12">
        <f t="shared" si="3"/>
        <v>2.0353313496274992</v>
      </c>
      <c r="F12">
        <f t="shared" si="4"/>
        <v>0.22795711115827991</v>
      </c>
      <c r="G12" t="s">
        <v>169</v>
      </c>
      <c r="H12" t="s">
        <v>142</v>
      </c>
    </row>
    <row r="13" spans="1:8" x14ac:dyDescent="0.25">
      <c r="A13">
        <v>1.7</v>
      </c>
      <c r="B13">
        <f t="shared" si="0"/>
        <v>2.7500000000000009</v>
      </c>
      <c r="C13">
        <f t="shared" si="1"/>
        <v>-2.6336255154174451</v>
      </c>
      <c r="D13">
        <f t="shared" si="2"/>
        <v>2.3247405156832965E-3</v>
      </c>
      <c r="E13">
        <f t="shared" si="3"/>
        <v>2.3247405156832963</v>
      </c>
      <c r="F13">
        <f t="shared" si="4"/>
        <v>0.2603709377565292</v>
      </c>
      <c r="G13" t="s">
        <v>169</v>
      </c>
      <c r="H13" t="s">
        <v>142</v>
      </c>
    </row>
    <row r="14" spans="1:8" x14ac:dyDescent="0.25">
      <c r="A14">
        <v>1.8</v>
      </c>
      <c r="B14">
        <f t="shared" si="0"/>
        <v>2.9117647058823541</v>
      </c>
      <c r="C14">
        <f t="shared" si="1"/>
        <v>-2.5791873963084497</v>
      </c>
      <c r="D14">
        <f t="shared" si="2"/>
        <v>2.6351940649115709E-3</v>
      </c>
      <c r="E14">
        <f t="shared" si="3"/>
        <v>2.635194064911571</v>
      </c>
      <c r="F14">
        <f t="shared" si="4"/>
        <v>0.29514173527009596</v>
      </c>
      <c r="G14" t="s">
        <v>169</v>
      </c>
      <c r="H14" t="s">
        <v>142</v>
      </c>
    </row>
    <row r="15" spans="1:8" x14ac:dyDescent="0.25">
      <c r="A15">
        <v>1.9</v>
      </c>
      <c r="B15">
        <f t="shared" si="0"/>
        <v>3.073529411764707</v>
      </c>
      <c r="C15">
        <f t="shared" si="1"/>
        <v>-2.527693353110446</v>
      </c>
      <c r="D15">
        <f t="shared" si="2"/>
        <v>2.9669255385543327E-3</v>
      </c>
      <c r="E15">
        <f t="shared" si="3"/>
        <v>2.9669255385543325</v>
      </c>
      <c r="F15">
        <f t="shared" si="4"/>
        <v>0.33229566031808527</v>
      </c>
      <c r="G15" t="s">
        <v>169</v>
      </c>
      <c r="H15" t="s">
        <v>142</v>
      </c>
    </row>
    <row r="16" spans="1:8" x14ac:dyDescent="0.25">
      <c r="A16">
        <v>2</v>
      </c>
      <c r="B16">
        <f t="shared" si="0"/>
        <v>3.2352941176470602</v>
      </c>
      <c r="C16">
        <f t="shared" si="1"/>
        <v>-2.4788412195088889</v>
      </c>
      <c r="D16">
        <f t="shared" si="2"/>
        <v>3.3201582220665523E-3</v>
      </c>
      <c r="E16">
        <f t="shared" si="3"/>
        <v>3.3201582220665524</v>
      </c>
      <c r="F16">
        <f t="shared" si="4"/>
        <v>0.37185772087145386</v>
      </c>
      <c r="G16" t="s">
        <v>169</v>
      </c>
      <c r="H16" t="s">
        <v>142</v>
      </c>
    </row>
    <row r="17" spans="1:8" x14ac:dyDescent="0.25">
      <c r="A17">
        <v>3</v>
      </c>
      <c r="B17">
        <f t="shared" si="0"/>
        <v>4.8529411764705905</v>
      </c>
      <c r="C17">
        <f t="shared" si="1"/>
        <v>-2.0926730883997799</v>
      </c>
      <c r="D17">
        <f t="shared" si="2"/>
        <v>8.0784289853550618E-3</v>
      </c>
      <c r="E17">
        <f t="shared" si="3"/>
        <v>8.0784289853550622</v>
      </c>
      <c r="F17">
        <f t="shared" si="4"/>
        <v>0.90478404635976695</v>
      </c>
      <c r="G17" t="s">
        <v>169</v>
      </c>
      <c r="H17" t="s">
        <v>142</v>
      </c>
    </row>
    <row r="18" spans="1:8" x14ac:dyDescent="0.25">
      <c r="A18">
        <v>4</v>
      </c>
      <c r="B18">
        <f t="shared" si="0"/>
        <v>6.4705882352941204</v>
      </c>
      <c r="C18">
        <f t="shared" si="1"/>
        <v>-1.8186824390177783</v>
      </c>
      <c r="D18">
        <f t="shared" si="2"/>
        <v>1.5181600573137536E-2</v>
      </c>
      <c r="E18">
        <f t="shared" si="3"/>
        <v>15.181600573137535</v>
      </c>
      <c r="F18">
        <f t="shared" si="4"/>
        <v>1.7003392641914039</v>
      </c>
      <c r="G18" t="s">
        <v>169</v>
      </c>
      <c r="H18" t="s">
        <v>142</v>
      </c>
    </row>
    <row r="19" spans="1:8" x14ac:dyDescent="0.25">
      <c r="A19">
        <v>5</v>
      </c>
      <c r="B19">
        <f t="shared" si="0"/>
        <v>8.0882352941176503</v>
      </c>
      <c r="C19">
        <f t="shared" si="1"/>
        <v>-1.6061587804911104</v>
      </c>
      <c r="D19">
        <f t="shared" si="2"/>
        <v>2.4765164638307108E-2</v>
      </c>
      <c r="E19">
        <f t="shared" si="3"/>
        <v>24.765164638307109</v>
      </c>
      <c r="F19">
        <f t="shared" si="4"/>
        <v>2.7736984394903961</v>
      </c>
      <c r="G19" t="s">
        <v>169</v>
      </c>
      <c r="H19" t="s">
        <v>142</v>
      </c>
    </row>
    <row r="20" spans="1:8" x14ac:dyDescent="0.25">
      <c r="A20">
        <v>6</v>
      </c>
      <c r="B20">
        <f t="shared" si="0"/>
        <v>9.7058823529411811</v>
      </c>
      <c r="C20">
        <f t="shared" si="1"/>
        <v>-1.4325143079086693</v>
      </c>
      <c r="D20">
        <f t="shared" si="2"/>
        <v>3.6939047452317159E-2</v>
      </c>
      <c r="E20">
        <f t="shared" si="3"/>
        <v>36.939047452317162</v>
      </c>
      <c r="F20">
        <f t="shared" si="4"/>
        <v>4.1371733146595222</v>
      </c>
      <c r="G20" t="s">
        <v>169</v>
      </c>
      <c r="H20" t="s">
        <v>142</v>
      </c>
    </row>
    <row r="21" spans="1:8" x14ac:dyDescent="0.25">
      <c r="A21">
        <v>7</v>
      </c>
      <c r="B21">
        <f t="shared" si="0"/>
        <v>11.32352941176471</v>
      </c>
      <c r="C21">
        <f t="shared" si="1"/>
        <v>-1.2856999982487345</v>
      </c>
      <c r="D21">
        <f t="shared" si="2"/>
        <v>5.1796450769369277E-2</v>
      </c>
      <c r="E21">
        <f t="shared" si="3"/>
        <v>51.796450769369279</v>
      </c>
      <c r="F21">
        <f t="shared" si="4"/>
        <v>5.8012024861693599</v>
      </c>
      <c r="G21" t="s">
        <v>169</v>
      </c>
      <c r="H21" t="s">
        <v>142</v>
      </c>
    </row>
    <row r="22" spans="1:8" x14ac:dyDescent="0.25">
      <c r="A22">
        <v>8</v>
      </c>
      <c r="B22">
        <f t="shared" si="0"/>
        <v>12.941176470588241</v>
      </c>
      <c r="C22">
        <f t="shared" si="1"/>
        <v>-1.1585236585266676</v>
      </c>
      <c r="D22">
        <f t="shared" si="2"/>
        <v>6.9418678432388845E-2</v>
      </c>
      <c r="E22">
        <f t="shared" si="3"/>
        <v>69.418678432388845</v>
      </c>
      <c r="F22">
        <f t="shared" si="4"/>
        <v>7.7748919844275504</v>
      </c>
      <c r="G22" t="s">
        <v>169</v>
      </c>
      <c r="H22" t="s">
        <v>142</v>
      </c>
    </row>
    <row r="23" spans="1:8" x14ac:dyDescent="0.25">
      <c r="A23">
        <v>9</v>
      </c>
      <c r="B23">
        <f t="shared" si="0"/>
        <v>14.558823529411772</v>
      </c>
      <c r="C23">
        <f t="shared" si="1"/>
        <v>-1.0463461767995601</v>
      </c>
      <c r="D23">
        <f t="shared" si="2"/>
        <v>8.9878087630554979E-2</v>
      </c>
      <c r="E23">
        <f t="shared" si="3"/>
        <v>89.878087630554973</v>
      </c>
      <c r="F23">
        <f t="shared" si="4"/>
        <v>10.066345814622156</v>
      </c>
      <c r="G23" t="s">
        <v>169</v>
      </c>
      <c r="H23" t="s">
        <v>142</v>
      </c>
    </row>
    <row r="24" spans="1:8" x14ac:dyDescent="0.25">
      <c r="A24">
        <v>10</v>
      </c>
      <c r="B24">
        <f t="shared" si="0"/>
        <v>16.176470588235301</v>
      </c>
      <c r="C24">
        <f t="shared" si="1"/>
        <v>-0.94599999999999973</v>
      </c>
      <c r="D24">
        <f t="shared" si="2"/>
        <v>0.11324003632355574</v>
      </c>
      <c r="E24">
        <f t="shared" si="3"/>
        <v>113.24003632355574</v>
      </c>
      <c r="F24">
        <f t="shared" si="4"/>
        <v>12.682884068238243</v>
      </c>
      <c r="G24" t="s">
        <v>169</v>
      </c>
      <c r="H24" t="s">
        <v>142</v>
      </c>
    </row>
    <row r="25" spans="1:8" x14ac:dyDescent="0.25">
      <c r="A25">
        <v>11</v>
      </c>
      <c r="B25">
        <f t="shared" si="0"/>
        <v>17.79411764705883</v>
      </c>
      <c r="C25">
        <f t="shared" si="1"/>
        <v>-0.85522584144801206</v>
      </c>
      <c r="D25">
        <f t="shared" si="2"/>
        <v>0.13956424115357241</v>
      </c>
      <c r="E25">
        <f t="shared" si="3"/>
        <v>139.5642411535724</v>
      </c>
      <c r="F25">
        <f t="shared" si="4"/>
        <v>15.631195009200109</v>
      </c>
      <c r="G25" t="s">
        <v>169</v>
      </c>
      <c r="H25" t="s">
        <v>142</v>
      </c>
    </row>
    <row r="26" spans="1:8" x14ac:dyDescent="0.25">
      <c r="A26">
        <v>12</v>
      </c>
      <c r="B26">
        <f t="shared" si="0"/>
        <v>19.411764705882362</v>
      </c>
      <c r="C26">
        <f t="shared" si="1"/>
        <v>-0.7723555274175582</v>
      </c>
      <c r="D26">
        <f t="shared" si="2"/>
        <v>0.16890576486568784</v>
      </c>
      <c r="E26">
        <f t="shared" si="3"/>
        <v>168.90576486568784</v>
      </c>
      <c r="F26">
        <f t="shared" si="4"/>
        <v>18.917445664957039</v>
      </c>
      <c r="G26" t="s">
        <v>169</v>
      </c>
      <c r="H26" t="s">
        <v>142</v>
      </c>
    </row>
    <row r="27" spans="1:8" x14ac:dyDescent="0.25">
      <c r="A27">
        <v>13</v>
      </c>
      <c r="B27">
        <f t="shared" si="0"/>
        <v>21.029411764705891</v>
      </c>
      <c r="C27">
        <f t="shared" si="1"/>
        <v>-0.69612222839110682</v>
      </c>
      <c r="D27">
        <f t="shared" si="2"/>
        <v>0.20131575844947042</v>
      </c>
      <c r="E27">
        <f t="shared" si="3"/>
        <v>201.31575844947042</v>
      </c>
      <c r="F27">
        <f t="shared" si="4"/>
        <v>22.547364946340689</v>
      </c>
      <c r="G27" t="s">
        <v>169</v>
      </c>
      <c r="H27" t="s">
        <v>142</v>
      </c>
    </row>
    <row r="28" spans="1:8" x14ac:dyDescent="0.25">
      <c r="A28">
        <v>14</v>
      </c>
      <c r="B28">
        <f t="shared" si="0"/>
        <v>22.64705882352942</v>
      </c>
      <c r="C28">
        <f t="shared" si="1"/>
        <v>-0.62554121775762406</v>
      </c>
      <c r="D28">
        <f t="shared" si="2"/>
        <v>0.23684203405140727</v>
      </c>
      <c r="E28">
        <f t="shared" si="3"/>
        <v>236.84203405140727</v>
      </c>
      <c r="F28">
        <f t="shared" si="4"/>
        <v>26.526307813757615</v>
      </c>
      <c r="G28" t="s">
        <v>169</v>
      </c>
      <c r="H28" t="s">
        <v>142</v>
      </c>
    </row>
    <row r="29" spans="1:8" x14ac:dyDescent="0.25">
      <c r="A29">
        <v>15</v>
      </c>
      <c r="B29">
        <f t="shared" si="0"/>
        <v>24.264705882352953</v>
      </c>
      <c r="C29">
        <f t="shared" si="1"/>
        <v>-0.55983186889089032</v>
      </c>
      <c r="D29">
        <f t="shared" si="2"/>
        <v>0.27552951713532431</v>
      </c>
      <c r="E29">
        <f t="shared" si="3"/>
        <v>275.52951713532428</v>
      </c>
      <c r="F29">
        <f t="shared" si="4"/>
        <v>30.85930591915632</v>
      </c>
      <c r="G29" t="s">
        <v>169</v>
      </c>
      <c r="H29" t="s">
        <v>142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8C36A-9F2E-4047-A98E-E27FBCD3E853}">
  <dimension ref="A1:E79"/>
  <sheetViews>
    <sheetView zoomScale="85" zoomScaleNormal="85" workbookViewId="0">
      <selection sqref="A1:A27"/>
    </sheetView>
  </sheetViews>
  <sheetFormatPr defaultRowHeight="15" x14ac:dyDescent="0.25"/>
  <cols>
    <col min="4" max="4" width="10.5703125" bestFit="1" customWidth="1"/>
  </cols>
  <sheetData>
    <row r="1" spans="1:5" x14ac:dyDescent="0.25">
      <c r="A1" t="s">
        <v>81</v>
      </c>
      <c r="B1" t="s">
        <v>155</v>
      </c>
      <c r="C1" t="s">
        <v>157</v>
      </c>
      <c r="D1" t="s">
        <v>68</v>
      </c>
      <c r="E1" t="s">
        <v>18</v>
      </c>
    </row>
    <row r="2" spans="1:5" x14ac:dyDescent="0.25">
      <c r="A2">
        <v>0.5</v>
      </c>
      <c r="B2">
        <f>0.211*A2^1.79</f>
        <v>6.1015301701003923E-2</v>
      </c>
      <c r="C2">
        <f>B2*0.112</f>
        <v>6.8337137905124393E-3</v>
      </c>
      <c r="D2" t="s">
        <v>154</v>
      </c>
      <c r="E2" t="s">
        <v>156</v>
      </c>
    </row>
    <row r="3" spans="1:5" x14ac:dyDescent="0.25">
      <c r="A3">
        <v>0.6</v>
      </c>
      <c r="B3">
        <f t="shared" ref="B3:B27" si="0">0.211*A3^1.79</f>
        <v>8.456160034468109E-2</v>
      </c>
      <c r="C3">
        <f t="shared" ref="C3:C66" si="1">B3*0.112</f>
        <v>9.4708992386042818E-3</v>
      </c>
      <c r="D3" t="s">
        <v>154</v>
      </c>
      <c r="E3" t="s">
        <v>156</v>
      </c>
    </row>
    <row r="4" spans="1:5" x14ac:dyDescent="0.25">
      <c r="A4">
        <v>0.7</v>
      </c>
      <c r="B4">
        <f t="shared" si="0"/>
        <v>0.11143149236599494</v>
      </c>
      <c r="C4">
        <f t="shared" si="1"/>
        <v>1.2480327144991433E-2</v>
      </c>
      <c r="D4" t="s">
        <v>154</v>
      </c>
      <c r="E4" t="s">
        <v>156</v>
      </c>
    </row>
    <row r="5" spans="1:5" x14ac:dyDescent="0.25">
      <c r="A5">
        <v>0.8</v>
      </c>
      <c r="B5">
        <f t="shared" si="0"/>
        <v>0.14151860274768546</v>
      </c>
      <c r="C5">
        <f t="shared" si="1"/>
        <v>1.585008350774077E-2</v>
      </c>
      <c r="D5" t="s">
        <v>154</v>
      </c>
      <c r="E5" t="s">
        <v>156</v>
      </c>
    </row>
    <row r="6" spans="1:5" x14ac:dyDescent="0.25">
      <c r="A6">
        <v>0.9</v>
      </c>
      <c r="B6">
        <f t="shared" si="0"/>
        <v>0.17473364929121324</v>
      </c>
      <c r="C6">
        <f t="shared" si="1"/>
        <v>1.9570168720615882E-2</v>
      </c>
      <c r="D6" t="s">
        <v>154</v>
      </c>
      <c r="E6" t="s">
        <v>156</v>
      </c>
    </row>
    <row r="7" spans="1:5" x14ac:dyDescent="0.25">
      <c r="A7">
        <v>1</v>
      </c>
      <c r="B7">
        <f t="shared" si="0"/>
        <v>0.21099999999999999</v>
      </c>
      <c r="C7">
        <f t="shared" si="1"/>
        <v>2.3632E-2</v>
      </c>
      <c r="D7" t="s">
        <v>154</v>
      </c>
      <c r="E7" t="s">
        <v>156</v>
      </c>
    </row>
    <row r="8" spans="1:5" x14ac:dyDescent="0.25">
      <c r="A8">
        <v>1.1000000000000001</v>
      </c>
      <c r="B8">
        <f t="shared" si="0"/>
        <v>0.25025073501798162</v>
      </c>
      <c r="C8">
        <f t="shared" si="1"/>
        <v>2.8028082322013943E-2</v>
      </c>
      <c r="D8" t="s">
        <v>154</v>
      </c>
      <c r="E8" t="s">
        <v>156</v>
      </c>
    </row>
    <row r="9" spans="1:5" x14ac:dyDescent="0.25">
      <c r="A9">
        <v>1.2</v>
      </c>
      <c r="B9">
        <f t="shared" si="0"/>
        <v>0.29242660734781123</v>
      </c>
      <c r="C9">
        <f t="shared" si="1"/>
        <v>3.2751780022954861E-2</v>
      </c>
      <c r="D9" t="s">
        <v>154</v>
      </c>
      <c r="E9" t="s">
        <v>156</v>
      </c>
    </row>
    <row r="10" spans="1:5" x14ac:dyDescent="0.25">
      <c r="A10">
        <v>1.3</v>
      </c>
      <c r="B10">
        <f t="shared" si="0"/>
        <v>0.33747457254700614</v>
      </c>
      <c r="C10">
        <f t="shared" si="1"/>
        <v>3.7797152125264688E-2</v>
      </c>
      <c r="D10" t="s">
        <v>154</v>
      </c>
      <c r="E10" t="s">
        <v>156</v>
      </c>
    </row>
    <row r="11" spans="1:5" x14ac:dyDescent="0.25">
      <c r="A11">
        <v>1.4</v>
      </c>
      <c r="B11">
        <f t="shared" si="0"/>
        <v>0.38534669556240314</v>
      </c>
      <c r="C11">
        <f t="shared" si="1"/>
        <v>4.3158829902989151E-2</v>
      </c>
      <c r="D11" t="s">
        <v>154</v>
      </c>
      <c r="E11" t="s">
        <v>156</v>
      </c>
    </row>
    <row r="12" spans="1:5" x14ac:dyDescent="0.25">
      <c r="A12">
        <v>1.5</v>
      </c>
      <c r="B12">
        <f t="shared" si="0"/>
        <v>0.43599931706785672</v>
      </c>
      <c r="C12">
        <f t="shared" si="1"/>
        <v>4.8831923511599956E-2</v>
      </c>
      <c r="D12" t="s">
        <v>154</v>
      </c>
      <c r="E12" t="s">
        <v>156</v>
      </c>
    </row>
    <row r="13" spans="1:5" x14ac:dyDescent="0.25">
      <c r="A13">
        <v>1.6</v>
      </c>
      <c r="B13">
        <f t="shared" si="0"/>
        <v>0.48939240399216655</v>
      </c>
      <c r="C13">
        <f t="shared" si="1"/>
        <v>5.4811949247122654E-2</v>
      </c>
      <c r="D13" t="s">
        <v>154</v>
      </c>
      <c r="E13" t="s">
        <v>156</v>
      </c>
    </row>
    <row r="14" spans="1:5" x14ac:dyDescent="0.25">
      <c r="A14">
        <v>1.7</v>
      </c>
      <c r="B14">
        <f t="shared" si="0"/>
        <v>0.54548903425332451</v>
      </c>
      <c r="C14">
        <f t="shared" si="1"/>
        <v>6.1094771836372345E-2</v>
      </c>
      <c r="D14" t="s">
        <v>154</v>
      </c>
      <c r="E14" t="s">
        <v>156</v>
      </c>
    </row>
    <row r="15" spans="1:5" x14ac:dyDescent="0.25">
      <c r="A15">
        <v>1.8</v>
      </c>
      <c r="B15">
        <f t="shared" si="0"/>
        <v>0.60425498149818013</v>
      </c>
      <c r="C15">
        <f t="shared" si="1"/>
        <v>6.7676557927796172E-2</v>
      </c>
      <c r="D15" t="s">
        <v>154</v>
      </c>
      <c r="E15" t="s">
        <v>156</v>
      </c>
    </row>
    <row r="16" spans="1:5" x14ac:dyDescent="0.25">
      <c r="A16">
        <v>1.9</v>
      </c>
      <c r="B16">
        <f t="shared" si="0"/>
        <v>0.66565837582461951</v>
      </c>
      <c r="C16">
        <f t="shared" si="1"/>
        <v>7.455373809235738E-2</v>
      </c>
      <c r="D16" t="s">
        <v>154</v>
      </c>
      <c r="E16" t="s">
        <v>156</v>
      </c>
    </row>
    <row r="17" spans="1:5" x14ac:dyDescent="0.25">
      <c r="A17">
        <v>2</v>
      </c>
      <c r="B17">
        <f t="shared" si="0"/>
        <v>0.7296694232238381</v>
      </c>
      <c r="C17">
        <f t="shared" si="1"/>
        <v>8.1722975401069875E-2</v>
      </c>
      <c r="D17" t="s">
        <v>154</v>
      </c>
      <c r="E17" t="s">
        <v>156</v>
      </c>
    </row>
    <row r="18" spans="1:5" x14ac:dyDescent="0.25">
      <c r="A18">
        <v>2.1</v>
      </c>
      <c r="B18">
        <f t="shared" si="0"/>
        <v>0.79626017108797664</v>
      </c>
      <c r="C18">
        <f t="shared" si="1"/>
        <v>8.9181139161853384E-2</v>
      </c>
      <c r="D18" t="s">
        <v>154</v>
      </c>
      <c r="E18" t="s">
        <v>156</v>
      </c>
    </row>
    <row r="19" spans="1:5" x14ac:dyDescent="0.25">
      <c r="A19">
        <v>2.2000000000000002</v>
      </c>
      <c r="B19">
        <f t="shared" si="0"/>
        <v>0.865404310340816</v>
      </c>
      <c r="C19">
        <f t="shared" si="1"/>
        <v>9.6925282758171388E-2</v>
      </c>
      <c r="D19" t="s">
        <v>154</v>
      </c>
      <c r="E19" t="s">
        <v>156</v>
      </c>
    </row>
    <row r="20" spans="1:5" x14ac:dyDescent="0.25">
      <c r="A20">
        <v>2.2999999999999998</v>
      </c>
      <c r="B20">
        <f t="shared" si="0"/>
        <v>0.93707700703434249</v>
      </c>
      <c r="C20">
        <f t="shared" si="1"/>
        <v>0.10495262478784637</v>
      </c>
      <c r="D20" t="s">
        <v>154</v>
      </c>
      <c r="E20" t="s">
        <v>156</v>
      </c>
    </row>
    <row r="21" spans="1:5" x14ac:dyDescent="0.25">
      <c r="A21">
        <v>2.4</v>
      </c>
      <c r="B21">
        <f t="shared" si="0"/>
        <v>1.0112547579089157</v>
      </c>
      <c r="C21">
        <f t="shared" si="1"/>
        <v>0.11326053288579856</v>
      </c>
      <c r="D21" t="s">
        <v>154</v>
      </c>
      <c r="E21" t="s">
        <v>156</v>
      </c>
    </row>
    <row r="22" spans="1:5" x14ac:dyDescent="0.25">
      <c r="A22">
        <v>2.5</v>
      </c>
      <c r="B22">
        <f t="shared" si="0"/>
        <v>1.0879152656327926</v>
      </c>
      <c r="C22">
        <f t="shared" si="1"/>
        <v>0.12184650975087277</v>
      </c>
      <c r="D22" t="s">
        <v>154</v>
      </c>
      <c r="E22" t="s">
        <v>156</v>
      </c>
    </row>
    <row r="23" spans="1:5" x14ac:dyDescent="0.25">
      <c r="A23">
        <v>2.6</v>
      </c>
      <c r="B23">
        <f t="shared" si="0"/>
        <v>1.1670373303463757</v>
      </c>
      <c r="C23">
        <f t="shared" si="1"/>
        <v>0.13070818099879408</v>
      </c>
      <c r="D23" t="s">
        <v>154</v>
      </c>
      <c r="E23" t="s">
        <v>156</v>
      </c>
    </row>
    <row r="24" spans="1:5" x14ac:dyDescent="0.25">
      <c r="A24">
        <v>2.7</v>
      </c>
      <c r="B24">
        <f t="shared" si="0"/>
        <v>1.2486007548249145</v>
      </c>
      <c r="C24">
        <f t="shared" si="1"/>
        <v>0.13984328454039044</v>
      </c>
      <c r="D24" t="s">
        <v>154</v>
      </c>
      <c r="E24" t="s">
        <v>156</v>
      </c>
    </row>
    <row r="25" spans="1:5" x14ac:dyDescent="0.25">
      <c r="A25">
        <v>2.8</v>
      </c>
      <c r="B25">
        <f t="shared" si="0"/>
        <v>1.3325862611006192</v>
      </c>
      <c r="C25">
        <f t="shared" si="1"/>
        <v>0.14924966124326935</v>
      </c>
      <c r="D25" t="s">
        <v>154</v>
      </c>
      <c r="E25" t="s">
        <v>156</v>
      </c>
    </row>
    <row r="26" spans="1:5" x14ac:dyDescent="0.25">
      <c r="A26">
        <v>2.9</v>
      </c>
      <c r="B26">
        <f t="shared" si="0"/>
        <v>1.4189754167935216</v>
      </c>
      <c r="C26">
        <f t="shared" si="1"/>
        <v>0.15892524668087443</v>
      </c>
      <c r="D26" t="s">
        <v>154</v>
      </c>
      <c r="E26" t="s">
        <v>156</v>
      </c>
    </row>
    <row r="27" spans="1:5" x14ac:dyDescent="0.25">
      <c r="A27">
        <v>3</v>
      </c>
      <c r="B27">
        <f t="shared" si="0"/>
        <v>1.5077505697198597</v>
      </c>
      <c r="C27">
        <f t="shared" si="1"/>
        <v>0.16886806380862429</v>
      </c>
      <c r="D27" t="s">
        <v>154</v>
      </c>
      <c r="E27" t="s">
        <v>156</v>
      </c>
    </row>
    <row r="28" spans="1:5" x14ac:dyDescent="0.25">
      <c r="A28">
        <v>0.5</v>
      </c>
      <c r="B28">
        <f>0.136*A28^2.35</f>
        <v>2.6675859328489527E-2</v>
      </c>
      <c r="C28">
        <f t="shared" si="1"/>
        <v>2.9876962447908271E-3</v>
      </c>
      <c r="D28" t="s">
        <v>154</v>
      </c>
      <c r="E28" t="s">
        <v>158</v>
      </c>
    </row>
    <row r="29" spans="1:5" x14ac:dyDescent="0.25">
      <c r="A29">
        <v>0.6</v>
      </c>
      <c r="B29">
        <f t="shared" ref="B29:B53" si="2">0.136*A29^2.35</f>
        <v>4.0944384485149185E-2</v>
      </c>
      <c r="C29">
        <f t="shared" si="1"/>
        <v>4.5857710623367085E-3</v>
      </c>
      <c r="D29" t="s">
        <v>154</v>
      </c>
      <c r="E29" t="s">
        <v>158</v>
      </c>
    </row>
    <row r="30" spans="1:5" x14ac:dyDescent="0.25">
      <c r="A30">
        <v>0.7</v>
      </c>
      <c r="B30">
        <f t="shared" si="2"/>
        <v>5.8819225601810708E-2</v>
      </c>
      <c r="C30">
        <f t="shared" si="1"/>
        <v>6.5877532674027996E-3</v>
      </c>
      <c r="D30" t="s">
        <v>154</v>
      </c>
      <c r="E30" t="s">
        <v>158</v>
      </c>
    </row>
    <row r="31" spans="1:5" x14ac:dyDescent="0.25">
      <c r="A31">
        <v>0.8</v>
      </c>
      <c r="B31">
        <f t="shared" si="2"/>
        <v>8.0500833640029357E-2</v>
      </c>
      <c r="C31">
        <f t="shared" si="1"/>
        <v>9.0160933676832877E-3</v>
      </c>
      <c r="D31" t="s">
        <v>154</v>
      </c>
      <c r="E31" t="s">
        <v>158</v>
      </c>
    </row>
    <row r="32" spans="1:5" x14ac:dyDescent="0.25">
      <c r="A32">
        <v>0.9</v>
      </c>
      <c r="B32">
        <f t="shared" si="2"/>
        <v>0.10617170838615614</v>
      </c>
      <c r="C32">
        <f t="shared" si="1"/>
        <v>1.1891231339249488E-2</v>
      </c>
      <c r="D32" t="s">
        <v>154</v>
      </c>
      <c r="E32" t="s">
        <v>158</v>
      </c>
    </row>
    <row r="33" spans="1:5" x14ac:dyDescent="0.25">
      <c r="A33">
        <v>1</v>
      </c>
      <c r="B33">
        <f t="shared" si="2"/>
        <v>0.13600000000000001</v>
      </c>
      <c r="C33">
        <f t="shared" si="1"/>
        <v>1.5232000000000001E-2</v>
      </c>
      <c r="D33" t="s">
        <v>154</v>
      </c>
      <c r="E33" t="s">
        <v>158</v>
      </c>
    </row>
    <row r="34" spans="1:5" x14ac:dyDescent="0.25">
      <c r="A34">
        <v>1.1000000000000001</v>
      </c>
      <c r="B34">
        <f t="shared" si="2"/>
        <v>0.17014207244176505</v>
      </c>
      <c r="C34">
        <f t="shared" si="1"/>
        <v>1.9055912113477687E-2</v>
      </c>
      <c r="D34" t="s">
        <v>154</v>
      </c>
      <c r="E34" t="s">
        <v>158</v>
      </c>
    </row>
    <row r="35" spans="1:5" x14ac:dyDescent="0.25">
      <c r="A35">
        <v>1.2</v>
      </c>
      <c r="B35">
        <f t="shared" si="2"/>
        <v>0.20874440149837126</v>
      </c>
      <c r="C35">
        <f t="shared" si="1"/>
        <v>2.3379372967817582E-2</v>
      </c>
      <c r="D35" t="s">
        <v>154</v>
      </c>
      <c r="E35" t="s">
        <v>158</v>
      </c>
    </row>
    <row r="36" spans="1:5" x14ac:dyDescent="0.25">
      <c r="A36">
        <v>1.3</v>
      </c>
      <c r="B36">
        <f t="shared" si="2"/>
        <v>0.25194502456775025</v>
      </c>
      <c r="C36">
        <f t="shared" si="1"/>
        <v>2.8217842751588028E-2</v>
      </c>
      <c r="D36" t="s">
        <v>154</v>
      </c>
      <c r="E36" t="s">
        <v>158</v>
      </c>
    </row>
    <row r="37" spans="1:5" x14ac:dyDescent="0.25">
      <c r="A37">
        <v>1.4</v>
      </c>
      <c r="B37">
        <f t="shared" si="2"/>
        <v>0.29987467632590825</v>
      </c>
      <c r="C37">
        <f t="shared" si="1"/>
        <v>3.3585963748501722E-2</v>
      </c>
      <c r="D37" t="s">
        <v>154</v>
      </c>
      <c r="E37" t="s">
        <v>158</v>
      </c>
    </row>
    <row r="38" spans="1:5" x14ac:dyDescent="0.25">
      <c r="A38">
        <v>1.5</v>
      </c>
      <c r="B38">
        <f t="shared" si="2"/>
        <v>0.35265769707087646</v>
      </c>
      <c r="C38">
        <f t="shared" si="1"/>
        <v>3.9497662071938167E-2</v>
      </c>
      <c r="D38" t="s">
        <v>154</v>
      </c>
      <c r="E38" t="s">
        <v>158</v>
      </c>
    </row>
    <row r="39" spans="1:5" x14ac:dyDescent="0.25">
      <c r="A39">
        <v>1.6</v>
      </c>
      <c r="B39">
        <f t="shared" si="2"/>
        <v>0.4104127720958376</v>
      </c>
      <c r="C39">
        <f t="shared" si="1"/>
        <v>4.5966230474733812E-2</v>
      </c>
      <c r="D39" t="s">
        <v>154</v>
      </c>
      <c r="E39" t="s">
        <v>158</v>
      </c>
    </row>
    <row r="40" spans="1:5" x14ac:dyDescent="0.25">
      <c r="A40">
        <v>1.7</v>
      </c>
      <c r="B40">
        <f t="shared" si="2"/>
        <v>0.47325354259367663</v>
      </c>
      <c r="C40">
        <f t="shared" si="1"/>
        <v>5.3004396770491784E-2</v>
      </c>
      <c r="D40" t="s">
        <v>154</v>
      </c>
      <c r="E40" t="s">
        <v>158</v>
      </c>
    </row>
    <row r="41" spans="1:5" x14ac:dyDescent="0.25">
      <c r="A41">
        <v>1.8</v>
      </c>
      <c r="B41">
        <f t="shared" si="2"/>
        <v>0.54128911697686788</v>
      </c>
      <c r="C41">
        <f t="shared" si="1"/>
        <v>6.0624381101409205E-2</v>
      </c>
      <c r="D41" t="s">
        <v>154</v>
      </c>
      <c r="E41" t="s">
        <v>158</v>
      </c>
    </row>
    <row r="42" spans="1:5" x14ac:dyDescent="0.25">
      <c r="A42">
        <v>1.9</v>
      </c>
      <c r="B42">
        <f t="shared" si="2"/>
        <v>0.61462450369609145</v>
      </c>
      <c r="C42">
        <f t="shared" si="1"/>
        <v>6.8837944413962238E-2</v>
      </c>
      <c r="D42" t="s">
        <v>154</v>
      </c>
      <c r="E42" t="s">
        <v>158</v>
      </c>
    </row>
    <row r="43" spans="1:5" x14ac:dyDescent="0.25">
      <c r="A43">
        <v>2</v>
      </c>
      <c r="B43">
        <f t="shared" si="2"/>
        <v>0.69336098126167867</v>
      </c>
      <c r="C43">
        <f t="shared" si="1"/>
        <v>7.7656429901308013E-2</v>
      </c>
      <c r="D43" t="s">
        <v>154</v>
      </c>
      <c r="E43" t="s">
        <v>158</v>
      </c>
    </row>
    <row r="44" spans="1:5" x14ac:dyDescent="0.25">
      <c r="A44">
        <v>2.1</v>
      </c>
      <c r="B44">
        <f t="shared" si="2"/>
        <v>0.77759641737477436</v>
      </c>
      <c r="C44">
        <f t="shared" si="1"/>
        <v>8.7090798745974723E-2</v>
      </c>
      <c r="D44" t="s">
        <v>154</v>
      </c>
      <c r="E44" t="s">
        <v>158</v>
      </c>
    </row>
    <row r="45" spans="1:5" x14ac:dyDescent="0.25">
      <c r="A45">
        <v>2.2000000000000002</v>
      </c>
      <c r="B45">
        <f t="shared" si="2"/>
        <v>0.86742554633910174</v>
      </c>
      <c r="C45">
        <f t="shared" si="1"/>
        <v>9.7151661189979394E-2</v>
      </c>
      <c r="D45" t="s">
        <v>154</v>
      </c>
      <c r="E45" t="s">
        <v>158</v>
      </c>
    </row>
    <row r="46" spans="1:5" x14ac:dyDescent="0.25">
      <c r="A46">
        <v>2.2999999999999998</v>
      </c>
      <c r="B46">
        <f t="shared" si="2"/>
        <v>0.96294021191656576</v>
      </c>
      <c r="C46">
        <f t="shared" si="1"/>
        <v>0.10784930373465537</v>
      </c>
      <c r="D46" t="s">
        <v>154</v>
      </c>
      <c r="E46" t="s">
        <v>158</v>
      </c>
    </row>
    <row r="47" spans="1:5" x14ac:dyDescent="0.25">
      <c r="A47">
        <v>2.4</v>
      </c>
      <c r="B47">
        <f t="shared" si="2"/>
        <v>1.0642295812925917</v>
      </c>
      <c r="C47">
        <f t="shared" si="1"/>
        <v>0.11919371310477027</v>
      </c>
      <c r="D47" t="s">
        <v>154</v>
      </c>
      <c r="E47" t="s">
        <v>158</v>
      </c>
    </row>
    <row r="48" spans="1:5" x14ac:dyDescent="0.25">
      <c r="A48">
        <v>2.5</v>
      </c>
      <c r="B48">
        <f t="shared" si="2"/>
        <v>1.1713803346838725</v>
      </c>
      <c r="C48">
        <f t="shared" si="1"/>
        <v>0.13119459748459372</v>
      </c>
      <c r="D48" t="s">
        <v>154</v>
      </c>
      <c r="E48" t="s">
        <v>158</v>
      </c>
    </row>
    <row r="49" spans="1:5" x14ac:dyDescent="0.25">
      <c r="A49">
        <v>2.6</v>
      </c>
      <c r="B49">
        <f t="shared" si="2"/>
        <v>1.2844768342521549</v>
      </c>
      <c r="C49">
        <f t="shared" si="1"/>
        <v>0.14386140543624135</v>
      </c>
      <c r="D49" t="s">
        <v>154</v>
      </c>
      <c r="E49" t="s">
        <v>158</v>
      </c>
    </row>
    <row r="50" spans="1:5" x14ac:dyDescent="0.25">
      <c r="A50">
        <v>2.7</v>
      </c>
      <c r="B50">
        <f t="shared" si="2"/>
        <v>1.4036012753131653</v>
      </c>
      <c r="C50">
        <f t="shared" si="1"/>
        <v>0.15720334283507451</v>
      </c>
      <c r="D50" t="s">
        <v>154</v>
      </c>
      <c r="E50" t="s">
        <v>158</v>
      </c>
    </row>
    <row r="51" spans="1:5" x14ac:dyDescent="0.25">
      <c r="A51">
        <v>2.8</v>
      </c>
      <c r="B51">
        <f t="shared" si="2"/>
        <v>1.5288338223004412</v>
      </c>
      <c r="C51">
        <f t="shared" si="1"/>
        <v>0.17122938809764943</v>
      </c>
      <c r="D51" t="s">
        <v>154</v>
      </c>
      <c r="E51" t="s">
        <v>158</v>
      </c>
    </row>
    <row r="52" spans="1:5" x14ac:dyDescent="0.25">
      <c r="A52">
        <v>2.9</v>
      </c>
      <c r="B52">
        <f t="shared" si="2"/>
        <v>1.6602527315243019</v>
      </c>
      <c r="C52">
        <f t="shared" si="1"/>
        <v>0.18594830593072181</v>
      </c>
      <c r="D52" t="s">
        <v>154</v>
      </c>
      <c r="E52" t="s">
        <v>158</v>
      </c>
    </row>
    <row r="53" spans="1:5" x14ac:dyDescent="0.25">
      <c r="A53">
        <v>3</v>
      </c>
      <c r="B53">
        <f t="shared" si="2"/>
        <v>1.7979344624304912</v>
      </c>
      <c r="C53">
        <f t="shared" si="1"/>
        <v>0.20136865979221502</v>
      </c>
      <c r="D53" t="s">
        <v>154</v>
      </c>
      <c r="E53" t="s">
        <v>158</v>
      </c>
    </row>
    <row r="54" spans="1:5" x14ac:dyDescent="0.25">
      <c r="A54">
        <v>0.5</v>
      </c>
      <c r="B54">
        <f>0.041*A54^2.55</f>
        <v>7.0009563158662793E-3</v>
      </c>
      <c r="C54">
        <f t="shared" si="1"/>
        <v>7.8410710737702332E-4</v>
      </c>
      <c r="D54" t="s">
        <v>154</v>
      </c>
      <c r="E54" t="s">
        <v>159</v>
      </c>
    </row>
    <row r="55" spans="1:5" x14ac:dyDescent="0.25">
      <c r="A55">
        <v>0.6</v>
      </c>
      <c r="B55">
        <f t="shared" ref="B55:B79" si="3">0.041*A55^2.55</f>
        <v>1.1144729840262806E-2</v>
      </c>
      <c r="C55">
        <f t="shared" si="1"/>
        <v>1.2482097421094344E-3</v>
      </c>
      <c r="D55" t="s">
        <v>154</v>
      </c>
      <c r="E55" t="s">
        <v>159</v>
      </c>
    </row>
    <row r="56" spans="1:5" x14ac:dyDescent="0.25">
      <c r="A56">
        <v>0.7</v>
      </c>
      <c r="B56">
        <f t="shared" si="3"/>
        <v>1.6511398484763795E-2</v>
      </c>
      <c r="C56">
        <f t="shared" si="1"/>
        <v>1.8492766302935452E-3</v>
      </c>
      <c r="D56" t="s">
        <v>154</v>
      </c>
      <c r="E56" t="s">
        <v>159</v>
      </c>
    </row>
    <row r="57" spans="1:5" x14ac:dyDescent="0.25">
      <c r="A57">
        <v>0.8</v>
      </c>
      <c r="B57">
        <f t="shared" si="3"/>
        <v>2.3209368477645462E-2</v>
      </c>
      <c r="C57">
        <f t="shared" si="1"/>
        <v>2.5994492694962918E-3</v>
      </c>
      <c r="D57" t="s">
        <v>154</v>
      </c>
      <c r="E57" t="s">
        <v>159</v>
      </c>
    </row>
    <row r="58" spans="1:5" x14ac:dyDescent="0.25">
      <c r="A58">
        <v>0.9</v>
      </c>
      <c r="B58">
        <f t="shared" si="3"/>
        <v>3.1340235516251841E-2</v>
      </c>
      <c r="C58">
        <f t="shared" si="1"/>
        <v>3.5101063778202064E-3</v>
      </c>
      <c r="D58" t="s">
        <v>154</v>
      </c>
      <c r="E58" t="s">
        <v>159</v>
      </c>
    </row>
    <row r="59" spans="1:5" x14ac:dyDescent="0.25">
      <c r="A59">
        <v>1</v>
      </c>
      <c r="B59">
        <f t="shared" si="3"/>
        <v>4.1000000000000002E-2</v>
      </c>
      <c r="C59">
        <f t="shared" si="1"/>
        <v>4.5920000000000006E-3</v>
      </c>
      <c r="D59" t="s">
        <v>154</v>
      </c>
      <c r="E59" t="s">
        <v>159</v>
      </c>
    </row>
    <row r="60" spans="1:5" x14ac:dyDescent="0.25">
      <c r="A60">
        <v>1.1000000000000001</v>
      </c>
      <c r="B60">
        <f t="shared" si="3"/>
        <v>5.2279954853589695E-2</v>
      </c>
      <c r="C60">
        <f t="shared" si="1"/>
        <v>5.8553549436020464E-3</v>
      </c>
      <c r="D60" t="s">
        <v>154</v>
      </c>
      <c r="E60" t="s">
        <v>159</v>
      </c>
    </row>
    <row r="61" spans="1:5" x14ac:dyDescent="0.25">
      <c r="A61">
        <v>1.2</v>
      </c>
      <c r="B61">
        <f t="shared" si="3"/>
        <v>6.526735817722859E-2</v>
      </c>
      <c r="C61">
        <f t="shared" si="1"/>
        <v>7.3099441158496021E-3</v>
      </c>
      <c r="D61" t="s">
        <v>154</v>
      </c>
      <c r="E61" t="s">
        <v>159</v>
      </c>
    </row>
    <row r="62" spans="1:5" x14ac:dyDescent="0.25">
      <c r="A62">
        <v>1.3</v>
      </c>
      <c r="B62">
        <f t="shared" si="3"/>
        <v>8.0045957709442936E-2</v>
      </c>
      <c r="C62">
        <f t="shared" si="1"/>
        <v>8.9651472634576096E-3</v>
      </c>
      <c r="D62" t="s">
        <v>154</v>
      </c>
      <c r="E62" t="s">
        <v>159</v>
      </c>
    </row>
    <row r="63" spans="1:5" x14ac:dyDescent="0.25">
      <c r="A63">
        <v>1.4</v>
      </c>
      <c r="B63">
        <f t="shared" si="3"/>
        <v>9.6696409366403779E-2</v>
      </c>
      <c r="C63">
        <f t="shared" si="1"/>
        <v>1.0829997849037223E-2</v>
      </c>
      <c r="D63" t="s">
        <v>154</v>
      </c>
      <c r="E63" t="s">
        <v>159</v>
      </c>
    </row>
    <row r="64" spans="1:5" x14ac:dyDescent="0.25">
      <c r="A64">
        <v>1.5</v>
      </c>
      <c r="B64">
        <f t="shared" si="3"/>
        <v>0.11529661773622903</v>
      </c>
      <c r="C64">
        <f t="shared" si="1"/>
        <v>1.291322118645765E-2</v>
      </c>
      <c r="D64" t="s">
        <v>154</v>
      </c>
      <c r="E64" t="s">
        <v>159</v>
      </c>
    </row>
    <row r="65" spans="1:5" x14ac:dyDescent="0.25">
      <c r="A65">
        <v>1.6</v>
      </c>
      <c r="B65">
        <f t="shared" si="3"/>
        <v>0.13592201760020808</v>
      </c>
      <c r="C65">
        <f t="shared" si="1"/>
        <v>1.5223265971223306E-2</v>
      </c>
      <c r="D65" t="s">
        <v>154</v>
      </c>
      <c r="E65" t="s">
        <v>159</v>
      </c>
    </row>
    <row r="66" spans="1:5" x14ac:dyDescent="0.25">
      <c r="A66">
        <v>1.7</v>
      </c>
      <c r="B66">
        <f t="shared" si="3"/>
        <v>0.15864580993172153</v>
      </c>
      <c r="C66">
        <f t="shared" si="1"/>
        <v>1.7768330712352811E-2</v>
      </c>
      <c r="D66" t="s">
        <v>154</v>
      </c>
      <c r="E66" t="s">
        <v>159</v>
      </c>
    </row>
    <row r="67" spans="1:5" x14ac:dyDescent="0.25">
      <c r="A67">
        <v>1.8</v>
      </c>
      <c r="B67">
        <f t="shared" si="3"/>
        <v>0.18353916210764554</v>
      </c>
      <c r="C67">
        <f t="shared" ref="C67:C79" si="4">B67*0.112</f>
        <v>2.0556386156056299E-2</v>
      </c>
      <c r="D67" t="s">
        <v>154</v>
      </c>
      <c r="E67" t="s">
        <v>159</v>
      </c>
    </row>
    <row r="68" spans="1:5" x14ac:dyDescent="0.25">
      <c r="A68">
        <v>1.9</v>
      </c>
      <c r="B68">
        <f t="shared" si="3"/>
        <v>0.2106713795360439</v>
      </c>
      <c r="C68">
        <f t="shared" si="4"/>
        <v>2.3595194508036918E-2</v>
      </c>
      <c r="D68" t="s">
        <v>154</v>
      </c>
      <c r="E68" t="s">
        <v>159</v>
      </c>
    </row>
    <row r="69" spans="1:5" x14ac:dyDescent="0.25">
      <c r="A69">
        <v>2</v>
      </c>
      <c r="B69">
        <f t="shared" si="3"/>
        <v>0.24011005413508252</v>
      </c>
      <c r="C69">
        <f t="shared" si="4"/>
        <v>2.6892326063129243E-2</v>
      </c>
      <c r="D69" t="s">
        <v>154</v>
      </c>
      <c r="E69" t="s">
        <v>159</v>
      </c>
    </row>
    <row r="70" spans="1:5" x14ac:dyDescent="0.25">
      <c r="A70">
        <v>2.1</v>
      </c>
      <c r="B70">
        <f t="shared" si="3"/>
        <v>0.27192119383376034</v>
      </c>
      <c r="C70">
        <f t="shared" si="4"/>
        <v>3.045517370938116E-2</v>
      </c>
      <c r="D70" t="s">
        <v>154</v>
      </c>
      <c r="E70" t="s">
        <v>159</v>
      </c>
    </row>
    <row r="71" spans="1:5" x14ac:dyDescent="0.25">
      <c r="A71">
        <v>2.2000000000000002</v>
      </c>
      <c r="B71">
        <f t="shared" si="3"/>
        <v>0.30616933634329502</v>
      </c>
      <c r="C71">
        <f t="shared" si="4"/>
        <v>3.4290965670449043E-2</v>
      </c>
      <c r="D71" t="s">
        <v>154</v>
      </c>
      <c r="E71" t="s">
        <v>159</v>
      </c>
    </row>
    <row r="72" spans="1:5" x14ac:dyDescent="0.25">
      <c r="A72">
        <v>2.2999999999999998</v>
      </c>
      <c r="B72">
        <f t="shared" si="3"/>
        <v>0.34291764976408934</v>
      </c>
      <c r="C72">
        <f t="shared" si="4"/>
        <v>3.8406776773578004E-2</v>
      </c>
      <c r="D72" t="s">
        <v>154</v>
      </c>
      <c r="E72" t="s">
        <v>159</v>
      </c>
    </row>
    <row r="73" spans="1:5" x14ac:dyDescent="0.25">
      <c r="A73">
        <v>2.4</v>
      </c>
      <c r="B73">
        <f t="shared" si="3"/>
        <v>0.38222802207776047</v>
      </c>
      <c r="C73">
        <f t="shared" si="4"/>
        <v>4.2809538472709172E-2</v>
      </c>
      <c r="D73" t="s">
        <v>154</v>
      </c>
      <c r="E73" t="s">
        <v>159</v>
      </c>
    </row>
    <row r="74" spans="1:5" x14ac:dyDescent="0.25">
      <c r="A74">
        <v>2.5</v>
      </c>
      <c r="B74">
        <f t="shared" si="3"/>
        <v>0.42416114117970566</v>
      </c>
      <c r="C74">
        <f t="shared" si="4"/>
        <v>4.7506047812127035E-2</v>
      </c>
      <c r="D74" t="s">
        <v>154</v>
      </c>
      <c r="E74" t="s">
        <v>159</v>
      </c>
    </row>
    <row r="75" spans="1:5" x14ac:dyDescent="0.25">
      <c r="A75">
        <v>2.6</v>
      </c>
      <c r="B75">
        <f t="shared" si="3"/>
        <v>0.46877656680265545</v>
      </c>
      <c r="C75">
        <f t="shared" si="4"/>
        <v>5.2502975481897411E-2</v>
      </c>
      <c r="D75" t="s">
        <v>154</v>
      </c>
      <c r="E75" t="s">
        <v>159</v>
      </c>
    </row>
    <row r="76" spans="1:5" x14ac:dyDescent="0.25">
      <c r="A76">
        <v>2.7</v>
      </c>
      <c r="B76">
        <f t="shared" si="3"/>
        <v>0.51613279544275559</v>
      </c>
      <c r="C76">
        <f t="shared" si="4"/>
        <v>5.780687308958863E-2</v>
      </c>
      <c r="D76" t="s">
        <v>154</v>
      </c>
      <c r="E76" t="s">
        <v>159</v>
      </c>
    </row>
    <row r="77" spans="1:5" x14ac:dyDescent="0.25">
      <c r="A77">
        <v>2.8</v>
      </c>
      <c r="B77">
        <f t="shared" si="3"/>
        <v>0.56628731921061737</v>
      </c>
      <c r="C77">
        <f t="shared" si="4"/>
        <v>6.3424179751589149E-2</v>
      </c>
      <c r="D77" t="s">
        <v>154</v>
      </c>
      <c r="E77" t="s">
        <v>159</v>
      </c>
    </row>
    <row r="78" spans="1:5" x14ac:dyDescent="0.25">
      <c r="A78">
        <v>2.9</v>
      </c>
      <c r="B78">
        <f t="shared" si="3"/>
        <v>0.61929667937864918</v>
      </c>
      <c r="C78">
        <f t="shared" si="4"/>
        <v>6.9361228090408705E-2</v>
      </c>
      <c r="D78" t="s">
        <v>154</v>
      </c>
      <c r="E78" t="s">
        <v>159</v>
      </c>
    </row>
    <row r="79" spans="1:5" x14ac:dyDescent="0.25">
      <c r="A79">
        <v>3</v>
      </c>
      <c r="B79">
        <f t="shared" si="3"/>
        <v>0.67521651527409454</v>
      </c>
      <c r="C79">
        <f t="shared" si="4"/>
        <v>7.5624249710698588E-2</v>
      </c>
      <c r="D79" t="s">
        <v>154</v>
      </c>
      <c r="E79" t="s">
        <v>159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3593-A6C2-40EF-A37D-0244287EE0A0}">
  <dimension ref="A1:G79"/>
  <sheetViews>
    <sheetView workbookViewId="0">
      <selection activeCell="F2" sqref="F2"/>
    </sheetView>
  </sheetViews>
  <sheetFormatPr defaultRowHeight="15" x14ac:dyDescent="0.25"/>
  <cols>
    <col min="1" max="1" width="8.85546875" customWidth="1"/>
    <col min="4" max="4" width="16.7109375" customWidth="1"/>
    <col min="5" max="5" width="12" bestFit="1" customWidth="1"/>
    <col min="8" max="8" width="12" bestFit="1" customWidth="1"/>
  </cols>
  <sheetData>
    <row r="1" spans="1:7" x14ac:dyDescent="0.25">
      <c r="A1" t="s">
        <v>161</v>
      </c>
      <c r="B1" t="s">
        <v>162</v>
      </c>
      <c r="C1" t="s">
        <v>163</v>
      </c>
      <c r="D1" t="s">
        <v>102</v>
      </c>
      <c r="E1" t="s">
        <v>157</v>
      </c>
      <c r="F1" t="s">
        <v>0</v>
      </c>
      <c r="G1" t="s">
        <v>68</v>
      </c>
    </row>
    <row r="2" spans="1:7" x14ac:dyDescent="0.25">
      <c r="A2">
        <v>0.5</v>
      </c>
      <c r="B2">
        <f>3.1214*LOG10(A2)+1.0259</f>
        <v>8.626497153444912E-2</v>
      </c>
      <c r="C2">
        <f>10^B2</f>
        <v>1.2197335551839512</v>
      </c>
      <c r="D2">
        <f>(C2/100000)*1000</f>
        <v>1.2197335551839512E-2</v>
      </c>
      <c r="E2">
        <f>D2*0.685</f>
        <v>8.355174853010067E-3</v>
      </c>
      <c r="F2" t="s">
        <v>164</v>
      </c>
    </row>
    <row r="3" spans="1:7" x14ac:dyDescent="0.25">
      <c r="A3">
        <v>0.6</v>
      </c>
      <c r="B3">
        <f t="shared" ref="B3:B27" si="0">3.1214*LOG10(A3)+1.0259</f>
        <v>0.33342131294750521</v>
      </c>
      <c r="C3">
        <f t="shared" ref="C3:C27" si="1">10^B3</f>
        <v>2.154871180802969</v>
      </c>
      <c r="D3">
        <f t="shared" ref="D3:D66" si="2">(C3/100000)*1000</f>
        <v>2.154871180802969E-2</v>
      </c>
      <c r="E3">
        <f t="shared" ref="E3:E27" si="3">D3*0.685</f>
        <v>1.4760867588500339E-2</v>
      </c>
      <c r="F3" t="s">
        <v>164</v>
      </c>
    </row>
    <row r="4" spans="1:7" x14ac:dyDescent="0.25">
      <c r="A4">
        <v>0.7</v>
      </c>
      <c r="B4">
        <f t="shared" si="0"/>
        <v>0.54238902210050122</v>
      </c>
      <c r="C4">
        <f t="shared" si="1"/>
        <v>3.486494802376058</v>
      </c>
      <c r="D4">
        <f t="shared" si="2"/>
        <v>3.4864948023760577E-2</v>
      </c>
      <c r="E4">
        <f t="shared" si="3"/>
        <v>2.3882489396275998E-2</v>
      </c>
      <c r="F4" t="s">
        <v>164</v>
      </c>
    </row>
    <row r="5" spans="1:7" x14ac:dyDescent="0.25">
      <c r="A5">
        <v>0.8</v>
      </c>
      <c r="B5">
        <f t="shared" si="0"/>
        <v>0.72340508539665282</v>
      </c>
      <c r="C5">
        <f t="shared" si="1"/>
        <v>5.2893838564744167</v>
      </c>
      <c r="D5">
        <f t="shared" si="2"/>
        <v>5.2893838564744167E-2</v>
      </c>
      <c r="E5">
        <f t="shared" si="3"/>
        <v>3.6232279416849755E-2</v>
      </c>
      <c r="F5" t="s">
        <v>164</v>
      </c>
    </row>
    <row r="6" spans="1:7" x14ac:dyDescent="0.25">
      <c r="A6">
        <v>0.9</v>
      </c>
      <c r="B6">
        <f t="shared" si="0"/>
        <v>0.88307256896390873</v>
      </c>
      <c r="C6">
        <f t="shared" si="1"/>
        <v>7.6396342830981281</v>
      </c>
      <c r="D6">
        <f t="shared" si="2"/>
        <v>7.639634283098129E-2</v>
      </c>
      <c r="E6">
        <f t="shared" si="3"/>
        <v>5.2331494839222191E-2</v>
      </c>
      <c r="F6" t="s">
        <v>164</v>
      </c>
    </row>
    <row r="7" spans="1:7" x14ac:dyDescent="0.25">
      <c r="A7">
        <v>1</v>
      </c>
      <c r="B7">
        <f t="shared" si="0"/>
        <v>1.0259</v>
      </c>
      <c r="C7">
        <f t="shared" si="1"/>
        <v>10.614511209052427</v>
      </c>
      <c r="D7">
        <f t="shared" si="2"/>
        <v>0.10614511209052427</v>
      </c>
      <c r="E7">
        <f t="shared" si="3"/>
        <v>7.2709401782009131E-2</v>
      </c>
      <c r="F7" t="s">
        <v>164</v>
      </c>
    </row>
    <row r="8" spans="1:7" x14ac:dyDescent="0.25">
      <c r="A8">
        <v>1.1000000000000001</v>
      </c>
      <c r="B8">
        <f t="shared" si="0"/>
        <v>1.1551031274528838</v>
      </c>
      <c r="C8">
        <f t="shared" si="1"/>
        <v>14.292333035816192</v>
      </c>
      <c r="D8">
        <f t="shared" si="2"/>
        <v>0.14292333035816193</v>
      </c>
      <c r="E8">
        <f t="shared" si="3"/>
        <v>9.7902481295340932E-2</v>
      </c>
      <c r="F8" t="s">
        <v>164</v>
      </c>
    </row>
    <row r="9" spans="1:7" x14ac:dyDescent="0.25">
      <c r="A9">
        <v>1.2</v>
      </c>
      <c r="B9">
        <f t="shared" si="0"/>
        <v>1.273056341413056</v>
      </c>
      <c r="C9">
        <f t="shared" si="1"/>
        <v>18.752377685672208</v>
      </c>
      <c r="D9">
        <f t="shared" si="2"/>
        <v>0.18752377685672209</v>
      </c>
      <c r="E9">
        <f t="shared" si="3"/>
        <v>0.12845378714685463</v>
      </c>
      <c r="F9" t="s">
        <v>164</v>
      </c>
    </row>
    <row r="10" spans="1:7" x14ac:dyDescent="0.25">
      <c r="A10">
        <v>1.3</v>
      </c>
      <c r="B10">
        <f t="shared" si="0"/>
        <v>1.3815627798905603</v>
      </c>
      <c r="C10">
        <f t="shared" si="1"/>
        <v>24.074805097466975</v>
      </c>
      <c r="D10">
        <f t="shared" si="2"/>
        <v>0.24074805097466973</v>
      </c>
      <c r="E10">
        <f t="shared" si="3"/>
        <v>0.16491241491764877</v>
      </c>
      <c r="F10" t="s">
        <v>164</v>
      </c>
    </row>
    <row r="11" spans="1:7" x14ac:dyDescent="0.25">
      <c r="A11">
        <v>1.4</v>
      </c>
      <c r="B11">
        <f t="shared" si="0"/>
        <v>1.4820240505660522</v>
      </c>
      <c r="C11">
        <f t="shared" si="1"/>
        <v>30.340592011131914</v>
      </c>
      <c r="D11">
        <f t="shared" si="2"/>
        <v>0.30340592011131912</v>
      </c>
      <c r="E11">
        <f t="shared" si="3"/>
        <v>0.20783305527625362</v>
      </c>
      <c r="F11" t="s">
        <v>164</v>
      </c>
    </row>
    <row r="12" spans="1:7" x14ac:dyDescent="0.25">
      <c r="A12">
        <v>1.5</v>
      </c>
      <c r="B12">
        <f t="shared" si="0"/>
        <v>1.5755512560164036</v>
      </c>
      <c r="C12">
        <f t="shared" si="1"/>
        <v>37.631476281932265</v>
      </c>
      <c r="D12">
        <f t="shared" si="2"/>
        <v>0.37631476281932269</v>
      </c>
      <c r="E12">
        <f t="shared" si="3"/>
        <v>0.25777561253123604</v>
      </c>
      <c r="F12" t="s">
        <v>164</v>
      </c>
    </row>
    <row r="13" spans="1:7" x14ac:dyDescent="0.25">
      <c r="A13">
        <v>1.6</v>
      </c>
      <c r="B13">
        <f t="shared" si="0"/>
        <v>1.6630401138622037</v>
      </c>
      <c r="C13">
        <f t="shared" si="1"/>
        <v>46.029908741062215</v>
      </c>
      <c r="D13">
        <f t="shared" si="2"/>
        <v>0.46029908741062214</v>
      </c>
      <c r="E13">
        <f t="shared" si="3"/>
        <v>0.31530487487627618</v>
      </c>
      <c r="F13" t="s">
        <v>164</v>
      </c>
    </row>
    <row r="14" spans="1:7" x14ac:dyDescent="0.25">
      <c r="A14">
        <v>1.7</v>
      </c>
      <c r="B14">
        <f t="shared" si="0"/>
        <v>1.7452232631901441</v>
      </c>
      <c r="C14">
        <f t="shared" si="1"/>
        <v>55.619011138709844</v>
      </c>
      <c r="D14">
        <f t="shared" si="2"/>
        <v>0.55619011138709851</v>
      </c>
      <c r="E14">
        <f t="shared" si="3"/>
        <v>0.38099022630016249</v>
      </c>
      <c r="F14" t="s">
        <v>164</v>
      </c>
    </row>
    <row r="15" spans="1:7" x14ac:dyDescent="0.25">
      <c r="A15">
        <v>1.8</v>
      </c>
      <c r="B15">
        <f t="shared" si="0"/>
        <v>1.8227075974294595</v>
      </c>
      <c r="C15">
        <f t="shared" si="1"/>
        <v>66.482539064670348</v>
      </c>
      <c r="D15">
        <f t="shared" si="2"/>
        <v>0.66482539064670354</v>
      </c>
      <c r="E15">
        <f t="shared" si="3"/>
        <v>0.45540539259299195</v>
      </c>
      <c r="F15" t="s">
        <v>164</v>
      </c>
    </row>
    <row r="16" spans="1:7" x14ac:dyDescent="0.25">
      <c r="A16">
        <v>1.9</v>
      </c>
      <c r="B16">
        <f t="shared" si="0"/>
        <v>1.8960014900141602</v>
      </c>
      <c r="C16">
        <f t="shared" si="1"/>
        <v>78.704848996284795</v>
      </c>
      <c r="D16">
        <f t="shared" si="2"/>
        <v>0.78704848996284793</v>
      </c>
      <c r="E16">
        <f t="shared" si="3"/>
        <v>0.53912821562455082</v>
      </c>
      <c r="F16" t="s">
        <v>164</v>
      </c>
    </row>
    <row r="17" spans="1:6" x14ac:dyDescent="0.25">
      <c r="A17">
        <v>2</v>
      </c>
      <c r="B17">
        <f t="shared" si="0"/>
        <v>1.9655350284655508</v>
      </c>
      <c r="C17">
        <f t="shared" si="1"/>
        <v>92.370868808399663</v>
      </c>
      <c r="D17">
        <f t="shared" si="2"/>
        <v>0.92370868808399664</v>
      </c>
      <c r="E17">
        <f t="shared" si="3"/>
        <v>0.63274045133753776</v>
      </c>
      <c r="F17" t="s">
        <v>164</v>
      </c>
    </row>
    <row r="18" spans="1:6" x14ac:dyDescent="0.25">
      <c r="A18">
        <v>2.1</v>
      </c>
      <c r="B18">
        <f t="shared" si="0"/>
        <v>2.0316753065824558</v>
      </c>
      <c r="C18">
        <f t="shared" si="1"/>
        <v>107.56607121701089</v>
      </c>
      <c r="D18">
        <f t="shared" si="2"/>
        <v>1.0756607121701089</v>
      </c>
      <c r="E18">
        <f t="shared" si="3"/>
        <v>0.73682758783652469</v>
      </c>
      <c r="F18" t="s">
        <v>164</v>
      </c>
    </row>
    <row r="19" spans="1:6" x14ac:dyDescent="0.25">
      <c r="A19">
        <v>2.2000000000000002</v>
      </c>
      <c r="B19">
        <f t="shared" si="0"/>
        <v>2.0947381559184346</v>
      </c>
      <c r="C19">
        <f t="shared" si="1"/>
        <v>124.37644973151698</v>
      </c>
      <c r="D19">
        <f t="shared" si="2"/>
        <v>1.2437644973151698</v>
      </c>
      <c r="E19">
        <f t="shared" si="3"/>
        <v>0.85197868066089133</v>
      </c>
      <c r="F19" t="s">
        <v>164</v>
      </c>
    </row>
    <row r="20" spans="1:6" x14ac:dyDescent="0.25">
      <c r="A20">
        <v>2.2999999999999998</v>
      </c>
      <c r="B20">
        <f t="shared" si="0"/>
        <v>2.1549972673453146</v>
      </c>
      <c r="C20">
        <f t="shared" si="1"/>
        <v>142.88849676957719</v>
      </c>
      <c r="D20">
        <f t="shared" si="2"/>
        <v>1.4288849676957718</v>
      </c>
      <c r="E20">
        <f t="shared" si="3"/>
        <v>0.97878620287160378</v>
      </c>
      <c r="F20" t="s">
        <v>164</v>
      </c>
    </row>
    <row r="21" spans="1:6" x14ac:dyDescent="0.25">
      <c r="A21">
        <v>2.4</v>
      </c>
      <c r="B21">
        <f t="shared" si="0"/>
        <v>2.2126913698786073</v>
      </c>
      <c r="C21">
        <f t="shared" si="1"/>
        <v>163.1891836499764</v>
      </c>
      <c r="D21">
        <f t="shared" si="2"/>
        <v>1.6318918364997641</v>
      </c>
      <c r="E21">
        <f t="shared" si="3"/>
        <v>1.1178459080023384</v>
      </c>
      <c r="F21" t="s">
        <v>164</v>
      </c>
    </row>
    <row r="22" spans="1:6" x14ac:dyDescent="0.25">
      <c r="A22">
        <v>2.5</v>
      </c>
      <c r="B22">
        <f t="shared" si="0"/>
        <v>2.2680299430688979</v>
      </c>
      <c r="C22">
        <f t="shared" si="1"/>
        <v>185.36594222719023</v>
      </c>
      <c r="D22">
        <f t="shared" si="2"/>
        <v>1.8536594222719023</v>
      </c>
      <c r="E22">
        <f t="shared" si="3"/>
        <v>1.2697567042562532</v>
      </c>
      <c r="F22" t="s">
        <v>164</v>
      </c>
    </row>
    <row r="23" spans="1:6" x14ac:dyDescent="0.25">
      <c r="A23">
        <v>2.6</v>
      </c>
      <c r="B23">
        <f t="shared" si="0"/>
        <v>2.3211978083561116</v>
      </c>
      <c r="C23">
        <f t="shared" si="1"/>
        <v>209.50664796975028</v>
      </c>
      <c r="D23">
        <f t="shared" si="2"/>
        <v>2.0950664796975027</v>
      </c>
      <c r="E23">
        <f t="shared" si="3"/>
        <v>1.4351205385927894</v>
      </c>
      <c r="F23" t="s">
        <v>164</v>
      </c>
    </row>
    <row r="24" spans="1:6" x14ac:dyDescent="0.25">
      <c r="A24">
        <v>2.7</v>
      </c>
      <c r="B24">
        <f t="shared" si="0"/>
        <v>2.3723588534458631</v>
      </c>
      <c r="C24">
        <f t="shared" si="1"/>
        <v>235.69960431537564</v>
      </c>
      <c r="D24">
        <f t="shared" si="2"/>
        <v>2.3569960431537562</v>
      </c>
      <c r="E24">
        <f t="shared" si="3"/>
        <v>1.6145422895603232</v>
      </c>
      <c r="F24" t="s">
        <v>164</v>
      </c>
    </row>
    <row r="25" spans="1:6" x14ac:dyDescent="0.25">
      <c r="A25">
        <v>2.8</v>
      </c>
      <c r="B25">
        <f t="shared" si="0"/>
        <v>2.421659079031603</v>
      </c>
      <c r="C25">
        <f t="shared" si="1"/>
        <v>264.03352816089159</v>
      </c>
      <c r="D25">
        <f t="shared" si="2"/>
        <v>2.6403352816089161</v>
      </c>
      <c r="E25">
        <f t="shared" si="3"/>
        <v>1.8086296679021077</v>
      </c>
      <c r="F25" t="s">
        <v>164</v>
      </c>
    </row>
    <row r="26" spans="1:6" x14ac:dyDescent="0.25">
      <c r="A26">
        <v>2.9</v>
      </c>
      <c r="B26">
        <f t="shared" si="0"/>
        <v>2.4692291106418018</v>
      </c>
      <c r="C26">
        <f t="shared" si="1"/>
        <v>294.59753636542979</v>
      </c>
      <c r="D26">
        <f t="shared" si="2"/>
        <v>2.945975363654298</v>
      </c>
      <c r="E26">
        <f t="shared" si="3"/>
        <v>2.0179931241031941</v>
      </c>
      <c r="F26" t="s">
        <v>164</v>
      </c>
    </row>
    <row r="27" spans="1:6" x14ac:dyDescent="0.25">
      <c r="A27">
        <v>3</v>
      </c>
      <c r="B27">
        <f t="shared" si="0"/>
        <v>2.5151862844819544</v>
      </c>
      <c r="C27">
        <f t="shared" si="1"/>
        <v>327.48113316233236</v>
      </c>
      <c r="D27">
        <f t="shared" si="2"/>
        <v>3.2748113316233236</v>
      </c>
      <c r="E27">
        <f t="shared" si="3"/>
        <v>2.243245762161977</v>
      </c>
      <c r="F27" t="s">
        <v>164</v>
      </c>
    </row>
    <row r="28" spans="1:6" x14ac:dyDescent="0.25">
      <c r="A28">
        <v>0.5</v>
      </c>
      <c r="B28">
        <f>2.003*LOG10(A28)+0.5875</f>
        <v>-1.546308131495433E-2</v>
      </c>
      <c r="C28">
        <f t="shared" ref="C28:C79" si="4">10^B28</f>
        <v>0.96502134325256195</v>
      </c>
      <c r="D28">
        <f t="shared" si="2"/>
        <v>9.650213432525619E-3</v>
      </c>
      <c r="E28">
        <f t="shared" ref="E28:E79" si="5">D28*0.685</f>
        <v>6.6103962012800492E-3</v>
      </c>
      <c r="F28" t="s">
        <v>165</v>
      </c>
    </row>
    <row r="29" spans="1:6" x14ac:dyDescent="0.25">
      <c r="A29">
        <v>0.6</v>
      </c>
      <c r="B29">
        <f t="shared" ref="B29:B53" si="6">2.003*LOG10(A29)+0.5875</f>
        <v>0.14313695451843816</v>
      </c>
      <c r="C29">
        <f t="shared" si="4"/>
        <v>1.39039102110628</v>
      </c>
      <c r="D29">
        <f t="shared" si="2"/>
        <v>1.3903910211062801E-2</v>
      </c>
      <c r="E29">
        <f t="shared" si="5"/>
        <v>9.5241784945780204E-3</v>
      </c>
      <c r="F29" t="s">
        <v>165</v>
      </c>
    </row>
    <row r="30" spans="1:6" x14ac:dyDescent="0.25">
      <c r="A30">
        <v>0.7</v>
      </c>
      <c r="B30">
        <f t="shared" si="6"/>
        <v>0.27723137414855642</v>
      </c>
      <c r="C30">
        <f t="shared" si="4"/>
        <v>1.893352049707008</v>
      </c>
      <c r="D30">
        <f t="shared" si="2"/>
        <v>1.8933520497070078E-2</v>
      </c>
      <c r="E30">
        <f t="shared" si="5"/>
        <v>1.2969461540493004E-2</v>
      </c>
      <c r="F30" t="s">
        <v>165</v>
      </c>
    </row>
    <row r="31" spans="1:6" x14ac:dyDescent="0.25">
      <c r="A31">
        <v>0.8</v>
      </c>
      <c r="B31">
        <f t="shared" si="6"/>
        <v>0.39338924394486308</v>
      </c>
      <c r="C31">
        <f t="shared" si="4"/>
        <v>2.4739404636128226</v>
      </c>
      <c r="D31">
        <f t="shared" si="2"/>
        <v>2.4739404636128226E-2</v>
      </c>
      <c r="E31">
        <f t="shared" si="5"/>
        <v>1.6946492175747837E-2</v>
      </c>
      <c r="F31" t="s">
        <v>165</v>
      </c>
    </row>
    <row r="32" spans="1:6" x14ac:dyDescent="0.25">
      <c r="A32">
        <v>0.9</v>
      </c>
      <c r="B32">
        <f t="shared" si="6"/>
        <v>0.49584774640696777</v>
      </c>
      <c r="C32">
        <f t="shared" si="4"/>
        <v>3.1321874593890833</v>
      </c>
      <c r="D32">
        <f t="shared" si="2"/>
        <v>3.1321874593890832E-2</v>
      </c>
      <c r="E32">
        <f t="shared" si="5"/>
        <v>2.1455484096815223E-2</v>
      </c>
      <c r="F32" t="s">
        <v>165</v>
      </c>
    </row>
    <row r="33" spans="1:6" x14ac:dyDescent="0.25">
      <c r="A33">
        <v>1</v>
      </c>
      <c r="B33">
        <f t="shared" si="6"/>
        <v>0.58750000000000002</v>
      </c>
      <c r="C33">
        <f t="shared" si="4"/>
        <v>3.8681205463305224</v>
      </c>
      <c r="D33">
        <f t="shared" si="2"/>
        <v>3.8681205463305224E-2</v>
      </c>
      <c r="E33">
        <f t="shared" si="5"/>
        <v>2.6496625742364079E-2</v>
      </c>
      <c r="F33" t="s">
        <v>165</v>
      </c>
    </row>
    <row r="34" spans="1:6" x14ac:dyDescent="0.25">
      <c r="A34">
        <v>1.1000000000000001</v>
      </c>
      <c r="B34">
        <f t="shared" si="6"/>
        <v>0.6704095483719249</v>
      </c>
      <c r="C34">
        <f t="shared" si="4"/>
        <v>4.6817643290963931</v>
      </c>
      <c r="D34">
        <f t="shared" si="2"/>
        <v>4.6817643290963933E-2</v>
      </c>
      <c r="E34">
        <f t="shared" si="5"/>
        <v>3.2070085654310299E-2</v>
      </c>
      <c r="F34" t="s">
        <v>165</v>
      </c>
    </row>
    <row r="35" spans="1:6" x14ac:dyDescent="0.25">
      <c r="A35">
        <v>1.2</v>
      </c>
      <c r="B35">
        <f t="shared" si="6"/>
        <v>0.74610003583339257</v>
      </c>
      <c r="C35">
        <f t="shared" si="4"/>
        <v>5.5731410644739654</v>
      </c>
      <c r="D35">
        <f t="shared" si="2"/>
        <v>5.5731410644739653E-2</v>
      </c>
      <c r="E35">
        <f t="shared" si="5"/>
        <v>3.8176016291646665E-2</v>
      </c>
      <c r="F35" t="s">
        <v>165</v>
      </c>
    </row>
    <row r="36" spans="1:6" x14ac:dyDescent="0.25">
      <c r="A36">
        <v>1.3</v>
      </c>
      <c r="B36">
        <f t="shared" si="6"/>
        <v>0.81572853467059414</v>
      </c>
      <c r="C36">
        <f t="shared" si="4"/>
        <v>6.5422710717254597</v>
      </c>
      <c r="D36">
        <f t="shared" si="2"/>
        <v>6.5422710717254598E-2</v>
      </c>
      <c r="E36">
        <f t="shared" si="5"/>
        <v>4.4814556841319401E-2</v>
      </c>
      <c r="F36" t="s">
        <v>165</v>
      </c>
    </row>
    <row r="37" spans="1:6" x14ac:dyDescent="0.25">
      <c r="A37">
        <v>1.4</v>
      </c>
      <c r="B37">
        <f t="shared" si="6"/>
        <v>0.88019445546351083</v>
      </c>
      <c r="C37">
        <f t="shared" si="4"/>
        <v>7.5891730438048475</v>
      </c>
      <c r="D37">
        <f t="shared" si="2"/>
        <v>7.5891730438048477E-2</v>
      </c>
      <c r="E37">
        <f t="shared" si="5"/>
        <v>5.1985835350063209E-2</v>
      </c>
      <c r="F37" t="s">
        <v>165</v>
      </c>
    </row>
    <row r="38" spans="1:6" x14ac:dyDescent="0.25">
      <c r="A38">
        <v>1.5</v>
      </c>
      <c r="B38">
        <f t="shared" si="6"/>
        <v>0.94021079188852963</v>
      </c>
      <c r="C38">
        <f t="shared" si="4"/>
        <v>8.7138642890413216</v>
      </c>
      <c r="D38">
        <f t="shared" si="2"/>
        <v>8.7138642890413218E-2</v>
      </c>
      <c r="E38">
        <f t="shared" si="5"/>
        <v>5.9689970379933059E-2</v>
      </c>
      <c r="F38" t="s">
        <v>165</v>
      </c>
    </row>
    <row r="39" spans="1:6" x14ac:dyDescent="0.25">
      <c r="A39">
        <v>1.6</v>
      </c>
      <c r="B39">
        <f t="shared" si="6"/>
        <v>0.99635232525981743</v>
      </c>
      <c r="C39">
        <f t="shared" si="4"/>
        <v>9.9163609225943556</v>
      </c>
      <c r="D39">
        <f t="shared" si="2"/>
        <v>9.9163609225943555E-2</v>
      </c>
      <c r="E39">
        <f t="shared" si="5"/>
        <v>6.7927072319771339E-2</v>
      </c>
      <c r="F39" t="s">
        <v>165</v>
      </c>
    </row>
    <row r="40" spans="1:6" x14ac:dyDescent="0.25">
      <c r="A40">
        <v>1.7</v>
      </c>
      <c r="B40">
        <f t="shared" si="6"/>
        <v>1.0490891895206826</v>
      </c>
      <c r="C40">
        <f t="shared" si="4"/>
        <v>11.196678020713138</v>
      </c>
      <c r="D40">
        <f t="shared" si="2"/>
        <v>0.11196678020713138</v>
      </c>
      <c r="E40">
        <f t="shared" si="5"/>
        <v>7.6697244441884999E-2</v>
      </c>
      <c r="F40" t="s">
        <v>165</v>
      </c>
    </row>
    <row r="41" spans="1:6" x14ac:dyDescent="0.25">
      <c r="A41">
        <v>1.8</v>
      </c>
      <c r="B41">
        <f t="shared" si="6"/>
        <v>1.098810827721922</v>
      </c>
      <c r="C41">
        <f t="shared" si="4"/>
        <v>12.554829746859635</v>
      </c>
      <c r="D41">
        <f t="shared" si="2"/>
        <v>0.12554829746859633</v>
      </c>
      <c r="E41">
        <f t="shared" si="5"/>
        <v>8.60005837659885E-2</v>
      </c>
      <c r="F41" t="s">
        <v>165</v>
      </c>
    </row>
    <row r="42" spans="1:6" x14ac:dyDescent="0.25">
      <c r="A42">
        <v>1.9</v>
      </c>
      <c r="B42">
        <f t="shared" si="6"/>
        <v>1.1458434627085163</v>
      </c>
      <c r="C42">
        <f t="shared" si="4"/>
        <v>13.990829456152195</v>
      </c>
      <c r="D42">
        <f t="shared" si="2"/>
        <v>0.13990829456152196</v>
      </c>
      <c r="E42">
        <f t="shared" si="5"/>
        <v>9.5837181774642552E-2</v>
      </c>
      <c r="F42" t="s">
        <v>165</v>
      </c>
    </row>
    <row r="43" spans="1:6" x14ac:dyDescent="0.25">
      <c r="A43">
        <v>2</v>
      </c>
      <c r="B43">
        <f t="shared" si="6"/>
        <v>1.1904630813149544</v>
      </c>
      <c r="C43">
        <f t="shared" si="4"/>
        <v>15.504689782833587</v>
      </c>
      <c r="D43">
        <f t="shared" si="2"/>
        <v>0.15504689782833586</v>
      </c>
      <c r="E43">
        <f t="shared" si="5"/>
        <v>0.10620712501241007</v>
      </c>
      <c r="F43" t="s">
        <v>165</v>
      </c>
    </row>
    <row r="44" spans="1:6" x14ac:dyDescent="0.25">
      <c r="A44">
        <v>2.1</v>
      </c>
      <c r="B44">
        <f t="shared" si="6"/>
        <v>1.2329052473520403</v>
      </c>
      <c r="C44">
        <f t="shared" si="4"/>
        <v>17.09642271425616</v>
      </c>
      <c r="D44">
        <f t="shared" si="2"/>
        <v>0.1709642271425616</v>
      </c>
      <c r="E44">
        <f t="shared" si="5"/>
        <v>0.1171104955926547</v>
      </c>
      <c r="F44" t="s">
        <v>165</v>
      </c>
    </row>
    <row r="45" spans="1:6" x14ac:dyDescent="0.25">
      <c r="A45">
        <v>2.2000000000000002</v>
      </c>
      <c r="B45">
        <f t="shared" si="6"/>
        <v>1.2733726296868793</v>
      </c>
      <c r="C45">
        <f t="shared" si="4"/>
        <v>18.766039654021938</v>
      </c>
      <c r="D45">
        <f t="shared" si="2"/>
        <v>0.1876603965402194</v>
      </c>
      <c r="E45">
        <f t="shared" si="5"/>
        <v>0.12854737163005031</v>
      </c>
      <c r="F45" t="s">
        <v>165</v>
      </c>
    </row>
    <row r="46" spans="1:6" x14ac:dyDescent="0.25">
      <c r="A46">
        <v>2.2999999999999998</v>
      </c>
      <c r="B46">
        <f t="shared" si="6"/>
        <v>1.3120408555432386</v>
      </c>
      <c r="C46">
        <f t="shared" si="4"/>
        <v>20.513551476300051</v>
      </c>
      <c r="D46">
        <f t="shared" si="2"/>
        <v>0.20513551476300051</v>
      </c>
      <c r="E46">
        <f t="shared" si="5"/>
        <v>0.14051782761265535</v>
      </c>
      <c r="F46" t="s">
        <v>165</v>
      </c>
    </row>
    <row r="47" spans="1:6" x14ac:dyDescent="0.25">
      <c r="A47">
        <v>2.4</v>
      </c>
      <c r="B47">
        <f t="shared" si="6"/>
        <v>1.3490631171483469</v>
      </c>
      <c r="C47">
        <f t="shared" si="4"/>
        <v>22.338968572893137</v>
      </c>
      <c r="D47">
        <f t="shared" si="2"/>
        <v>0.22338968572893136</v>
      </c>
      <c r="E47">
        <f t="shared" si="5"/>
        <v>0.15302193472431799</v>
      </c>
      <c r="F47" t="s">
        <v>165</v>
      </c>
    </row>
    <row r="48" spans="1:6" x14ac:dyDescent="0.25">
      <c r="A48">
        <v>2.5</v>
      </c>
      <c r="B48">
        <f t="shared" si="6"/>
        <v>1.3845738373700915</v>
      </c>
      <c r="C48">
        <f t="shared" si="4"/>
        <v>24.242300894289272</v>
      </c>
      <c r="D48">
        <f t="shared" si="2"/>
        <v>0.24242300894289273</v>
      </c>
      <c r="E48">
        <f t="shared" si="5"/>
        <v>0.16605976112588153</v>
      </c>
      <c r="F48" t="s">
        <v>165</v>
      </c>
    </row>
    <row r="49" spans="1:6" x14ac:dyDescent="0.25">
      <c r="A49">
        <v>2.6</v>
      </c>
      <c r="B49">
        <f t="shared" si="6"/>
        <v>1.4186916159855485</v>
      </c>
      <c r="C49">
        <f t="shared" si="4"/>
        <v>26.223557985682799</v>
      </c>
      <c r="D49">
        <f t="shared" si="2"/>
        <v>0.26223557985682799</v>
      </c>
      <c r="E49">
        <f t="shared" si="5"/>
        <v>0.17963137220192718</v>
      </c>
      <c r="F49" t="s">
        <v>165</v>
      </c>
    </row>
    <row r="50" spans="1:6" x14ac:dyDescent="0.25">
      <c r="A50">
        <v>2.7</v>
      </c>
      <c r="B50">
        <f t="shared" si="6"/>
        <v>1.4515216196104519</v>
      </c>
      <c r="C50">
        <f t="shared" si="4"/>
        <v>28.282749018754568</v>
      </c>
      <c r="D50">
        <f t="shared" si="2"/>
        <v>0.28282749018754572</v>
      </c>
      <c r="E50">
        <f t="shared" si="5"/>
        <v>0.19373683077846884</v>
      </c>
      <c r="F50" t="s">
        <v>165</v>
      </c>
    </row>
    <row r="51" spans="1:6" x14ac:dyDescent="0.25">
      <c r="A51">
        <v>2.8</v>
      </c>
      <c r="B51">
        <f t="shared" si="6"/>
        <v>1.4831575367784651</v>
      </c>
      <c r="C51">
        <f t="shared" si="4"/>
        <v>30.419882819852166</v>
      </c>
      <c r="D51">
        <f t="shared" si="2"/>
        <v>0.30419882819852162</v>
      </c>
      <c r="E51">
        <f t="shared" si="5"/>
        <v>0.20837619731598733</v>
      </c>
      <c r="F51" t="s">
        <v>165</v>
      </c>
    </row>
    <row r="52" spans="1:6" x14ac:dyDescent="0.25">
      <c r="A52">
        <v>2.9</v>
      </c>
      <c r="B52">
        <f t="shared" si="6"/>
        <v>1.513683189791609</v>
      </c>
      <c r="C52">
        <f t="shared" si="4"/>
        <v>32.634967895094846</v>
      </c>
      <c r="D52">
        <f t="shared" si="2"/>
        <v>0.32634967895094846</v>
      </c>
      <c r="E52">
        <f t="shared" si="5"/>
        <v>0.22354953008139972</v>
      </c>
      <c r="F52" t="s">
        <v>165</v>
      </c>
    </row>
    <row r="53" spans="1:6" x14ac:dyDescent="0.25">
      <c r="A53">
        <v>3</v>
      </c>
      <c r="B53">
        <f t="shared" si="6"/>
        <v>1.5431738732034841</v>
      </c>
      <c r="C53">
        <f t="shared" si="4"/>
        <v>34.928012452834501</v>
      </c>
      <c r="D53">
        <f t="shared" si="2"/>
        <v>0.34928012452834506</v>
      </c>
      <c r="E53">
        <f t="shared" si="5"/>
        <v>0.23925688530191638</v>
      </c>
      <c r="F53" t="s">
        <v>165</v>
      </c>
    </row>
    <row r="54" spans="1:6" x14ac:dyDescent="0.25">
      <c r="A54">
        <v>0.5</v>
      </c>
      <c r="B54">
        <f>1.4567*LOG10(A54)+0.6988</f>
        <v>0.26028960531627854</v>
      </c>
      <c r="C54">
        <f t="shared" si="4"/>
        <v>1.8209147142186559</v>
      </c>
      <c r="D54">
        <f t="shared" si="2"/>
        <v>1.820914714218656E-2</v>
      </c>
      <c r="E54">
        <f t="shared" si="5"/>
        <v>1.2473265792397794E-2</v>
      </c>
      <c r="F54" t="s">
        <v>166</v>
      </c>
    </row>
    <row r="55" spans="1:6" x14ac:dyDescent="0.25">
      <c r="A55">
        <v>0.6</v>
      </c>
      <c r="B55">
        <f t="shared" ref="B55:B79" si="7">1.4567*LOG10(A55)+0.6988</f>
        <v>0.3756329264338536</v>
      </c>
      <c r="C55">
        <f t="shared" si="4"/>
        <v>2.3748321869035358</v>
      </c>
      <c r="D55">
        <f t="shared" si="2"/>
        <v>2.3748321869035357E-2</v>
      </c>
      <c r="E55">
        <f t="shared" si="5"/>
        <v>1.6267600480289222E-2</v>
      </c>
      <c r="F55" t="s">
        <v>166</v>
      </c>
    </row>
    <row r="56" spans="1:6" x14ac:dyDescent="0.25">
      <c r="A56">
        <v>0.7</v>
      </c>
      <c r="B56">
        <f t="shared" si="7"/>
        <v>0.47315431488876786</v>
      </c>
      <c r="C56">
        <f t="shared" si="4"/>
        <v>2.9727221211257282</v>
      </c>
      <c r="D56">
        <f t="shared" si="2"/>
        <v>2.9727221211257281E-2</v>
      </c>
      <c r="E56">
        <f t="shared" si="5"/>
        <v>2.0363146529711239E-2</v>
      </c>
      <c r="F56" t="s">
        <v>166</v>
      </c>
    </row>
    <row r="57" spans="1:6" x14ac:dyDescent="0.25">
      <c r="A57">
        <v>0.8</v>
      </c>
      <c r="B57">
        <f t="shared" si="7"/>
        <v>0.55763118405116419</v>
      </c>
      <c r="C57">
        <f t="shared" si="4"/>
        <v>3.6110307278973566</v>
      </c>
      <c r="D57">
        <f t="shared" si="2"/>
        <v>3.6110307278973568E-2</v>
      </c>
      <c r="E57">
        <f t="shared" si="5"/>
        <v>2.4735560486096896E-2</v>
      </c>
      <c r="F57" t="s">
        <v>166</v>
      </c>
    </row>
    <row r="58" spans="1:6" x14ac:dyDescent="0.25">
      <c r="A58">
        <v>0.9</v>
      </c>
      <c r="B58">
        <f t="shared" si="7"/>
        <v>0.63214506350026456</v>
      </c>
      <c r="C58">
        <f t="shared" si="4"/>
        <v>4.2869168853484494</v>
      </c>
      <c r="D58">
        <f t="shared" si="2"/>
        <v>4.2869168853484491E-2</v>
      </c>
      <c r="E58">
        <f t="shared" si="5"/>
        <v>2.9365380664636877E-2</v>
      </c>
      <c r="F58" t="s">
        <v>166</v>
      </c>
    </row>
    <row r="59" spans="1:6" x14ac:dyDescent="0.25">
      <c r="A59">
        <v>1</v>
      </c>
      <c r="B59">
        <f t="shared" si="7"/>
        <v>0.69879999999999998</v>
      </c>
      <c r="C59">
        <f t="shared" si="4"/>
        <v>4.9980431357823925</v>
      </c>
      <c r="D59">
        <f t="shared" si="2"/>
        <v>4.9980431357823922E-2</v>
      </c>
      <c r="E59">
        <f t="shared" si="5"/>
        <v>3.4236595480109391E-2</v>
      </c>
      <c r="F59" t="s">
        <v>166</v>
      </c>
    </row>
    <row r="60" spans="1:6" x14ac:dyDescent="0.25">
      <c r="A60">
        <v>1.1000000000000001</v>
      </c>
      <c r="B60">
        <f t="shared" si="7"/>
        <v>0.75909672446998644</v>
      </c>
      <c r="C60">
        <f t="shared" si="4"/>
        <v>5.7424434155448303</v>
      </c>
      <c r="D60">
        <f t="shared" si="2"/>
        <v>5.7424434155448303E-2</v>
      </c>
      <c r="E60">
        <f t="shared" si="5"/>
        <v>3.9335737396482093E-2</v>
      </c>
      <c r="F60" t="s">
        <v>166</v>
      </c>
    </row>
    <row r="61" spans="1:6" x14ac:dyDescent="0.25">
      <c r="A61">
        <v>1.2</v>
      </c>
      <c r="B61">
        <f t="shared" si="7"/>
        <v>0.81414332111757504</v>
      </c>
      <c r="C61">
        <f t="shared" si="4"/>
        <v>6.518434728274161</v>
      </c>
      <c r="D61">
        <f t="shared" si="2"/>
        <v>6.5184347282741598E-2</v>
      </c>
      <c r="E61">
        <f t="shared" si="5"/>
        <v>4.4651277888677995E-2</v>
      </c>
      <c r="F61" t="s">
        <v>166</v>
      </c>
    </row>
    <row r="62" spans="1:6" x14ac:dyDescent="0.25">
      <c r="A62">
        <v>1.3</v>
      </c>
      <c r="B62">
        <f t="shared" si="7"/>
        <v>0.86478128130536913</v>
      </c>
      <c r="C62">
        <f t="shared" si="4"/>
        <v>7.3245556213387513</v>
      </c>
      <c r="D62">
        <f t="shared" si="2"/>
        <v>7.3245556213387519E-2</v>
      </c>
      <c r="E62">
        <f t="shared" si="5"/>
        <v>5.0173206006170458E-2</v>
      </c>
      <c r="F62" t="s">
        <v>166</v>
      </c>
    </row>
    <row r="63" spans="1:6" x14ac:dyDescent="0.25">
      <c r="A63">
        <v>1.4</v>
      </c>
      <c r="B63">
        <f t="shared" si="7"/>
        <v>0.91166470957248924</v>
      </c>
      <c r="C63">
        <f t="shared" si="4"/>
        <v>8.1595218469396116</v>
      </c>
      <c r="D63">
        <f t="shared" si="2"/>
        <v>8.1595218469396116E-2</v>
      </c>
      <c r="E63">
        <f t="shared" si="5"/>
        <v>5.5892724651536344E-2</v>
      </c>
      <c r="F63" t="s">
        <v>166</v>
      </c>
    </row>
    <row r="64" spans="1:6" x14ac:dyDescent="0.25">
      <c r="A64">
        <v>1.5</v>
      </c>
      <c r="B64">
        <f t="shared" si="7"/>
        <v>0.95531213706641083</v>
      </c>
      <c r="C64">
        <f t="shared" si="4"/>
        <v>9.0221934967212754</v>
      </c>
      <c r="D64">
        <f t="shared" si="2"/>
        <v>9.0221934967212758E-2</v>
      </c>
      <c r="E64">
        <f t="shared" si="5"/>
        <v>6.1802025452540744E-2</v>
      </c>
      <c r="F64" t="s">
        <v>166</v>
      </c>
    </row>
    <row r="65" spans="1:6" x14ac:dyDescent="0.25">
      <c r="A65">
        <v>1.6</v>
      </c>
      <c r="B65">
        <f t="shared" si="7"/>
        <v>0.99614157873488562</v>
      </c>
      <c r="C65">
        <f t="shared" si="4"/>
        <v>9.9115500587357346</v>
      </c>
      <c r="D65">
        <f t="shared" si="2"/>
        <v>9.9115500587357352E-2</v>
      </c>
      <c r="E65">
        <f t="shared" si="5"/>
        <v>6.789411790233979E-2</v>
      </c>
      <c r="F65" t="s">
        <v>166</v>
      </c>
    </row>
    <row r="66" spans="1:6" x14ac:dyDescent="0.25">
      <c r="A66">
        <v>1.7</v>
      </c>
      <c r="B66">
        <f t="shared" si="7"/>
        <v>1.0344949437717317</v>
      </c>
      <c r="C66">
        <f t="shared" si="4"/>
        <v>10.826671102148669</v>
      </c>
      <c r="D66">
        <f t="shared" si="2"/>
        <v>0.10826671102148669</v>
      </c>
      <c r="E66">
        <f t="shared" si="5"/>
        <v>7.4162697049718382E-2</v>
      </c>
      <c r="F66" t="s">
        <v>166</v>
      </c>
    </row>
    <row r="67" spans="1:6" x14ac:dyDescent="0.25">
      <c r="A67">
        <v>1.8</v>
      </c>
      <c r="B67">
        <f t="shared" si="7"/>
        <v>1.070655458183986</v>
      </c>
      <c r="C67">
        <f t="shared" si="4"/>
        <v>11.766721057926821</v>
      </c>
      <c r="D67">
        <f t="shared" ref="D67:D79" si="8">(C67/100000)*1000</f>
        <v>0.11766721057926821</v>
      </c>
      <c r="E67">
        <f t="shared" si="5"/>
        <v>8.0602039246798735E-2</v>
      </c>
      <c r="F67" t="s">
        <v>166</v>
      </c>
    </row>
    <row r="68" spans="1:6" x14ac:dyDescent="0.25">
      <c r="A68">
        <v>1.9</v>
      </c>
      <c r="B68">
        <f t="shared" si="7"/>
        <v>1.104860370507986</v>
      </c>
      <c r="C68">
        <f t="shared" si="4"/>
        <v>12.730937043986462</v>
      </c>
      <c r="D68">
        <f t="shared" si="8"/>
        <v>0.12730937043986462</v>
      </c>
      <c r="E68">
        <f t="shared" si="5"/>
        <v>8.7206918751307275E-2</v>
      </c>
      <c r="F68" t="s">
        <v>166</v>
      </c>
    </row>
    <row r="69" spans="1:6" x14ac:dyDescent="0.25">
      <c r="A69">
        <v>2</v>
      </c>
      <c r="B69">
        <f t="shared" si="7"/>
        <v>1.1373103946837215</v>
      </c>
      <c r="C69">
        <f t="shared" si="4"/>
        <v>13.71861899521223</v>
      </c>
      <c r="D69">
        <f t="shared" si="8"/>
        <v>0.13718618995212231</v>
      </c>
      <c r="E69">
        <f t="shared" si="5"/>
        <v>9.3972540117203796E-2</v>
      </c>
      <c r="F69" t="s">
        <v>166</v>
      </c>
    </row>
    <row r="70" spans="1:6" x14ac:dyDescent="0.25">
      <c r="A70">
        <v>2.1</v>
      </c>
      <c r="B70">
        <f t="shared" si="7"/>
        <v>1.1681768466389002</v>
      </c>
      <c r="C70">
        <f t="shared" si="4"/>
        <v>14.729121566952985</v>
      </c>
      <c r="D70">
        <f t="shared" si="8"/>
        <v>0.14729121566952985</v>
      </c>
      <c r="E70">
        <f t="shared" si="5"/>
        <v>0.10089448273362796</v>
      </c>
      <c r="F70" t="s">
        <v>166</v>
      </c>
    </row>
    <row r="71" spans="1:6" x14ac:dyDescent="0.25">
      <c r="A71">
        <v>2.2000000000000002</v>
      </c>
      <c r="B71">
        <f t="shared" si="7"/>
        <v>1.1976071191537079</v>
      </c>
      <c r="C71">
        <f t="shared" si="4"/>
        <v>15.761847422930002</v>
      </c>
      <c r="D71">
        <f t="shared" si="8"/>
        <v>0.15761847422930003</v>
      </c>
      <c r="E71">
        <f t="shared" si="5"/>
        <v>0.10796865484707054</v>
      </c>
      <c r="F71" t="s">
        <v>166</v>
      </c>
    </row>
    <row r="72" spans="1:6" x14ac:dyDescent="0.25">
      <c r="A72">
        <v>2.2999999999999998</v>
      </c>
      <c r="B72">
        <f t="shared" si="7"/>
        <v>1.2257289387268275</v>
      </c>
      <c r="C72">
        <f t="shared" si="4"/>
        <v>16.816241617878202</v>
      </c>
      <c r="D72">
        <f t="shared" si="8"/>
        <v>0.16816241617878203</v>
      </c>
      <c r="E72">
        <f t="shared" si="5"/>
        <v>0.11519125508246569</v>
      </c>
      <c r="F72" t="s">
        <v>166</v>
      </c>
    </row>
    <row r="73" spans="1:6" x14ac:dyDescent="0.25">
      <c r="A73">
        <v>2.4</v>
      </c>
      <c r="B73">
        <f t="shared" si="7"/>
        <v>1.2526537158012965</v>
      </c>
      <c r="C73">
        <f t="shared" si="4"/>
        <v>17.891786855968089</v>
      </c>
      <c r="D73">
        <f t="shared" si="8"/>
        <v>0.17891786855968089</v>
      </c>
      <c r="E73">
        <f t="shared" si="5"/>
        <v>0.12255873996338142</v>
      </c>
      <c r="F73" t="s">
        <v>166</v>
      </c>
    </row>
    <row r="74" spans="1:6" x14ac:dyDescent="0.25">
      <c r="A74">
        <v>2.5</v>
      </c>
      <c r="B74">
        <f t="shared" si="7"/>
        <v>1.2784792106325571</v>
      </c>
      <c r="C74">
        <f t="shared" si="4"/>
        <v>18.987999457251746</v>
      </c>
      <c r="D74">
        <f t="shared" si="8"/>
        <v>0.18987999457251747</v>
      </c>
      <c r="E74">
        <f t="shared" si="5"/>
        <v>0.13006779628217449</v>
      </c>
      <c r="F74" t="s">
        <v>166</v>
      </c>
    </row>
    <row r="75" spans="1:6" x14ac:dyDescent="0.25">
      <c r="A75">
        <v>2.6</v>
      </c>
      <c r="B75">
        <f t="shared" si="7"/>
        <v>1.3032916759890907</v>
      </c>
      <c r="C75">
        <f t="shared" si="4"/>
        <v>20.10442590200989</v>
      </c>
      <c r="D75">
        <f t="shared" si="8"/>
        <v>0.2010442590200989</v>
      </c>
      <c r="E75">
        <f t="shared" si="5"/>
        <v>0.13771531742876775</v>
      </c>
      <c r="F75" t="s">
        <v>166</v>
      </c>
    </row>
    <row r="76" spans="1:6" x14ac:dyDescent="0.25">
      <c r="A76">
        <v>2.7</v>
      </c>
      <c r="B76">
        <f t="shared" si="7"/>
        <v>1.327167595250397</v>
      </c>
      <c r="C76">
        <f t="shared" si="4"/>
        <v>21.240639850928815</v>
      </c>
      <c r="D76">
        <f t="shared" si="8"/>
        <v>0.21240639850928814</v>
      </c>
      <c r="E76">
        <f t="shared" si="5"/>
        <v>0.14549838297886239</v>
      </c>
      <c r="F76" t="s">
        <v>166</v>
      </c>
    </row>
    <row r="77" spans="1:6" x14ac:dyDescent="0.25">
      <c r="A77">
        <v>2.8</v>
      </c>
      <c r="B77">
        <f t="shared" si="7"/>
        <v>1.3501751042562109</v>
      </c>
      <c r="C77">
        <f t="shared" si="4"/>
        <v>22.396239560215854</v>
      </c>
      <c r="D77">
        <f t="shared" si="8"/>
        <v>0.22396239560215853</v>
      </c>
      <c r="E77">
        <f t="shared" si="5"/>
        <v>0.15341424098747861</v>
      </c>
      <c r="F77" t="s">
        <v>166</v>
      </c>
    </row>
    <row r="78" spans="1:6" x14ac:dyDescent="0.25">
      <c r="A78">
        <v>2.9</v>
      </c>
      <c r="B78">
        <f t="shared" si="7"/>
        <v>1.3723751635394095</v>
      </c>
      <c r="C78">
        <f t="shared" si="4"/>
        <v>23.570845626939096</v>
      </c>
      <c r="D78">
        <f t="shared" si="8"/>
        <v>0.23570845626939096</v>
      </c>
      <c r="E78">
        <f t="shared" si="5"/>
        <v>0.16146029254453281</v>
      </c>
      <c r="F78" t="s">
        <v>166</v>
      </c>
    </row>
    <row r="79" spans="1:6" x14ac:dyDescent="0.25">
      <c r="A79">
        <v>3</v>
      </c>
      <c r="B79">
        <f t="shared" si="7"/>
        <v>1.3938225317501323</v>
      </c>
      <c r="C79">
        <f t="shared" si="4"/>
        <v>24.764099012367868</v>
      </c>
      <c r="D79">
        <f t="shared" si="8"/>
        <v>0.24764099012367866</v>
      </c>
      <c r="E79">
        <f t="shared" si="5"/>
        <v>0.1696340782347199</v>
      </c>
      <c r="F79" t="s">
        <v>166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05246-93D0-46A1-9128-8E96203739DB}">
  <dimension ref="A1:H29"/>
  <sheetViews>
    <sheetView workbookViewId="0">
      <selection activeCell="A2" sqref="A2:A27"/>
    </sheetView>
  </sheetViews>
  <sheetFormatPr defaultRowHeight="15" x14ac:dyDescent="0.25"/>
  <sheetData>
    <row r="1" spans="1:8" x14ac:dyDescent="0.25">
      <c r="A1" t="s">
        <v>146</v>
      </c>
      <c r="B1" t="s">
        <v>147</v>
      </c>
      <c r="C1" t="s">
        <v>33</v>
      </c>
      <c r="D1" t="s">
        <v>34</v>
      </c>
      <c r="E1" t="s">
        <v>35</v>
      </c>
      <c r="F1" t="s">
        <v>36</v>
      </c>
      <c r="G1" t="s">
        <v>18</v>
      </c>
      <c r="H1" t="s">
        <v>68</v>
      </c>
    </row>
    <row r="2" spans="1:8" x14ac:dyDescent="0.25">
      <c r="A2">
        <v>0.6</v>
      </c>
      <c r="B2">
        <f>A2+(A2/100*28)</f>
        <v>0.76800000000000002</v>
      </c>
      <c r="C2">
        <f t="shared" ref="C2:C29" si="0">-2.978+2.68*LOG10(A2)</f>
        <v>-3.5725546489718356</v>
      </c>
      <c r="D2">
        <f>10^C2</f>
        <v>2.6757488720771829E-4</v>
      </c>
      <c r="E2">
        <f>D2*1000</f>
        <v>0.26757488720771827</v>
      </c>
      <c r="F2">
        <f>E2*0.165</f>
        <v>4.4149856389273517E-2</v>
      </c>
      <c r="G2" t="s">
        <v>145</v>
      </c>
      <c r="H2" t="s">
        <v>142</v>
      </c>
    </row>
    <row r="3" spans="1:8" x14ac:dyDescent="0.25">
      <c r="A3">
        <v>0.7</v>
      </c>
      <c r="B3">
        <f t="shared" ref="B3:B29" si="1">A3+(A3/100*28)</f>
        <v>0.89599999999999991</v>
      </c>
      <c r="C3">
        <f t="shared" si="0"/>
        <v>-3.3931372527617918</v>
      </c>
      <c r="D3">
        <f t="shared" ref="D3:D29" si="2">10^C3</f>
        <v>4.0444805128703762E-4</v>
      </c>
      <c r="E3">
        <f t="shared" ref="E3:E29" si="3">D3*1000</f>
        <v>0.40444805128703765</v>
      </c>
      <c r="F3">
        <f t="shared" ref="F3:F29" si="4">E3*0.165</f>
        <v>6.6733928462361217E-2</v>
      </c>
      <c r="G3" t="s">
        <v>145</v>
      </c>
      <c r="H3" t="s">
        <v>142</v>
      </c>
    </row>
    <row r="4" spans="1:8" x14ac:dyDescent="0.25">
      <c r="A4">
        <v>0.8</v>
      </c>
      <c r="B4">
        <f t="shared" si="1"/>
        <v>1.024</v>
      </c>
      <c r="C4">
        <f t="shared" si="0"/>
        <v>-3.2377188348615915</v>
      </c>
      <c r="D4">
        <f t="shared" si="2"/>
        <v>5.7847043181123042E-4</v>
      </c>
      <c r="E4">
        <f t="shared" si="3"/>
        <v>0.57847043181123037</v>
      </c>
      <c r="F4">
        <f t="shared" si="4"/>
        <v>9.5447621248853018E-2</v>
      </c>
      <c r="G4" t="s">
        <v>145</v>
      </c>
      <c r="H4" t="s">
        <v>142</v>
      </c>
    </row>
    <row r="5" spans="1:8" x14ac:dyDescent="0.25">
      <c r="A5">
        <v>0.9</v>
      </c>
      <c r="B5">
        <f t="shared" si="1"/>
        <v>1.1520000000000001</v>
      </c>
      <c r="C5">
        <f t="shared" si="0"/>
        <v>-3.1006300747026097</v>
      </c>
      <c r="D5">
        <f t="shared" si="2"/>
        <v>7.9317665838650453E-4</v>
      </c>
      <c r="E5">
        <f t="shared" si="3"/>
        <v>0.79317665838650453</v>
      </c>
      <c r="F5">
        <f t="shared" si="4"/>
        <v>0.13087414863377325</v>
      </c>
      <c r="G5" t="s">
        <v>145</v>
      </c>
      <c r="H5" t="s">
        <v>142</v>
      </c>
    </row>
    <row r="6" spans="1:8" x14ac:dyDescent="0.25">
      <c r="A6">
        <v>1</v>
      </c>
      <c r="B6">
        <f t="shared" si="1"/>
        <v>1.28</v>
      </c>
      <c r="C6">
        <f t="shared" si="0"/>
        <v>-2.9780000000000002</v>
      </c>
      <c r="D6">
        <f t="shared" si="2"/>
        <v>1.0519618738232216E-3</v>
      </c>
      <c r="E6">
        <f t="shared" si="3"/>
        <v>1.0519618738232215</v>
      </c>
      <c r="F6">
        <f t="shared" si="4"/>
        <v>0.17357370918083156</v>
      </c>
      <c r="G6" t="s">
        <v>145</v>
      </c>
      <c r="H6" t="s">
        <v>142</v>
      </c>
    </row>
    <row r="7" spans="1:8" x14ac:dyDescent="0.25">
      <c r="A7">
        <v>1.1000000000000001</v>
      </c>
      <c r="B7">
        <f t="shared" si="1"/>
        <v>1.4080000000000001</v>
      </c>
      <c r="C7">
        <f t="shared" si="0"/>
        <v>-2.8670676037759568</v>
      </c>
      <c r="D7">
        <f t="shared" si="2"/>
        <v>1.3581020232901592E-3</v>
      </c>
      <c r="E7">
        <f t="shared" si="3"/>
        <v>1.3581020232901593</v>
      </c>
      <c r="F7">
        <f t="shared" si="4"/>
        <v>0.22408683384287628</v>
      </c>
      <c r="G7" t="s">
        <v>145</v>
      </c>
      <c r="H7" t="s">
        <v>142</v>
      </c>
    </row>
    <row r="8" spans="1:8" x14ac:dyDescent="0.25">
      <c r="A8">
        <v>1.2</v>
      </c>
      <c r="B8">
        <f t="shared" si="1"/>
        <v>1.536</v>
      </c>
      <c r="C8">
        <f t="shared" si="0"/>
        <v>-2.7657942605923655</v>
      </c>
      <c r="D8">
        <f t="shared" si="2"/>
        <v>1.7147694571323546E-3</v>
      </c>
      <c r="E8">
        <f t="shared" si="3"/>
        <v>1.7147694571323546</v>
      </c>
      <c r="F8">
        <f t="shared" si="4"/>
        <v>0.28293696042683852</v>
      </c>
      <c r="G8" t="s">
        <v>145</v>
      </c>
      <c r="H8" t="s">
        <v>142</v>
      </c>
    </row>
    <row r="9" spans="1:8" x14ac:dyDescent="0.25">
      <c r="A9">
        <v>1.3</v>
      </c>
      <c r="B9">
        <f t="shared" si="1"/>
        <v>1.6640000000000001</v>
      </c>
      <c r="C9">
        <f t="shared" si="0"/>
        <v>-2.6726318158176774</v>
      </c>
      <c r="D9">
        <f t="shared" si="2"/>
        <v>2.125045259672003E-3</v>
      </c>
      <c r="E9">
        <f t="shared" si="3"/>
        <v>2.1250452596720031</v>
      </c>
      <c r="F9">
        <f t="shared" si="4"/>
        <v>0.35063246784588054</v>
      </c>
      <c r="G9" t="s">
        <v>145</v>
      </c>
      <c r="H9" t="s">
        <v>142</v>
      </c>
    </row>
    <row r="10" spans="1:8" x14ac:dyDescent="0.25">
      <c r="A10">
        <v>1.4</v>
      </c>
      <c r="B10">
        <f t="shared" si="1"/>
        <v>1.7919999999999998</v>
      </c>
      <c r="C10">
        <f t="shared" si="0"/>
        <v>-2.5863768643823222</v>
      </c>
      <c r="D10">
        <f t="shared" si="2"/>
        <v>2.5919292074869488E-3</v>
      </c>
      <c r="E10">
        <f t="shared" si="3"/>
        <v>2.5919292074869489</v>
      </c>
      <c r="F10">
        <f t="shared" si="4"/>
        <v>0.42766831923534659</v>
      </c>
      <c r="G10" t="s">
        <v>145</v>
      </c>
      <c r="H10" t="s">
        <v>142</v>
      </c>
    </row>
    <row r="11" spans="1:8" x14ac:dyDescent="0.25">
      <c r="A11">
        <v>1.5</v>
      </c>
      <c r="B11">
        <f t="shared" si="1"/>
        <v>1.92</v>
      </c>
      <c r="C11">
        <f t="shared" si="0"/>
        <v>-2.5060754257307742</v>
      </c>
      <c r="D11">
        <f t="shared" si="2"/>
        <v>3.1183479605893312E-3</v>
      </c>
      <c r="E11">
        <f t="shared" si="3"/>
        <v>3.1183479605893312</v>
      </c>
      <c r="F11">
        <f t="shared" si="4"/>
        <v>0.51452741349723963</v>
      </c>
      <c r="G11" t="s">
        <v>145</v>
      </c>
      <c r="H11" t="s">
        <v>142</v>
      </c>
    </row>
    <row r="12" spans="1:8" x14ac:dyDescent="0.25">
      <c r="A12">
        <v>1.6</v>
      </c>
      <c r="B12">
        <f t="shared" si="1"/>
        <v>2.048</v>
      </c>
      <c r="C12">
        <f t="shared" si="0"/>
        <v>-2.4309584464821219</v>
      </c>
      <c r="D12">
        <f t="shared" si="2"/>
        <v>3.7071619040019042E-3</v>
      </c>
      <c r="E12">
        <f t="shared" si="3"/>
        <v>3.7071619040019042</v>
      </c>
      <c r="F12">
        <f t="shared" si="4"/>
        <v>0.61168171416031425</v>
      </c>
      <c r="G12" t="s">
        <v>145</v>
      </c>
      <c r="H12" t="s">
        <v>142</v>
      </c>
    </row>
    <row r="13" spans="1:8" x14ac:dyDescent="0.25">
      <c r="A13">
        <v>1.7</v>
      </c>
      <c r="B13">
        <f t="shared" si="1"/>
        <v>2.1760000000000002</v>
      </c>
      <c r="C13">
        <f t="shared" si="0"/>
        <v>-2.3603968907062258</v>
      </c>
      <c r="D13">
        <f t="shared" si="2"/>
        <v>4.3611709372449303E-3</v>
      </c>
      <c r="E13">
        <f t="shared" si="3"/>
        <v>4.3611709372449301</v>
      </c>
      <c r="F13">
        <f t="shared" si="4"/>
        <v>0.71959320464541354</v>
      </c>
      <c r="G13" t="s">
        <v>145</v>
      </c>
      <c r="H13" t="s">
        <v>142</v>
      </c>
    </row>
    <row r="14" spans="1:8" x14ac:dyDescent="0.25">
      <c r="A14">
        <v>1.8</v>
      </c>
      <c r="B14">
        <f t="shared" si="1"/>
        <v>2.3040000000000003</v>
      </c>
      <c r="C14">
        <f t="shared" si="0"/>
        <v>-2.29386968632314</v>
      </c>
      <c r="D14">
        <f t="shared" si="2"/>
        <v>5.0831194291249843E-3</v>
      </c>
      <c r="E14">
        <f t="shared" si="3"/>
        <v>5.0831194291249844</v>
      </c>
      <c r="F14">
        <f t="shared" si="4"/>
        <v>0.83871470580562246</v>
      </c>
      <c r="G14" t="s">
        <v>145</v>
      </c>
      <c r="H14" t="s">
        <v>142</v>
      </c>
    </row>
    <row r="15" spans="1:8" x14ac:dyDescent="0.25">
      <c r="A15">
        <v>1.9</v>
      </c>
      <c r="B15">
        <f t="shared" si="1"/>
        <v>2.4319999999999999</v>
      </c>
      <c r="C15">
        <f t="shared" si="0"/>
        <v>-2.2309403494464188</v>
      </c>
      <c r="D15">
        <f t="shared" si="2"/>
        <v>5.8757005001346899E-3</v>
      </c>
      <c r="E15">
        <f t="shared" si="3"/>
        <v>5.8757005001346903</v>
      </c>
      <c r="F15">
        <f t="shared" si="4"/>
        <v>0.96949058252222398</v>
      </c>
      <c r="G15" t="s">
        <v>145</v>
      </c>
      <c r="H15" t="s">
        <v>142</v>
      </c>
    </row>
    <row r="16" spans="1:8" x14ac:dyDescent="0.25">
      <c r="A16">
        <v>2</v>
      </c>
      <c r="B16">
        <f t="shared" si="1"/>
        <v>2.56</v>
      </c>
      <c r="C16">
        <f t="shared" si="0"/>
        <v>-2.1712396116205306</v>
      </c>
      <c r="D16">
        <f t="shared" si="2"/>
        <v>6.7415597559401458E-3</v>
      </c>
      <c r="E16">
        <f t="shared" si="3"/>
        <v>6.7415597559401457</v>
      </c>
      <c r="F16">
        <f t="shared" si="4"/>
        <v>1.1123573597301242</v>
      </c>
      <c r="G16" t="s">
        <v>145</v>
      </c>
      <c r="H16" t="s">
        <v>142</v>
      </c>
    </row>
    <row r="17" spans="1:8" x14ac:dyDescent="0.25">
      <c r="A17">
        <v>3</v>
      </c>
      <c r="B17">
        <f t="shared" si="1"/>
        <v>3.84</v>
      </c>
      <c r="C17">
        <f t="shared" si="0"/>
        <v>-1.6993150373513048</v>
      </c>
      <c r="D17">
        <f t="shared" si="2"/>
        <v>1.9984116952569134E-2</v>
      </c>
      <c r="E17">
        <f t="shared" si="3"/>
        <v>19.984116952569135</v>
      </c>
      <c r="F17">
        <f t="shared" si="4"/>
        <v>3.2973792971739075</v>
      </c>
      <c r="G17" t="s">
        <v>145</v>
      </c>
      <c r="H17" t="s">
        <v>142</v>
      </c>
    </row>
    <row r="18" spans="1:8" x14ac:dyDescent="0.25">
      <c r="A18">
        <v>4</v>
      </c>
      <c r="B18">
        <f t="shared" si="1"/>
        <v>5.12</v>
      </c>
      <c r="C18">
        <f t="shared" si="0"/>
        <v>-1.364479223241061</v>
      </c>
      <c r="D18">
        <f t="shared" si="2"/>
        <v>4.3203683587632762E-2</v>
      </c>
      <c r="E18">
        <f t="shared" si="3"/>
        <v>43.20368358763276</v>
      </c>
      <c r="F18">
        <f t="shared" si="4"/>
        <v>7.1286077919594053</v>
      </c>
      <c r="G18" t="s">
        <v>145</v>
      </c>
      <c r="H18" t="s">
        <v>142</v>
      </c>
    </row>
    <row r="19" spans="1:8" x14ac:dyDescent="0.25">
      <c r="A19">
        <v>5</v>
      </c>
      <c r="B19">
        <f t="shared" si="1"/>
        <v>6.4</v>
      </c>
      <c r="C19">
        <f t="shared" si="0"/>
        <v>-1.1047603883794697</v>
      </c>
      <c r="D19">
        <f t="shared" si="2"/>
        <v>7.8566898917562591E-2</v>
      </c>
      <c r="E19">
        <f t="shared" si="3"/>
        <v>78.566898917562597</v>
      </c>
      <c r="F19">
        <f t="shared" si="4"/>
        <v>12.963538321397829</v>
      </c>
      <c r="G19" t="s">
        <v>145</v>
      </c>
      <c r="H19" t="s">
        <v>142</v>
      </c>
    </row>
    <row r="20" spans="1:8" x14ac:dyDescent="0.25">
      <c r="A20">
        <v>6</v>
      </c>
      <c r="B20">
        <f t="shared" si="1"/>
        <v>7.68</v>
      </c>
      <c r="C20">
        <f t="shared" si="0"/>
        <v>-0.89255464897183501</v>
      </c>
      <c r="D20">
        <f t="shared" si="2"/>
        <v>0.1280693929674501</v>
      </c>
      <c r="E20">
        <f t="shared" si="3"/>
        <v>128.06939296745009</v>
      </c>
      <c r="F20">
        <f t="shared" si="4"/>
        <v>21.131449839629266</v>
      </c>
      <c r="G20" t="s">
        <v>145</v>
      </c>
      <c r="H20" t="s">
        <v>142</v>
      </c>
    </row>
    <row r="21" spans="1:8" x14ac:dyDescent="0.25">
      <c r="A21">
        <v>7</v>
      </c>
      <c r="B21">
        <f t="shared" si="1"/>
        <v>8.9600000000000009</v>
      </c>
      <c r="C21">
        <f t="shared" si="0"/>
        <v>-0.71313725276179163</v>
      </c>
      <c r="D21">
        <f t="shared" si="2"/>
        <v>0.19358100812722615</v>
      </c>
      <c r="E21">
        <f t="shared" si="3"/>
        <v>193.58100812722614</v>
      </c>
      <c r="F21">
        <f t="shared" si="4"/>
        <v>31.940866340992315</v>
      </c>
      <c r="G21" t="s">
        <v>145</v>
      </c>
      <c r="H21" t="s">
        <v>142</v>
      </c>
    </row>
    <row r="22" spans="1:8" x14ac:dyDescent="0.25">
      <c r="A22">
        <v>8</v>
      </c>
      <c r="B22">
        <f t="shared" si="1"/>
        <v>10.24</v>
      </c>
      <c r="C22">
        <f t="shared" si="0"/>
        <v>-0.55771883486159135</v>
      </c>
      <c r="D22">
        <f t="shared" si="2"/>
        <v>0.27687335618372588</v>
      </c>
      <c r="E22">
        <f t="shared" si="3"/>
        <v>276.87335618372589</v>
      </c>
      <c r="F22">
        <f t="shared" si="4"/>
        <v>45.684103770314771</v>
      </c>
      <c r="G22" t="s">
        <v>145</v>
      </c>
      <c r="H22" t="s">
        <v>142</v>
      </c>
    </row>
    <row r="23" spans="1:8" x14ac:dyDescent="0.25">
      <c r="A23">
        <v>9</v>
      </c>
      <c r="B23">
        <f t="shared" si="1"/>
        <v>11.52</v>
      </c>
      <c r="C23">
        <f t="shared" si="0"/>
        <v>-0.42063007470260949</v>
      </c>
      <c r="D23">
        <f t="shared" si="2"/>
        <v>0.37963821723169494</v>
      </c>
      <c r="E23">
        <f t="shared" si="3"/>
        <v>379.63821723169497</v>
      </c>
      <c r="F23">
        <f t="shared" si="4"/>
        <v>62.640305843229669</v>
      </c>
      <c r="G23" t="s">
        <v>145</v>
      </c>
      <c r="H23" t="s">
        <v>142</v>
      </c>
    </row>
    <row r="24" spans="1:8" x14ac:dyDescent="0.25">
      <c r="A24">
        <v>10</v>
      </c>
      <c r="B24">
        <f t="shared" si="1"/>
        <v>12.8</v>
      </c>
      <c r="C24">
        <f t="shared" si="0"/>
        <v>-0.29800000000000004</v>
      </c>
      <c r="D24">
        <f t="shared" si="2"/>
        <v>0.5035006087879047</v>
      </c>
      <c r="E24">
        <f t="shared" si="3"/>
        <v>503.5006087879047</v>
      </c>
      <c r="F24">
        <f t="shared" si="4"/>
        <v>83.077600450004283</v>
      </c>
      <c r="G24" t="s">
        <v>145</v>
      </c>
      <c r="H24" t="s">
        <v>142</v>
      </c>
    </row>
    <row r="25" spans="1:8" x14ac:dyDescent="0.25">
      <c r="A25">
        <v>11</v>
      </c>
      <c r="B25">
        <f t="shared" si="1"/>
        <v>14.08</v>
      </c>
      <c r="C25">
        <f t="shared" si="0"/>
        <v>-0.18706760377595666</v>
      </c>
      <c r="D25">
        <f t="shared" si="2"/>
        <v>0.65002849679093155</v>
      </c>
      <c r="E25">
        <f t="shared" si="3"/>
        <v>650.02849679093151</v>
      </c>
      <c r="F25">
        <f t="shared" si="4"/>
        <v>107.2547019705037</v>
      </c>
      <c r="G25" t="s">
        <v>145</v>
      </c>
      <c r="H25" t="s">
        <v>142</v>
      </c>
    </row>
    <row r="26" spans="1:8" x14ac:dyDescent="0.25">
      <c r="A26">
        <v>12</v>
      </c>
      <c r="B26">
        <f t="shared" si="1"/>
        <v>15.36</v>
      </c>
      <c r="C26">
        <f t="shared" si="0"/>
        <v>-8.579426059236539E-2</v>
      </c>
      <c r="D26">
        <f t="shared" si="2"/>
        <v>0.82074026357929974</v>
      </c>
      <c r="E26">
        <f t="shared" si="3"/>
        <v>820.74026357929972</v>
      </c>
      <c r="F26">
        <f t="shared" si="4"/>
        <v>135.42214349058446</v>
      </c>
      <c r="G26" t="s">
        <v>145</v>
      </c>
      <c r="H26" t="s">
        <v>142</v>
      </c>
    </row>
    <row r="27" spans="1:8" x14ac:dyDescent="0.25">
      <c r="A27">
        <v>13</v>
      </c>
      <c r="B27">
        <f t="shared" si="1"/>
        <v>16.64</v>
      </c>
      <c r="C27">
        <f t="shared" si="0"/>
        <v>7.3681841823223237E-3</v>
      </c>
      <c r="D27">
        <f t="shared" si="2"/>
        <v>1.0171106088265958</v>
      </c>
      <c r="E27">
        <f t="shared" si="3"/>
        <v>1017.1106088265958</v>
      </c>
      <c r="F27">
        <f t="shared" si="4"/>
        <v>167.82325045638831</v>
      </c>
      <c r="G27" t="s">
        <v>145</v>
      </c>
      <c r="H27" t="s">
        <v>142</v>
      </c>
    </row>
    <row r="28" spans="1:8" x14ac:dyDescent="0.25">
      <c r="A28">
        <v>14</v>
      </c>
      <c r="B28">
        <f t="shared" si="1"/>
        <v>17.920000000000002</v>
      </c>
      <c r="C28">
        <f t="shared" si="0"/>
        <v>9.3623135617677544E-2</v>
      </c>
      <c r="D28">
        <f t="shared" si="2"/>
        <v>1.2405753158732205</v>
      </c>
      <c r="E28">
        <f t="shared" si="3"/>
        <v>1240.5753158732205</v>
      </c>
      <c r="F28">
        <f t="shared" si="4"/>
        <v>204.6949271190814</v>
      </c>
      <c r="G28" t="s">
        <v>145</v>
      </c>
      <c r="H28" t="s">
        <v>142</v>
      </c>
    </row>
    <row r="29" spans="1:8" x14ac:dyDescent="0.25">
      <c r="A29">
        <v>15</v>
      </c>
      <c r="B29">
        <f t="shared" si="1"/>
        <v>19.2</v>
      </c>
      <c r="C29">
        <f t="shared" si="0"/>
        <v>0.17392457426922592</v>
      </c>
      <c r="D29">
        <f t="shared" si="2"/>
        <v>1.4925351722709839</v>
      </c>
      <c r="E29">
        <f t="shared" si="3"/>
        <v>1492.5351722709838</v>
      </c>
      <c r="F29">
        <f t="shared" si="4"/>
        <v>246.26830342471234</v>
      </c>
      <c r="G29" t="s">
        <v>145</v>
      </c>
      <c r="H29" t="s">
        <v>142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93410-7AAF-4511-8FD2-166EBCDE5812}">
  <dimension ref="A1:H29"/>
  <sheetViews>
    <sheetView workbookViewId="0">
      <selection activeCell="A2" sqref="A2:A29"/>
    </sheetView>
  </sheetViews>
  <sheetFormatPr defaultRowHeight="15" x14ac:dyDescent="0.25"/>
  <cols>
    <col min="4" max="4" width="7.140625" customWidth="1"/>
    <col min="8" max="8" width="19.7109375" bestFit="1" customWidth="1"/>
  </cols>
  <sheetData>
    <row r="1" spans="1:8" x14ac:dyDescent="0.2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18</v>
      </c>
      <c r="H1" t="s">
        <v>68</v>
      </c>
    </row>
    <row r="2" spans="1:8" x14ac:dyDescent="0.25">
      <c r="A2">
        <v>0.6</v>
      </c>
      <c r="B2">
        <f t="shared" ref="B2:B29" si="0">LOG10(A2)</f>
        <v>-0.22184874961635639</v>
      </c>
      <c r="C2">
        <f>-5.019+3.033*LOG10(A2)</f>
        <v>-5.6918672575864093</v>
      </c>
      <c r="D2">
        <f>10^C2</f>
        <v>2.0329782972282925E-6</v>
      </c>
      <c r="E2">
        <f>D2*1000</f>
        <v>2.0329782972282927E-3</v>
      </c>
      <c r="F2">
        <f>E2*0.165</f>
        <v>3.3544141904266831E-4</v>
      </c>
      <c r="G2" t="s">
        <v>144</v>
      </c>
      <c r="H2" t="s">
        <v>142</v>
      </c>
    </row>
    <row r="3" spans="1:8" x14ac:dyDescent="0.25">
      <c r="A3">
        <v>0.7</v>
      </c>
      <c r="B3">
        <f t="shared" si="0"/>
        <v>-0.15490195998574319</v>
      </c>
      <c r="C3">
        <f t="shared" ref="C3:C29" si="1">-5.019+3.033*LOG10(A3)</f>
        <v>-5.4888176446367591</v>
      </c>
      <c r="D3">
        <f t="shared" ref="D3:D29" si="2">10^C3</f>
        <v>3.244758324985449E-6</v>
      </c>
      <c r="E3">
        <f t="shared" ref="E3:E29" si="3">D3*1000</f>
        <v>3.2447583249854491E-3</v>
      </c>
      <c r="F3">
        <f t="shared" ref="F3:F29" si="4">E3*0.165</f>
        <v>5.3538512362259912E-4</v>
      </c>
      <c r="G3" t="s">
        <v>144</v>
      </c>
      <c r="H3" t="s">
        <v>142</v>
      </c>
    </row>
    <row r="4" spans="1:8" x14ac:dyDescent="0.25">
      <c r="A4">
        <v>0.8</v>
      </c>
      <c r="B4">
        <f t="shared" si="0"/>
        <v>-9.6910013008056392E-2</v>
      </c>
      <c r="C4">
        <f t="shared" si="1"/>
        <v>-5.3129280694534353</v>
      </c>
      <c r="D4">
        <f t="shared" si="2"/>
        <v>4.8648777414259892E-6</v>
      </c>
      <c r="E4">
        <f t="shared" si="3"/>
        <v>4.8648777414259893E-3</v>
      </c>
      <c r="F4">
        <f t="shared" si="4"/>
        <v>8.0270482733528828E-4</v>
      </c>
      <c r="G4" t="s">
        <v>144</v>
      </c>
      <c r="H4" t="s">
        <v>142</v>
      </c>
    </row>
    <row r="5" spans="1:8" x14ac:dyDescent="0.25">
      <c r="A5">
        <v>0.9</v>
      </c>
      <c r="B5">
        <f t="shared" si="0"/>
        <v>-4.5757490560675115E-2</v>
      </c>
      <c r="C5">
        <f t="shared" si="1"/>
        <v>-5.1577824688705274</v>
      </c>
      <c r="D5">
        <f t="shared" si="2"/>
        <v>6.9537253130464443E-6</v>
      </c>
      <c r="E5">
        <f t="shared" si="3"/>
        <v>6.9537253130464447E-3</v>
      </c>
      <c r="F5">
        <f t="shared" si="4"/>
        <v>1.1473646766526635E-3</v>
      </c>
      <c r="G5" t="s">
        <v>144</v>
      </c>
      <c r="H5" t="s">
        <v>142</v>
      </c>
    </row>
    <row r="6" spans="1:8" x14ac:dyDescent="0.25">
      <c r="A6">
        <v>1</v>
      </c>
      <c r="B6">
        <f t="shared" si="0"/>
        <v>0</v>
      </c>
      <c r="C6">
        <f t="shared" si="1"/>
        <v>-5.0190000000000001</v>
      </c>
      <c r="D6">
        <f t="shared" si="2"/>
        <v>9.571940712948433E-6</v>
      </c>
      <c r="E6">
        <f t="shared" si="3"/>
        <v>9.5719407129484322E-3</v>
      </c>
      <c r="F6">
        <f t="shared" si="4"/>
        <v>1.5793702176364914E-3</v>
      </c>
      <c r="G6" t="s">
        <v>144</v>
      </c>
      <c r="H6" t="s">
        <v>142</v>
      </c>
    </row>
    <row r="7" spans="1:8" x14ac:dyDescent="0.25">
      <c r="A7">
        <v>1.1000000000000001</v>
      </c>
      <c r="B7">
        <f t="shared" si="0"/>
        <v>4.1392685158225077E-2</v>
      </c>
      <c r="C7">
        <f t="shared" si="1"/>
        <v>-4.8934559859151037</v>
      </c>
      <c r="D7">
        <f t="shared" si="2"/>
        <v>1.2780387273406035E-5</v>
      </c>
      <c r="E7">
        <f t="shared" si="3"/>
        <v>1.2780387273406035E-2</v>
      </c>
      <c r="F7">
        <f t="shared" si="4"/>
        <v>2.1087639001119958E-3</v>
      </c>
      <c r="G7" t="s">
        <v>144</v>
      </c>
      <c r="H7" t="s">
        <v>142</v>
      </c>
    </row>
    <row r="8" spans="1:8" x14ac:dyDescent="0.25">
      <c r="A8">
        <v>1.2</v>
      </c>
      <c r="B8">
        <f t="shared" si="0"/>
        <v>7.9181246047624818E-2</v>
      </c>
      <c r="C8">
        <f t="shared" si="1"/>
        <v>-4.7788432807375543</v>
      </c>
      <c r="D8">
        <f t="shared" si="2"/>
        <v>1.6640130168409356E-5</v>
      </c>
      <c r="E8">
        <f t="shared" si="3"/>
        <v>1.6640130168409355E-2</v>
      </c>
      <c r="F8">
        <f t="shared" si="4"/>
        <v>2.7456214777875436E-3</v>
      </c>
      <c r="G8" t="s">
        <v>144</v>
      </c>
      <c r="H8" t="s">
        <v>142</v>
      </c>
    </row>
    <row r="9" spans="1:8" x14ac:dyDescent="0.25">
      <c r="A9">
        <v>1.3</v>
      </c>
      <c r="B9">
        <f t="shared" si="0"/>
        <v>0.11394335230683679</v>
      </c>
      <c r="C9">
        <f t="shared" si="1"/>
        <v>-4.6734098124533645</v>
      </c>
      <c r="D9">
        <f t="shared" si="2"/>
        <v>2.1212418539844177E-5</v>
      </c>
      <c r="E9">
        <f t="shared" si="3"/>
        <v>2.1212418539844177E-2</v>
      </c>
      <c r="F9">
        <f t="shared" si="4"/>
        <v>3.5000490590742892E-3</v>
      </c>
      <c r="G9" t="s">
        <v>144</v>
      </c>
      <c r="H9" t="s">
        <v>142</v>
      </c>
    </row>
    <row r="10" spans="1:8" x14ac:dyDescent="0.25">
      <c r="A10">
        <v>1.4</v>
      </c>
      <c r="B10">
        <f t="shared" si="0"/>
        <v>0.14612803567823801</v>
      </c>
      <c r="C10">
        <f t="shared" si="1"/>
        <v>-4.5757936677879041</v>
      </c>
      <c r="D10">
        <f t="shared" si="2"/>
        <v>2.6558670580202775E-5</v>
      </c>
      <c r="E10">
        <f t="shared" si="3"/>
        <v>2.6558670580202774E-2</v>
      </c>
      <c r="F10">
        <f t="shared" si="4"/>
        <v>4.3821806457334583E-3</v>
      </c>
      <c r="G10" t="s">
        <v>144</v>
      </c>
      <c r="H10" t="s">
        <v>142</v>
      </c>
    </row>
    <row r="11" spans="1:8" x14ac:dyDescent="0.25">
      <c r="A11">
        <v>1.5</v>
      </c>
      <c r="B11">
        <f t="shared" si="0"/>
        <v>0.17609125905568124</v>
      </c>
      <c r="C11">
        <f t="shared" si="1"/>
        <v>-4.4849152112841191</v>
      </c>
      <c r="D11">
        <f t="shared" si="2"/>
        <v>3.2740460889993815E-5</v>
      </c>
      <c r="E11">
        <f t="shared" si="3"/>
        <v>3.2740460889993814E-2</v>
      </c>
      <c r="F11">
        <f t="shared" si="4"/>
        <v>5.4021760468489794E-3</v>
      </c>
      <c r="G11" t="s">
        <v>144</v>
      </c>
      <c r="H11" t="s">
        <v>142</v>
      </c>
    </row>
    <row r="12" spans="1:8" x14ac:dyDescent="0.25">
      <c r="A12">
        <v>1.6</v>
      </c>
      <c r="B12">
        <f t="shared" si="0"/>
        <v>0.20411998265592479</v>
      </c>
      <c r="C12">
        <f t="shared" si="1"/>
        <v>-4.3999040926045803</v>
      </c>
      <c r="D12">
        <f t="shared" si="2"/>
        <v>3.9819509623439565E-5</v>
      </c>
      <c r="E12">
        <f t="shared" si="3"/>
        <v>3.9819509623439567E-2</v>
      </c>
      <c r="F12">
        <f t="shared" si="4"/>
        <v>6.5702190878675288E-3</v>
      </c>
      <c r="G12" t="s">
        <v>144</v>
      </c>
      <c r="H12" t="s">
        <v>142</v>
      </c>
    </row>
    <row r="13" spans="1:8" x14ac:dyDescent="0.25">
      <c r="A13">
        <v>1.7</v>
      </c>
      <c r="B13">
        <f t="shared" si="0"/>
        <v>0.23044892137827391</v>
      </c>
      <c r="C13">
        <f t="shared" si="1"/>
        <v>-4.3200484214596955</v>
      </c>
      <c r="D13">
        <f t="shared" si="2"/>
        <v>4.7857673065966208E-5</v>
      </c>
      <c r="E13">
        <f t="shared" si="3"/>
        <v>4.7857673065966208E-2</v>
      </c>
      <c r="F13">
        <f t="shared" si="4"/>
        <v>7.8965160558844248E-3</v>
      </c>
      <c r="G13" t="s">
        <v>144</v>
      </c>
      <c r="H13" t="s">
        <v>142</v>
      </c>
    </row>
    <row r="14" spans="1:8" x14ac:dyDescent="0.25">
      <c r="A14">
        <v>1.8</v>
      </c>
      <c r="B14">
        <f t="shared" si="0"/>
        <v>0.25527250510330607</v>
      </c>
      <c r="C14">
        <f t="shared" si="1"/>
        <v>-4.2447584920216732</v>
      </c>
      <c r="D14">
        <f t="shared" si="2"/>
        <v>5.6916935376148792E-5</v>
      </c>
      <c r="E14">
        <f t="shared" si="3"/>
        <v>5.6916935376148795E-2</v>
      </c>
      <c r="F14">
        <f t="shared" si="4"/>
        <v>9.3912943370645513E-3</v>
      </c>
      <c r="G14" t="s">
        <v>144</v>
      </c>
      <c r="H14" t="s">
        <v>142</v>
      </c>
    </row>
    <row r="15" spans="1:8" x14ac:dyDescent="0.25">
      <c r="A15">
        <v>1.9</v>
      </c>
      <c r="B15">
        <f t="shared" si="0"/>
        <v>0.27875360095282892</v>
      </c>
      <c r="C15">
        <f t="shared" si="1"/>
        <v>-4.1735403283100698</v>
      </c>
      <c r="D15">
        <f t="shared" si="2"/>
        <v>6.7059401287636173E-5</v>
      </c>
      <c r="E15">
        <f t="shared" si="3"/>
        <v>6.7059401287636169E-2</v>
      </c>
      <c r="F15">
        <f t="shared" si="4"/>
        <v>1.1064801212459969E-2</v>
      </c>
      <c r="G15" t="s">
        <v>144</v>
      </c>
      <c r="H15" t="s">
        <v>142</v>
      </c>
    </row>
    <row r="16" spans="1:8" x14ac:dyDescent="0.25">
      <c r="A16">
        <v>2</v>
      </c>
      <c r="B16">
        <f t="shared" si="0"/>
        <v>0.3010299956639812</v>
      </c>
      <c r="C16">
        <f t="shared" si="1"/>
        <v>-4.1059760231511451</v>
      </c>
      <c r="D16">
        <f t="shared" si="2"/>
        <v>7.8347289611952462E-5</v>
      </c>
      <c r="E16">
        <f t="shared" si="3"/>
        <v>7.8347289611952461E-2</v>
      </c>
      <c r="F16">
        <f t="shared" si="4"/>
        <v>1.2927302785972157E-2</v>
      </c>
      <c r="G16" t="s">
        <v>144</v>
      </c>
      <c r="H16" t="s">
        <v>142</v>
      </c>
    </row>
    <row r="17" spans="1:8" x14ac:dyDescent="0.25">
      <c r="A17">
        <v>3</v>
      </c>
      <c r="B17">
        <f t="shared" si="0"/>
        <v>0.47712125471966244</v>
      </c>
      <c r="C17">
        <f t="shared" si="1"/>
        <v>-3.571891234435264</v>
      </c>
      <c r="D17">
        <f t="shared" si="2"/>
        <v>2.6798393850341925E-4</v>
      </c>
      <c r="E17">
        <f t="shared" si="3"/>
        <v>0.26798393850341923</v>
      </c>
      <c r="F17">
        <f t="shared" si="4"/>
        <v>4.4217349853064178E-2</v>
      </c>
      <c r="G17" t="s">
        <v>144</v>
      </c>
      <c r="H17" t="s">
        <v>142</v>
      </c>
    </row>
    <row r="18" spans="1:8" x14ac:dyDescent="0.25">
      <c r="A18">
        <v>4</v>
      </c>
      <c r="B18">
        <f t="shared" si="0"/>
        <v>0.6020599913279624</v>
      </c>
      <c r="C18">
        <f t="shared" si="1"/>
        <v>-3.19295204630229</v>
      </c>
      <c r="D18">
        <f t="shared" si="2"/>
        <v>6.4128038123299042E-4</v>
      </c>
      <c r="E18">
        <f t="shared" si="3"/>
        <v>0.64128038123299047</v>
      </c>
      <c r="F18">
        <f t="shared" si="4"/>
        <v>0.10581126290344343</v>
      </c>
      <c r="G18" t="s">
        <v>144</v>
      </c>
      <c r="H18" t="s">
        <v>142</v>
      </c>
    </row>
    <row r="19" spans="1:8" x14ac:dyDescent="0.25">
      <c r="A19">
        <v>5</v>
      </c>
      <c r="B19">
        <f t="shared" si="0"/>
        <v>0.69897000433601886</v>
      </c>
      <c r="C19">
        <f t="shared" si="1"/>
        <v>-2.8990239768488548</v>
      </c>
      <c r="D19">
        <f t="shared" si="2"/>
        <v>1.2617578726120044E-3</v>
      </c>
      <c r="E19">
        <f t="shared" si="3"/>
        <v>1.2617578726120044</v>
      </c>
      <c r="F19">
        <f t="shared" si="4"/>
        <v>0.20819004898098076</v>
      </c>
      <c r="G19" t="s">
        <v>144</v>
      </c>
      <c r="H19" t="s">
        <v>142</v>
      </c>
    </row>
    <row r="20" spans="1:8" x14ac:dyDescent="0.25">
      <c r="A20">
        <v>6</v>
      </c>
      <c r="B20">
        <f t="shared" si="0"/>
        <v>0.77815125038364363</v>
      </c>
      <c r="C20">
        <f t="shared" si="1"/>
        <v>-2.658867257586409</v>
      </c>
      <c r="D20">
        <f t="shared" si="2"/>
        <v>2.1934752701588483E-3</v>
      </c>
      <c r="E20">
        <f t="shared" si="3"/>
        <v>2.1934752701588485</v>
      </c>
      <c r="F20">
        <f t="shared" si="4"/>
        <v>0.36192341957620999</v>
      </c>
      <c r="G20" t="s">
        <v>144</v>
      </c>
      <c r="H20" t="s">
        <v>142</v>
      </c>
    </row>
    <row r="21" spans="1:8" x14ac:dyDescent="0.25">
      <c r="A21">
        <v>7</v>
      </c>
      <c r="B21">
        <f t="shared" si="0"/>
        <v>0.84509804001425681</v>
      </c>
      <c r="C21">
        <f t="shared" si="1"/>
        <v>-2.4558176446367592</v>
      </c>
      <c r="D21">
        <f t="shared" si="2"/>
        <v>3.5009213591710021E-3</v>
      </c>
      <c r="E21">
        <f t="shared" si="3"/>
        <v>3.5009213591710022</v>
      </c>
      <c r="F21">
        <f t="shared" si="4"/>
        <v>0.57765202426321538</v>
      </c>
      <c r="G21" t="s">
        <v>144</v>
      </c>
      <c r="H21" t="s">
        <v>142</v>
      </c>
    </row>
    <row r="22" spans="1:8" x14ac:dyDescent="0.25">
      <c r="A22">
        <v>8</v>
      </c>
      <c r="B22">
        <f t="shared" si="0"/>
        <v>0.90308998699194354</v>
      </c>
      <c r="C22">
        <f t="shared" si="1"/>
        <v>-2.2799280694534354</v>
      </c>
      <c r="D22">
        <f t="shared" si="2"/>
        <v>5.2489438931604265E-3</v>
      </c>
      <c r="E22">
        <f t="shared" si="3"/>
        <v>5.2489438931604262</v>
      </c>
      <c r="F22">
        <f t="shared" si="4"/>
        <v>0.86607574237147034</v>
      </c>
      <c r="G22" t="s">
        <v>144</v>
      </c>
      <c r="H22" t="s">
        <v>142</v>
      </c>
    </row>
    <row r="23" spans="1:8" x14ac:dyDescent="0.25">
      <c r="A23">
        <v>9</v>
      </c>
      <c r="B23">
        <f t="shared" si="0"/>
        <v>0.95424250943932487</v>
      </c>
      <c r="C23">
        <f t="shared" si="1"/>
        <v>-2.1247824688705279</v>
      </c>
      <c r="D23">
        <f t="shared" si="2"/>
        <v>7.5026991337980428E-3</v>
      </c>
      <c r="E23">
        <f t="shared" si="3"/>
        <v>7.5026991337980427</v>
      </c>
      <c r="F23">
        <f t="shared" si="4"/>
        <v>1.2379453570766772</v>
      </c>
      <c r="G23" t="s">
        <v>144</v>
      </c>
      <c r="H23" t="s">
        <v>142</v>
      </c>
    </row>
    <row r="24" spans="1:8" x14ac:dyDescent="0.25">
      <c r="A24">
        <v>10</v>
      </c>
      <c r="B24">
        <f t="shared" si="0"/>
        <v>1</v>
      </c>
      <c r="C24">
        <f t="shared" si="1"/>
        <v>-1.9860000000000002</v>
      </c>
      <c r="D24">
        <f t="shared" si="2"/>
        <v>1.0327614057613961E-2</v>
      </c>
      <c r="E24">
        <f t="shared" si="3"/>
        <v>10.32761405761396</v>
      </c>
      <c r="F24">
        <f t="shared" si="4"/>
        <v>1.7040563195063034</v>
      </c>
      <c r="G24" t="s">
        <v>144</v>
      </c>
      <c r="H24" t="s">
        <v>142</v>
      </c>
    </row>
    <row r="25" spans="1:8" x14ac:dyDescent="0.25">
      <c r="A25">
        <v>11</v>
      </c>
      <c r="B25">
        <f t="shared" si="0"/>
        <v>1.0413926851582251</v>
      </c>
      <c r="C25">
        <f t="shared" si="1"/>
        <v>-1.8604559859151033</v>
      </c>
      <c r="D25">
        <f t="shared" si="2"/>
        <v>1.3789356957469284E-2</v>
      </c>
      <c r="E25">
        <f t="shared" si="3"/>
        <v>13.789356957469284</v>
      </c>
      <c r="F25">
        <f t="shared" si="4"/>
        <v>2.2752438979824321</v>
      </c>
      <c r="G25" t="s">
        <v>144</v>
      </c>
      <c r="H25" t="s">
        <v>142</v>
      </c>
    </row>
    <row r="26" spans="1:8" x14ac:dyDescent="0.25">
      <c r="A26">
        <v>12</v>
      </c>
      <c r="B26">
        <f t="shared" si="0"/>
        <v>1.0791812460476249</v>
      </c>
      <c r="C26">
        <f t="shared" si="1"/>
        <v>-1.7458432807375539</v>
      </c>
      <c r="D26">
        <f t="shared" si="2"/>
        <v>1.7953813902683007E-2</v>
      </c>
      <c r="E26">
        <f t="shared" si="3"/>
        <v>17.953813902683006</v>
      </c>
      <c r="F26">
        <f t="shared" si="4"/>
        <v>2.9623792939426963</v>
      </c>
      <c r="G26" t="s">
        <v>144</v>
      </c>
      <c r="H26" t="s">
        <v>142</v>
      </c>
    </row>
    <row r="27" spans="1:8" x14ac:dyDescent="0.25">
      <c r="A27">
        <v>13</v>
      </c>
      <c r="B27">
        <f t="shared" si="0"/>
        <v>1.1139433523068367</v>
      </c>
      <c r="C27">
        <f t="shared" si="1"/>
        <v>-1.6404098124533646</v>
      </c>
      <c r="D27">
        <f t="shared" si="2"/>
        <v>2.2887069454132127E-2</v>
      </c>
      <c r="E27">
        <f t="shared" si="3"/>
        <v>22.887069454132128</v>
      </c>
      <c r="F27">
        <f t="shared" si="4"/>
        <v>3.7763664599318014</v>
      </c>
      <c r="G27" t="s">
        <v>144</v>
      </c>
      <c r="H27" t="s">
        <v>142</v>
      </c>
    </row>
    <row r="28" spans="1:8" x14ac:dyDescent="0.25">
      <c r="A28">
        <v>14</v>
      </c>
      <c r="B28">
        <f t="shared" si="0"/>
        <v>1.146128035678238</v>
      </c>
      <c r="C28">
        <f t="shared" si="1"/>
        <v>-1.5427936677879046</v>
      </c>
      <c r="D28">
        <f t="shared" si="2"/>
        <v>2.8655390569291561E-2</v>
      </c>
      <c r="E28">
        <f t="shared" si="3"/>
        <v>28.655390569291562</v>
      </c>
      <c r="F28">
        <f t="shared" si="4"/>
        <v>4.7281394439331077</v>
      </c>
      <c r="G28" t="s">
        <v>144</v>
      </c>
      <c r="H28" t="s">
        <v>142</v>
      </c>
    </row>
    <row r="29" spans="1:8" x14ac:dyDescent="0.25">
      <c r="A29">
        <v>15</v>
      </c>
      <c r="B29">
        <f t="shared" si="0"/>
        <v>1.1760912590556813</v>
      </c>
      <c r="C29">
        <f t="shared" si="1"/>
        <v>-1.4519152112841187</v>
      </c>
      <c r="D29">
        <f t="shared" si="2"/>
        <v>3.5325212961552784E-2</v>
      </c>
      <c r="E29">
        <f t="shared" si="3"/>
        <v>35.325212961552786</v>
      </c>
      <c r="F29">
        <f t="shared" si="4"/>
        <v>5.8286601386562102</v>
      </c>
      <c r="G29" t="s">
        <v>144</v>
      </c>
      <c r="H29" t="s">
        <v>142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6D524-AA50-4D55-922A-DEC43870EC90}">
  <dimension ref="A1:D27"/>
  <sheetViews>
    <sheetView workbookViewId="0">
      <selection sqref="A1:A27"/>
    </sheetView>
  </sheetViews>
  <sheetFormatPr defaultRowHeight="15" x14ac:dyDescent="0.25"/>
  <sheetData>
    <row r="1" spans="1:4" x14ac:dyDescent="0.25">
      <c r="A1" t="s">
        <v>81</v>
      </c>
      <c r="B1" t="s">
        <v>16</v>
      </c>
      <c r="C1" t="s">
        <v>127</v>
      </c>
      <c r="D1" t="s">
        <v>0</v>
      </c>
    </row>
    <row r="2" spans="1:4" x14ac:dyDescent="0.25">
      <c r="A2">
        <v>0.5</v>
      </c>
      <c r="B2">
        <f t="shared" ref="B2:B27" si="0">0.0022*A2^2.42</f>
        <v>4.1108354337460819E-4</v>
      </c>
      <c r="C2" t="s">
        <v>2</v>
      </c>
      <c r="D2" t="s">
        <v>5</v>
      </c>
    </row>
    <row r="3" spans="1:4" x14ac:dyDescent="0.25">
      <c r="A3">
        <v>0.6</v>
      </c>
      <c r="B3">
        <f t="shared" si="0"/>
        <v>6.3907040599429183E-4</v>
      </c>
      <c r="C3" t="s">
        <v>2</v>
      </c>
      <c r="D3" t="s">
        <v>5</v>
      </c>
    </row>
    <row r="4" spans="1:4" x14ac:dyDescent="0.25">
      <c r="A4">
        <v>0.7</v>
      </c>
      <c r="B4">
        <f t="shared" si="0"/>
        <v>9.2802555954000577E-4</v>
      </c>
      <c r="C4" t="s">
        <v>2</v>
      </c>
      <c r="D4" t="s">
        <v>5</v>
      </c>
    </row>
    <row r="5" spans="1:4" x14ac:dyDescent="0.25">
      <c r="A5">
        <v>0.8</v>
      </c>
      <c r="B5">
        <f t="shared" si="0"/>
        <v>1.2820366755772878E-3</v>
      </c>
      <c r="C5" t="s">
        <v>2</v>
      </c>
      <c r="D5" t="s">
        <v>5</v>
      </c>
    </row>
    <row r="6" spans="1:4" x14ac:dyDescent="0.25">
      <c r="A6">
        <v>0.9</v>
      </c>
      <c r="B6">
        <f t="shared" si="0"/>
        <v>1.7048632674442604E-3</v>
      </c>
      <c r="C6" t="s">
        <v>2</v>
      </c>
      <c r="D6" t="s">
        <v>5</v>
      </c>
    </row>
    <row r="7" spans="1:4" x14ac:dyDescent="0.25">
      <c r="A7">
        <v>1</v>
      </c>
      <c r="B7">
        <f t="shared" si="0"/>
        <v>2.2000000000000001E-3</v>
      </c>
      <c r="C7" t="s">
        <v>2</v>
      </c>
      <c r="D7" t="s">
        <v>5</v>
      </c>
    </row>
    <row r="8" spans="1:4" x14ac:dyDescent="0.25">
      <c r="A8">
        <v>1.1000000000000001</v>
      </c>
      <c r="B8">
        <f t="shared" si="0"/>
        <v>2.7707221646785804E-3</v>
      </c>
      <c r="C8" t="s">
        <v>2</v>
      </c>
      <c r="D8" t="s">
        <v>5</v>
      </c>
    </row>
    <row r="9" spans="1:4" x14ac:dyDescent="0.25">
      <c r="A9">
        <v>1.2</v>
      </c>
      <c r="B9">
        <f t="shared" si="0"/>
        <v>3.4201196225124427E-3</v>
      </c>
      <c r="C9" t="s">
        <v>2</v>
      </c>
      <c r="D9" t="s">
        <v>5</v>
      </c>
    </row>
    <row r="10" spans="1:4" x14ac:dyDescent="0.25">
      <c r="A10">
        <v>1.3</v>
      </c>
      <c r="B10">
        <f t="shared" si="0"/>
        <v>4.1511229183456748E-3</v>
      </c>
      <c r="C10" t="s">
        <v>2</v>
      </c>
      <c r="D10" t="s">
        <v>5</v>
      </c>
    </row>
    <row r="11" spans="1:4" x14ac:dyDescent="0.25">
      <c r="A11">
        <v>1.4</v>
      </c>
      <c r="B11">
        <f t="shared" si="0"/>
        <v>4.9665238706174944E-3</v>
      </c>
      <c r="C11" t="s">
        <v>2</v>
      </c>
      <c r="D11" t="s">
        <v>5</v>
      </c>
    </row>
    <row r="12" spans="1:4" x14ac:dyDescent="0.25">
      <c r="A12">
        <v>1.5</v>
      </c>
      <c r="B12">
        <f t="shared" si="0"/>
        <v>5.8689921379505615E-3</v>
      </c>
      <c r="C12" t="s">
        <v>2</v>
      </c>
      <c r="D12" t="s">
        <v>5</v>
      </c>
    </row>
    <row r="13" spans="1:4" x14ac:dyDescent="0.25">
      <c r="A13">
        <v>1.6</v>
      </c>
      <c r="B13">
        <f t="shared" si="0"/>
        <v>6.8610887780049456E-3</v>
      </c>
      <c r="C13" t="s">
        <v>2</v>
      </c>
      <c r="D13" t="s">
        <v>5</v>
      </c>
    </row>
    <row r="14" spans="1:4" x14ac:dyDescent="0.25">
      <c r="A14">
        <v>1.7</v>
      </c>
      <c r="B14">
        <f t="shared" si="0"/>
        <v>7.9452775073776665E-3</v>
      </c>
      <c r="C14" t="s">
        <v>2</v>
      </c>
      <c r="D14" t="s">
        <v>5</v>
      </c>
    </row>
    <row r="15" spans="1:4" x14ac:dyDescent="0.25">
      <c r="A15">
        <v>1.8</v>
      </c>
      <c r="B15">
        <f t="shared" si="0"/>
        <v>9.1239341706254411E-3</v>
      </c>
      <c r="C15" t="s">
        <v>2</v>
      </c>
      <c r="D15" t="s">
        <v>5</v>
      </c>
    </row>
    <row r="16" spans="1:4" x14ac:dyDescent="0.25">
      <c r="A16">
        <v>1.9</v>
      </c>
      <c r="B16">
        <f t="shared" si="0"/>
        <v>1.0399354791058029E-2</v>
      </c>
      <c r="C16" t="s">
        <v>2</v>
      </c>
      <c r="D16" t="s">
        <v>5</v>
      </c>
    </row>
    <row r="17" spans="1:4" x14ac:dyDescent="0.25">
      <c r="A17">
        <v>2</v>
      </c>
      <c r="B17">
        <f t="shared" si="0"/>
        <v>1.1773762482117785E-2</v>
      </c>
      <c r="C17" t="s">
        <v>2</v>
      </c>
      <c r="D17" t="s">
        <v>5</v>
      </c>
    </row>
    <row r="18" spans="1:4" x14ac:dyDescent="0.25">
      <c r="A18">
        <v>2.1</v>
      </c>
      <c r="B18">
        <f t="shared" si="0"/>
        <v>1.3249313431635393E-2</v>
      </c>
      <c r="C18" t="s">
        <v>2</v>
      </c>
      <c r="D18" t="s">
        <v>5</v>
      </c>
    </row>
    <row r="19" spans="1:4" x14ac:dyDescent="0.25">
      <c r="A19">
        <v>2.2000000000000002</v>
      </c>
      <c r="B19">
        <f t="shared" si="0"/>
        <v>1.4828102123120386E-2</v>
      </c>
      <c r="C19" t="s">
        <v>2</v>
      </c>
      <c r="D19" t="s">
        <v>5</v>
      </c>
    </row>
    <row r="20" spans="1:4" x14ac:dyDescent="0.25">
      <c r="A20">
        <v>2.2999999999999998</v>
      </c>
      <c r="B20">
        <f t="shared" si="0"/>
        <v>1.6512165922789604E-2</v>
      </c>
      <c r="C20" t="s">
        <v>2</v>
      </c>
      <c r="D20" t="s">
        <v>5</v>
      </c>
    </row>
    <row r="21" spans="1:4" x14ac:dyDescent="0.25">
      <c r="A21">
        <v>2.4</v>
      </c>
      <c r="B21">
        <f t="shared" si="0"/>
        <v>1.8303489134496295E-2</v>
      </c>
      <c r="C21" t="s">
        <v>2</v>
      </c>
      <c r="D21" t="s">
        <v>5</v>
      </c>
    </row>
    <row r="22" spans="1:4" x14ac:dyDescent="0.25">
      <c r="A22">
        <v>2.5</v>
      </c>
      <c r="B22">
        <f t="shared" si="0"/>
        <v>2.0204006604565825E-2</v>
      </c>
      <c r="C22" t="s">
        <v>2</v>
      </c>
      <c r="D22" t="s">
        <v>5</v>
      </c>
    </row>
    <row r="23" spans="1:4" x14ac:dyDescent="0.25">
      <c r="A23">
        <v>2.6</v>
      </c>
      <c r="B23">
        <f t="shared" si="0"/>
        <v>2.221560694303527E-2</v>
      </c>
      <c r="C23" t="s">
        <v>2</v>
      </c>
      <c r="D23" t="s">
        <v>5</v>
      </c>
    </row>
    <row r="24" spans="1:4" x14ac:dyDescent="0.25">
      <c r="A24">
        <v>2.7</v>
      </c>
      <c r="B24">
        <f t="shared" si="0"/>
        <v>2.434013541571781E-2</v>
      </c>
      <c r="C24" t="s">
        <v>2</v>
      </c>
      <c r="D24" t="s">
        <v>5</v>
      </c>
    </row>
    <row r="25" spans="1:4" x14ac:dyDescent="0.25">
      <c r="A25">
        <v>2.8</v>
      </c>
      <c r="B25">
        <f t="shared" si="0"/>
        <v>2.6579396552008475E-2</v>
      </c>
      <c r="C25" t="s">
        <v>2</v>
      </c>
      <c r="D25" t="s">
        <v>5</v>
      </c>
    </row>
    <row r="26" spans="1:4" x14ac:dyDescent="0.25">
      <c r="A26">
        <v>2.9</v>
      </c>
      <c r="B26">
        <f t="shared" si="0"/>
        <v>2.8935156505791541E-2</v>
      </c>
      <c r="C26" t="s">
        <v>2</v>
      </c>
      <c r="D26" t="s">
        <v>5</v>
      </c>
    </row>
    <row r="27" spans="1:4" x14ac:dyDescent="0.25">
      <c r="A27">
        <v>3</v>
      </c>
      <c r="B27">
        <f t="shared" si="0"/>
        <v>3.1409145200748452E-2</v>
      </c>
      <c r="C27" t="s">
        <v>2</v>
      </c>
      <c r="D27" t="s">
        <v>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DB9D-1B6F-4EA6-8BB7-515FAB21F361}">
  <dimension ref="A1:H29"/>
  <sheetViews>
    <sheetView workbookViewId="0">
      <selection activeCell="C2" sqref="C2"/>
    </sheetView>
  </sheetViews>
  <sheetFormatPr defaultRowHeight="15" x14ac:dyDescent="0.25"/>
  <cols>
    <col min="7" max="7" width="16.140625" bestFit="1" customWidth="1"/>
    <col min="8" max="8" width="18.28515625" bestFit="1" customWidth="1"/>
  </cols>
  <sheetData>
    <row r="1" spans="1:8" x14ac:dyDescent="0.2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18</v>
      </c>
      <c r="H1" t="s">
        <v>68</v>
      </c>
    </row>
    <row r="2" spans="1:8" x14ac:dyDescent="0.25">
      <c r="A2">
        <v>0.6</v>
      </c>
      <c r="B2">
        <f>LOG10(A2)</f>
        <v>-0.22184874961635639</v>
      </c>
      <c r="C2">
        <f>-2.795+2.276*LOG10(A2)</f>
        <v>-3.299927754126827</v>
      </c>
      <c r="D2">
        <f t="shared" ref="D2:D29" si="0">10^C2</f>
        <v>5.012706141966618E-4</v>
      </c>
      <c r="E2">
        <f>D2*1000</f>
        <v>0.50127061419666175</v>
      </c>
      <c r="F2">
        <f>E2*0.074</f>
        <v>3.7094025450552966E-2</v>
      </c>
      <c r="G2" t="s">
        <v>140</v>
      </c>
      <c r="H2" t="s">
        <v>141</v>
      </c>
    </row>
    <row r="3" spans="1:8" x14ac:dyDescent="0.25">
      <c r="A3">
        <v>0.7</v>
      </c>
      <c r="B3">
        <f t="shared" ref="B3:B29" si="1">LOG10(A3)</f>
        <v>-0.15490195998574319</v>
      </c>
      <c r="C3">
        <f t="shared" ref="C3:C29" si="2">-2.795+2.276*LOG10(A3)</f>
        <v>-3.1475568609275513</v>
      </c>
      <c r="D3">
        <f t="shared" si="0"/>
        <v>7.119395816949308E-4</v>
      </c>
      <c r="E3">
        <f t="shared" ref="E3:E29" si="3">D3*1000</f>
        <v>0.71193958169493077</v>
      </c>
      <c r="F3">
        <f t="shared" ref="F3:F29" si="4">E3*0.074</f>
        <v>5.2683529045424872E-2</v>
      </c>
      <c r="G3" t="s">
        <v>140</v>
      </c>
      <c r="H3" t="s">
        <v>141</v>
      </c>
    </row>
    <row r="4" spans="1:8" x14ac:dyDescent="0.25">
      <c r="A4">
        <v>0.8</v>
      </c>
      <c r="B4">
        <f t="shared" si="1"/>
        <v>-9.6910013008056392E-2</v>
      </c>
      <c r="C4">
        <f t="shared" si="2"/>
        <v>-3.0155671896063363</v>
      </c>
      <c r="D4">
        <f t="shared" si="0"/>
        <v>9.6479003779856591E-4</v>
      </c>
      <c r="E4">
        <f t="shared" si="3"/>
        <v>0.96479003779856587</v>
      </c>
      <c r="F4">
        <f t="shared" si="4"/>
        <v>7.1394462797093869E-2</v>
      </c>
      <c r="G4" t="s">
        <v>140</v>
      </c>
      <c r="H4" t="s">
        <v>141</v>
      </c>
    </row>
    <row r="5" spans="1:8" x14ac:dyDescent="0.25">
      <c r="A5">
        <v>0.9</v>
      </c>
      <c r="B5">
        <f t="shared" si="1"/>
        <v>-4.5757490560675115E-2</v>
      </c>
      <c r="C5">
        <f t="shared" si="2"/>
        <v>-2.8991440485160966</v>
      </c>
      <c r="D5">
        <f t="shared" si="0"/>
        <v>1.2614090760316346E-3</v>
      </c>
      <c r="E5">
        <f t="shared" si="3"/>
        <v>1.2614090760316345</v>
      </c>
      <c r="F5">
        <f t="shared" si="4"/>
        <v>9.3344271626340958E-2</v>
      </c>
      <c r="G5" t="s">
        <v>140</v>
      </c>
      <c r="H5" t="s">
        <v>141</v>
      </c>
    </row>
    <row r="6" spans="1:8" x14ac:dyDescent="0.25">
      <c r="A6">
        <v>1</v>
      </c>
      <c r="B6">
        <f t="shared" si="1"/>
        <v>0</v>
      </c>
      <c r="C6">
        <f t="shared" si="2"/>
        <v>-2.7949999999999999</v>
      </c>
      <c r="D6">
        <f t="shared" si="0"/>
        <v>1.6032453906900403E-3</v>
      </c>
      <c r="E6">
        <f t="shared" si="3"/>
        <v>1.6032453906900404</v>
      </c>
      <c r="F6">
        <f t="shared" si="4"/>
        <v>0.11864015891106298</v>
      </c>
      <c r="G6" t="s">
        <v>140</v>
      </c>
      <c r="H6" t="s">
        <v>141</v>
      </c>
    </row>
    <row r="7" spans="1:8" x14ac:dyDescent="0.25">
      <c r="A7">
        <v>1.1000000000000001</v>
      </c>
      <c r="B7">
        <f t="shared" si="1"/>
        <v>4.1392685158225077E-2</v>
      </c>
      <c r="C7">
        <f t="shared" si="2"/>
        <v>-2.7007902485798798</v>
      </c>
      <c r="D7">
        <f t="shared" si="0"/>
        <v>1.9916350076816308E-3</v>
      </c>
      <c r="E7">
        <f t="shared" si="3"/>
        <v>1.9916350076816307</v>
      </c>
      <c r="F7">
        <f t="shared" si="4"/>
        <v>0.14738099056844067</v>
      </c>
      <c r="G7" t="s">
        <v>140</v>
      </c>
      <c r="H7" t="s">
        <v>141</v>
      </c>
    </row>
    <row r="8" spans="1:8" x14ac:dyDescent="0.25">
      <c r="A8">
        <v>1.2</v>
      </c>
      <c r="B8">
        <f t="shared" si="1"/>
        <v>7.9181246047624818E-2</v>
      </c>
      <c r="C8">
        <f t="shared" si="2"/>
        <v>-2.6147834839956059</v>
      </c>
      <c r="D8">
        <f t="shared" si="0"/>
        <v>2.4278201747261296E-3</v>
      </c>
      <c r="E8">
        <f t="shared" si="3"/>
        <v>2.4278201747261297</v>
      </c>
      <c r="F8">
        <f t="shared" si="4"/>
        <v>0.17965869292973358</v>
      </c>
      <c r="G8" t="s">
        <v>140</v>
      </c>
      <c r="H8" t="s">
        <v>141</v>
      </c>
    </row>
    <row r="9" spans="1:8" x14ac:dyDescent="0.25">
      <c r="A9">
        <v>1.3</v>
      </c>
      <c r="B9">
        <f t="shared" si="1"/>
        <v>0.11394335230683679</v>
      </c>
      <c r="C9">
        <f t="shared" si="2"/>
        <v>-2.5356649301496392</v>
      </c>
      <c r="D9">
        <f t="shared" si="0"/>
        <v>2.9129636809846261E-3</v>
      </c>
      <c r="E9">
        <f t="shared" si="3"/>
        <v>2.912963680984626</v>
      </c>
      <c r="F9">
        <f t="shared" si="4"/>
        <v>0.2155593123928623</v>
      </c>
      <c r="G9" t="s">
        <v>140</v>
      </c>
      <c r="H9" t="s">
        <v>141</v>
      </c>
    </row>
    <row r="10" spans="1:8" x14ac:dyDescent="0.25">
      <c r="A10">
        <v>1.4</v>
      </c>
      <c r="B10">
        <f t="shared" si="1"/>
        <v>0.14612803567823801</v>
      </c>
      <c r="C10">
        <f t="shared" si="2"/>
        <v>-2.4624125907963301</v>
      </c>
      <c r="D10">
        <f t="shared" si="0"/>
        <v>3.4481599971605626E-3</v>
      </c>
      <c r="E10">
        <f t="shared" si="3"/>
        <v>3.4481599971605625</v>
      </c>
      <c r="F10">
        <f t="shared" si="4"/>
        <v>0.25516383978988161</v>
      </c>
      <c r="G10" t="s">
        <v>140</v>
      </c>
      <c r="H10" t="s">
        <v>141</v>
      </c>
    </row>
    <row r="11" spans="1:8" x14ac:dyDescent="0.25">
      <c r="A11">
        <v>1.5</v>
      </c>
      <c r="B11">
        <f t="shared" si="1"/>
        <v>0.17609125905568124</v>
      </c>
      <c r="C11">
        <f t="shared" si="2"/>
        <v>-2.3942162943892695</v>
      </c>
      <c r="D11">
        <f t="shared" si="0"/>
        <v>4.034444129870497E-3</v>
      </c>
      <c r="E11">
        <f t="shared" si="3"/>
        <v>4.0344441298704972</v>
      </c>
      <c r="F11">
        <f t="shared" si="4"/>
        <v>0.29854886561041677</v>
      </c>
      <c r="G11" t="s">
        <v>140</v>
      </c>
      <c r="H11" t="s">
        <v>141</v>
      </c>
    </row>
    <row r="12" spans="1:8" x14ac:dyDescent="0.25">
      <c r="A12">
        <v>1.6</v>
      </c>
      <c r="B12">
        <f t="shared" si="1"/>
        <v>0.20411998265592479</v>
      </c>
      <c r="C12">
        <f t="shared" si="2"/>
        <v>-2.3304229194751152</v>
      </c>
      <c r="D12">
        <f t="shared" si="0"/>
        <v>4.6727987873296378E-3</v>
      </c>
      <c r="E12">
        <f t="shared" si="3"/>
        <v>4.6727987873296382</v>
      </c>
      <c r="F12">
        <f t="shared" si="4"/>
        <v>0.34578711026239323</v>
      </c>
      <c r="G12" t="s">
        <v>140</v>
      </c>
      <c r="H12" t="s">
        <v>141</v>
      </c>
    </row>
    <row r="13" spans="1:8" x14ac:dyDescent="0.25">
      <c r="A13">
        <v>1.7</v>
      </c>
      <c r="B13">
        <f t="shared" si="1"/>
        <v>0.23044892137827391</v>
      </c>
      <c r="C13">
        <f t="shared" si="2"/>
        <v>-2.2704982549430488</v>
      </c>
      <c r="D13">
        <f t="shared" si="0"/>
        <v>5.3641602683179856E-3</v>
      </c>
      <c r="E13">
        <f t="shared" si="3"/>
        <v>5.3641602683179856</v>
      </c>
      <c r="F13">
        <f t="shared" si="4"/>
        <v>0.39694785985553094</v>
      </c>
      <c r="G13" t="s">
        <v>140</v>
      </c>
      <c r="H13" t="s">
        <v>141</v>
      </c>
    </row>
    <row r="14" spans="1:8" x14ac:dyDescent="0.25">
      <c r="A14">
        <v>1.8</v>
      </c>
      <c r="B14">
        <f t="shared" si="1"/>
        <v>0.25527250510330607</v>
      </c>
      <c r="C14">
        <f t="shared" si="2"/>
        <v>-2.2139997783848755</v>
      </c>
      <c r="D14">
        <f t="shared" si="0"/>
        <v>6.1094233666184128E-3</v>
      </c>
      <c r="E14">
        <f t="shared" si="3"/>
        <v>6.1094233666184126</v>
      </c>
      <c r="F14">
        <f t="shared" si="4"/>
        <v>0.45209732912976253</v>
      </c>
      <c r="G14" t="s">
        <v>140</v>
      </c>
      <c r="H14" t="s">
        <v>141</v>
      </c>
    </row>
    <row r="15" spans="1:8" x14ac:dyDescent="0.25">
      <c r="A15">
        <v>1.9</v>
      </c>
      <c r="B15">
        <f t="shared" si="1"/>
        <v>0.27875360095282892</v>
      </c>
      <c r="C15">
        <f t="shared" si="2"/>
        <v>-2.1605568042313612</v>
      </c>
      <c r="D15">
        <f t="shared" si="0"/>
        <v>6.9094455031280125E-3</v>
      </c>
      <c r="E15">
        <f t="shared" si="3"/>
        <v>6.9094455031280129</v>
      </c>
      <c r="F15">
        <f t="shared" si="4"/>
        <v>0.51129896723147295</v>
      </c>
      <c r="G15" t="s">
        <v>140</v>
      </c>
      <c r="H15" t="s">
        <v>141</v>
      </c>
    </row>
    <row r="16" spans="1:8" x14ac:dyDescent="0.25">
      <c r="A16">
        <v>2</v>
      </c>
      <c r="B16">
        <f t="shared" si="1"/>
        <v>0.3010299956639812</v>
      </c>
      <c r="C16">
        <f t="shared" si="2"/>
        <v>-2.1098557298687788</v>
      </c>
      <c r="D16">
        <f t="shared" si="0"/>
        <v>7.7650502429549295E-3</v>
      </c>
      <c r="E16">
        <f t="shared" si="3"/>
        <v>7.7650502429549295</v>
      </c>
      <c r="F16">
        <f t="shared" si="4"/>
        <v>0.57461371797866478</v>
      </c>
      <c r="G16" t="s">
        <v>140</v>
      </c>
      <c r="H16" t="s">
        <v>141</v>
      </c>
    </row>
    <row r="17" spans="1:8" x14ac:dyDescent="0.25">
      <c r="A17">
        <v>3</v>
      </c>
      <c r="B17">
        <f t="shared" si="1"/>
        <v>0.47712125471966244</v>
      </c>
      <c r="C17">
        <f t="shared" si="2"/>
        <v>-1.7090720242580484</v>
      </c>
      <c r="D17">
        <f t="shared" si="0"/>
        <v>1.9540153711189206E-2</v>
      </c>
      <c r="E17">
        <f t="shared" si="3"/>
        <v>19.540153711189205</v>
      </c>
      <c r="F17">
        <f t="shared" si="4"/>
        <v>1.4459713746280012</v>
      </c>
      <c r="G17" t="s">
        <v>140</v>
      </c>
      <c r="H17" t="s">
        <v>141</v>
      </c>
    </row>
    <row r="18" spans="1:8" x14ac:dyDescent="0.25">
      <c r="A18">
        <v>4</v>
      </c>
      <c r="B18">
        <f t="shared" si="1"/>
        <v>0.6020599913279624</v>
      </c>
      <c r="C18">
        <f t="shared" si="2"/>
        <v>-1.4247114597375576</v>
      </c>
      <c r="D18">
        <f t="shared" si="0"/>
        <v>3.7608718930832473E-2</v>
      </c>
      <c r="E18">
        <f t="shared" si="3"/>
        <v>37.608718930832474</v>
      </c>
      <c r="F18">
        <f t="shared" si="4"/>
        <v>2.7830452008816029</v>
      </c>
      <c r="G18" t="s">
        <v>140</v>
      </c>
      <c r="H18" t="s">
        <v>141</v>
      </c>
    </row>
    <row r="19" spans="1:8" x14ac:dyDescent="0.25">
      <c r="A19">
        <v>5</v>
      </c>
      <c r="B19">
        <f t="shared" si="1"/>
        <v>0.69897000433601886</v>
      </c>
      <c r="C19">
        <f t="shared" si="2"/>
        <v>-1.2041442701312211</v>
      </c>
      <c r="D19">
        <f t="shared" si="0"/>
        <v>6.2496504849072043E-2</v>
      </c>
      <c r="E19">
        <f t="shared" si="3"/>
        <v>62.496504849072046</v>
      </c>
      <c r="F19">
        <f t="shared" si="4"/>
        <v>4.6247413588313311</v>
      </c>
      <c r="G19" t="s">
        <v>140</v>
      </c>
      <c r="H19" t="s">
        <v>141</v>
      </c>
    </row>
    <row r="20" spans="1:8" x14ac:dyDescent="0.25">
      <c r="A20">
        <v>6</v>
      </c>
      <c r="B20">
        <f t="shared" si="1"/>
        <v>0.77815125038364363</v>
      </c>
      <c r="C20">
        <f t="shared" si="2"/>
        <v>-1.0239277541268272</v>
      </c>
      <c r="D20">
        <f t="shared" si="0"/>
        <v>9.4639458315948347E-2</v>
      </c>
      <c r="E20">
        <f t="shared" si="3"/>
        <v>94.639458315948346</v>
      </c>
      <c r="F20">
        <f t="shared" si="4"/>
        <v>7.0033199153801773</v>
      </c>
      <c r="G20" t="s">
        <v>140</v>
      </c>
      <c r="H20" t="s">
        <v>141</v>
      </c>
    </row>
    <row r="21" spans="1:8" x14ac:dyDescent="0.25">
      <c r="A21">
        <v>7</v>
      </c>
      <c r="B21">
        <f t="shared" si="1"/>
        <v>0.84509804001425681</v>
      </c>
      <c r="C21">
        <f t="shared" si="2"/>
        <v>-0.87155686092755169</v>
      </c>
      <c r="D21">
        <f t="shared" si="0"/>
        <v>0.13441357713192623</v>
      </c>
      <c r="E21">
        <f t="shared" si="3"/>
        <v>134.41357713192622</v>
      </c>
      <c r="F21">
        <f t="shared" si="4"/>
        <v>9.946604707762539</v>
      </c>
      <c r="G21" t="s">
        <v>140</v>
      </c>
      <c r="H21" t="s">
        <v>141</v>
      </c>
    </row>
    <row r="22" spans="1:8" x14ac:dyDescent="0.25">
      <c r="A22">
        <v>8</v>
      </c>
      <c r="B22">
        <f t="shared" si="1"/>
        <v>0.90308998699194354</v>
      </c>
      <c r="C22">
        <f t="shared" si="2"/>
        <v>-0.73956718960633649</v>
      </c>
      <c r="D22">
        <f t="shared" si="0"/>
        <v>0.18215152450579783</v>
      </c>
      <c r="E22">
        <f t="shared" si="3"/>
        <v>182.15152450579782</v>
      </c>
      <c r="F22">
        <f t="shared" si="4"/>
        <v>13.479212813429038</v>
      </c>
      <c r="G22" t="s">
        <v>140</v>
      </c>
      <c r="H22" t="s">
        <v>141</v>
      </c>
    </row>
    <row r="23" spans="1:8" x14ac:dyDescent="0.25">
      <c r="A23">
        <v>9</v>
      </c>
      <c r="B23">
        <f t="shared" si="1"/>
        <v>0.95424250943932487</v>
      </c>
      <c r="C23">
        <f t="shared" si="2"/>
        <v>-0.62314404851609684</v>
      </c>
      <c r="D23">
        <f t="shared" si="0"/>
        <v>0.23815294232192744</v>
      </c>
      <c r="E23">
        <f t="shared" si="3"/>
        <v>238.15294232192744</v>
      </c>
      <c r="F23">
        <f t="shared" si="4"/>
        <v>17.623317731822631</v>
      </c>
      <c r="G23" t="s">
        <v>140</v>
      </c>
      <c r="H23" t="s">
        <v>141</v>
      </c>
    </row>
    <row r="24" spans="1:8" x14ac:dyDescent="0.25">
      <c r="A24">
        <v>10</v>
      </c>
      <c r="B24">
        <f t="shared" si="1"/>
        <v>1</v>
      </c>
      <c r="C24">
        <f t="shared" si="2"/>
        <v>-0.51900000000000013</v>
      </c>
      <c r="D24">
        <f t="shared" si="0"/>
        <v>0.30269134281013044</v>
      </c>
      <c r="E24">
        <f t="shared" si="3"/>
        <v>302.69134281013044</v>
      </c>
      <c r="F24">
        <f t="shared" si="4"/>
        <v>22.39915936794965</v>
      </c>
      <c r="G24" t="s">
        <v>140</v>
      </c>
      <c r="H24" t="s">
        <v>141</v>
      </c>
    </row>
    <row r="25" spans="1:8" x14ac:dyDescent="0.25">
      <c r="A25">
        <v>11</v>
      </c>
      <c r="B25">
        <f t="shared" si="1"/>
        <v>1.0413926851582251</v>
      </c>
      <c r="C25">
        <f t="shared" si="2"/>
        <v>-0.42479024857987957</v>
      </c>
      <c r="D25">
        <f t="shared" si="0"/>
        <v>0.37601896650602534</v>
      </c>
      <c r="E25">
        <f t="shared" si="3"/>
        <v>376.01896650602532</v>
      </c>
      <c r="F25">
        <f t="shared" si="4"/>
        <v>27.825403521445871</v>
      </c>
      <c r="G25" t="s">
        <v>140</v>
      </c>
      <c r="H25" t="s">
        <v>141</v>
      </c>
    </row>
    <row r="26" spans="1:8" x14ac:dyDescent="0.25">
      <c r="A26">
        <v>12</v>
      </c>
      <c r="B26">
        <f t="shared" si="1"/>
        <v>1.0791812460476249</v>
      </c>
      <c r="C26">
        <f t="shared" si="2"/>
        <v>-0.33878348399560609</v>
      </c>
      <c r="D26">
        <f t="shared" si="0"/>
        <v>0.45837034870443855</v>
      </c>
      <c r="E26">
        <f t="shared" si="3"/>
        <v>458.37034870443853</v>
      </c>
      <c r="F26">
        <f t="shared" si="4"/>
        <v>33.919405804128452</v>
      </c>
      <c r="G26" t="s">
        <v>140</v>
      </c>
      <c r="H26" t="s">
        <v>141</v>
      </c>
    </row>
    <row r="27" spans="1:8" x14ac:dyDescent="0.25">
      <c r="A27">
        <v>13</v>
      </c>
      <c r="B27">
        <f t="shared" si="1"/>
        <v>1.1139433523068367</v>
      </c>
      <c r="C27">
        <f t="shared" si="2"/>
        <v>-0.25966493014963987</v>
      </c>
      <c r="D27">
        <f t="shared" si="0"/>
        <v>0.5499650229930666</v>
      </c>
      <c r="E27">
        <f t="shared" si="3"/>
        <v>549.96502299306655</v>
      </c>
      <c r="F27">
        <f t="shared" si="4"/>
        <v>40.697411701486921</v>
      </c>
      <c r="G27" t="s">
        <v>140</v>
      </c>
      <c r="H27" t="s">
        <v>141</v>
      </c>
    </row>
    <row r="28" spans="1:8" x14ac:dyDescent="0.25">
      <c r="A28">
        <v>14</v>
      </c>
      <c r="B28">
        <f t="shared" si="1"/>
        <v>1.146128035678238</v>
      </c>
      <c r="C28">
        <f t="shared" si="2"/>
        <v>-0.18641259079633077</v>
      </c>
      <c r="D28">
        <f t="shared" si="0"/>
        <v>0.65100962449390321</v>
      </c>
      <c r="E28">
        <f t="shared" si="3"/>
        <v>651.00962449390317</v>
      </c>
      <c r="F28">
        <f t="shared" si="4"/>
        <v>48.174712212548833</v>
      </c>
      <c r="G28" t="s">
        <v>140</v>
      </c>
      <c r="H28" t="s">
        <v>141</v>
      </c>
    </row>
    <row r="29" spans="1:8" x14ac:dyDescent="0.25">
      <c r="A29">
        <v>15</v>
      </c>
      <c r="B29">
        <f t="shared" si="1"/>
        <v>1.1760912590556813</v>
      </c>
      <c r="C29">
        <f t="shared" si="2"/>
        <v>-0.11821629438926928</v>
      </c>
      <c r="D29">
        <f t="shared" si="0"/>
        <v>0.76169956156078267</v>
      </c>
      <c r="E29">
        <f t="shared" si="3"/>
        <v>761.69956156078263</v>
      </c>
      <c r="F29">
        <f t="shared" si="4"/>
        <v>56.365767555497911</v>
      </c>
      <c r="G29" t="s">
        <v>140</v>
      </c>
      <c r="H29" t="s">
        <v>141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7"/>
  <sheetViews>
    <sheetView workbookViewId="0">
      <selection activeCell="E2" sqref="E2"/>
    </sheetView>
  </sheetViews>
  <sheetFormatPr defaultRowHeight="15" x14ac:dyDescent="0.25"/>
  <cols>
    <col min="3" max="3" width="13.28515625" customWidth="1"/>
    <col min="4" max="4" width="10.85546875" customWidth="1"/>
  </cols>
  <sheetData>
    <row r="1" spans="1:5" x14ac:dyDescent="0.25">
      <c r="A1" t="s">
        <v>72</v>
      </c>
      <c r="B1" t="s">
        <v>26</v>
      </c>
      <c r="C1" t="s">
        <v>27</v>
      </c>
      <c r="D1" t="s">
        <v>6</v>
      </c>
      <c r="E1" t="s">
        <v>68</v>
      </c>
    </row>
    <row r="2" spans="1:5" x14ac:dyDescent="0.25">
      <c r="A2">
        <v>0.5</v>
      </c>
      <c r="B2">
        <f>3.819*A2^2.889</f>
        <v>0.5155538102502224</v>
      </c>
      <c r="C2">
        <f>B2*0.71</f>
        <v>0.36604320527765788</v>
      </c>
      <c r="D2">
        <f>C2/1000</f>
        <v>3.6604320527765786E-4</v>
      </c>
    </row>
    <row r="3" spans="1:5" x14ac:dyDescent="0.25">
      <c r="A3">
        <v>0.6</v>
      </c>
      <c r="B3">
        <f t="shared" ref="B3:B27" si="0">3.819*A3^2.889</f>
        <v>0.8730289005549331</v>
      </c>
      <c r="C3">
        <f t="shared" ref="C3:C27" si="1">B3*0.71</f>
        <v>0.61985051939400249</v>
      </c>
      <c r="D3">
        <f t="shared" ref="D3:D27" si="2">C3/1000</f>
        <v>6.1985051939400244E-4</v>
      </c>
    </row>
    <row r="4" spans="1:5" x14ac:dyDescent="0.25">
      <c r="A4">
        <v>0.7</v>
      </c>
      <c r="B4">
        <f t="shared" si="0"/>
        <v>1.3628181095514436</v>
      </c>
      <c r="C4">
        <f t="shared" si="1"/>
        <v>0.96760085778152483</v>
      </c>
      <c r="D4">
        <f t="shared" si="2"/>
        <v>9.6760085778152484E-4</v>
      </c>
    </row>
    <row r="5" spans="1:5" x14ac:dyDescent="0.25">
      <c r="A5">
        <v>0.8</v>
      </c>
      <c r="B5">
        <f t="shared" si="0"/>
        <v>2.0043641704539579</v>
      </c>
      <c r="C5">
        <f t="shared" si="1"/>
        <v>1.4230985610223099</v>
      </c>
      <c r="D5">
        <f t="shared" si="2"/>
        <v>1.42309856102231E-3</v>
      </c>
    </row>
    <row r="6" spans="1:5" x14ac:dyDescent="0.25">
      <c r="A6">
        <v>0.9</v>
      </c>
      <c r="B6">
        <f t="shared" si="0"/>
        <v>2.8168016609243938</v>
      </c>
      <c r="C6">
        <f t="shared" si="1"/>
        <v>1.9999291792563194</v>
      </c>
      <c r="D6">
        <f t="shared" si="2"/>
        <v>1.9999291792563195E-3</v>
      </c>
    </row>
    <row r="7" spans="1:5" x14ac:dyDescent="0.25">
      <c r="A7">
        <v>1</v>
      </c>
      <c r="B7">
        <f t="shared" si="0"/>
        <v>3.819</v>
      </c>
      <c r="C7">
        <f t="shared" si="1"/>
        <v>2.71149</v>
      </c>
      <c r="D7">
        <f t="shared" si="2"/>
        <v>2.71149E-3</v>
      </c>
    </row>
    <row r="8" spans="1:5" x14ac:dyDescent="0.25">
      <c r="A8">
        <v>1.1000000000000001</v>
      </c>
      <c r="B8">
        <f t="shared" si="0"/>
        <v>5.0295962761426729</v>
      </c>
      <c r="C8">
        <f t="shared" si="1"/>
        <v>3.5710133560612976</v>
      </c>
      <c r="D8">
        <f t="shared" si="2"/>
        <v>3.5710133560612977E-3</v>
      </c>
    </row>
    <row r="9" spans="1:5" x14ac:dyDescent="0.25">
      <c r="A9">
        <v>1.2</v>
      </c>
      <c r="B9">
        <f t="shared" si="0"/>
        <v>6.4670211041619439</v>
      </c>
      <c r="C9">
        <f t="shared" si="1"/>
        <v>4.5915849839549798</v>
      </c>
      <c r="D9">
        <f t="shared" si="2"/>
        <v>4.5915849839549801E-3</v>
      </c>
    </row>
    <row r="10" spans="1:5" x14ac:dyDescent="0.25">
      <c r="A10">
        <v>1.3</v>
      </c>
      <c r="B10">
        <f t="shared" si="0"/>
        <v>8.1495194986181634</v>
      </c>
      <c r="C10">
        <f t="shared" si="1"/>
        <v>5.786158844018896</v>
      </c>
      <c r="D10">
        <f t="shared" si="2"/>
        <v>5.786158844018896E-3</v>
      </c>
    </row>
    <row r="11" spans="1:5" x14ac:dyDescent="0.25">
      <c r="A11">
        <v>1.4</v>
      </c>
      <c r="B11">
        <f t="shared" si="0"/>
        <v>10.09516806373893</v>
      </c>
      <c r="C11">
        <f t="shared" si="1"/>
        <v>7.1675693252546395</v>
      </c>
      <c r="D11">
        <f t="shared" si="2"/>
        <v>7.1675693252546396E-3</v>
      </c>
    </row>
    <row r="12" spans="1:5" x14ac:dyDescent="0.25">
      <c r="A12">
        <v>1.5</v>
      </c>
      <c r="B12">
        <f t="shared" si="0"/>
        <v>12.321889385600446</v>
      </c>
      <c r="C12">
        <f t="shared" si="1"/>
        <v>8.7485414637763164</v>
      </c>
      <c r="D12">
        <f t="shared" si="2"/>
        <v>8.7485414637763163E-3</v>
      </c>
    </row>
    <row r="13" spans="1:5" x14ac:dyDescent="0.25">
      <c r="A13">
        <v>1.6</v>
      </c>
      <c r="B13">
        <f t="shared" si="0"/>
        <v>14.847464250624975</v>
      </c>
      <c r="C13">
        <f t="shared" si="1"/>
        <v>10.541699617943731</v>
      </c>
      <c r="D13">
        <f t="shared" si="2"/>
        <v>1.0541699617943731E-2</v>
      </c>
    </row>
    <row r="14" spans="1:5" x14ac:dyDescent="0.25">
      <c r="A14">
        <v>1.7</v>
      </c>
      <c r="B14">
        <f t="shared" si="0"/>
        <v>17.689542142559624</v>
      </c>
      <c r="C14">
        <f t="shared" si="1"/>
        <v>12.559574921217333</v>
      </c>
      <c r="D14">
        <f t="shared" si="2"/>
        <v>1.2559574921217334E-2</v>
      </c>
    </row>
    <row r="15" spans="1:5" x14ac:dyDescent="0.25">
      <c r="A15">
        <v>1.8</v>
      </c>
      <c r="B15">
        <f t="shared" si="0"/>
        <v>20.86565035345042</v>
      </c>
      <c r="C15">
        <f t="shared" si="1"/>
        <v>14.814611750949798</v>
      </c>
      <c r="D15">
        <f t="shared" si="2"/>
        <v>1.4814611750949797E-2</v>
      </c>
    </row>
    <row r="16" spans="1:5" x14ac:dyDescent="0.25">
      <c r="A16">
        <v>1.9</v>
      </c>
      <c r="B16">
        <f t="shared" si="0"/>
        <v>24.393201962719019</v>
      </c>
      <c r="C16">
        <f t="shared" si="1"/>
        <v>17.319173393530502</v>
      </c>
      <c r="D16">
        <f t="shared" si="2"/>
        <v>1.73191733935305E-2</v>
      </c>
    </row>
    <row r="17" spans="1:4" x14ac:dyDescent="0.25">
      <c r="A17">
        <v>2</v>
      </c>
      <c r="B17">
        <f t="shared" si="0"/>
        <v>28.289502880254794</v>
      </c>
      <c r="C17">
        <f t="shared" si="1"/>
        <v>20.085547044980903</v>
      </c>
      <c r="D17">
        <f t="shared" si="2"/>
        <v>2.0085547044980903E-2</v>
      </c>
    </row>
    <row r="18" spans="1:4" x14ac:dyDescent="0.25">
      <c r="A18">
        <v>2.1</v>
      </c>
      <c r="B18">
        <f t="shared" si="0"/>
        <v>32.571758106948764</v>
      </c>
      <c r="C18">
        <f t="shared" si="1"/>
        <v>23.125948255933622</v>
      </c>
      <c r="D18">
        <f t="shared" si="2"/>
        <v>2.3125948255933622E-2</v>
      </c>
    </row>
    <row r="19" spans="1:4" x14ac:dyDescent="0.25">
      <c r="A19">
        <v>2.2000000000000002</v>
      </c>
      <c r="B19">
        <f t="shared" si="0"/>
        <v>37.257077334500373</v>
      </c>
      <c r="C19">
        <f t="shared" si="1"/>
        <v>26.452524907495263</v>
      </c>
      <c r="D19">
        <f t="shared" si="2"/>
        <v>2.6452524907495265E-2</v>
      </c>
    </row>
    <row r="20" spans="1:4" x14ac:dyDescent="0.25">
      <c r="A20">
        <v>2.2999999999999998</v>
      </c>
      <c r="B20">
        <f t="shared" si="0"/>
        <v>42.362479982440924</v>
      </c>
      <c r="C20">
        <f t="shared" si="1"/>
        <v>30.077360787533053</v>
      </c>
      <c r="D20">
        <f t="shared" si="2"/>
        <v>3.0077360787533054E-2</v>
      </c>
    </row>
    <row r="21" spans="1:4" x14ac:dyDescent="0.25">
      <c r="A21">
        <v>2.4</v>
      </c>
      <c r="B21">
        <f t="shared" si="0"/>
        <v>47.904899751992104</v>
      </c>
      <c r="C21">
        <f t="shared" si="1"/>
        <v>34.012478823914392</v>
      </c>
      <c r="D21">
        <f t="shared" si="2"/>
        <v>3.4012478823914394E-2</v>
      </c>
    </row>
    <row r="22" spans="1:4" x14ac:dyDescent="0.25">
      <c r="A22">
        <v>2.5</v>
      </c>
      <c r="B22">
        <f t="shared" si="0"/>
        <v>53.901188762132087</v>
      </c>
      <c r="C22">
        <f t="shared" si="1"/>
        <v>38.269844021113776</v>
      </c>
      <c r="D22">
        <f t="shared" si="2"/>
        <v>3.8269844021113775E-2</v>
      </c>
    </row>
    <row r="23" spans="1:4" x14ac:dyDescent="0.25">
      <c r="A23">
        <v>2.6</v>
      </c>
      <c r="B23">
        <f t="shared" si="0"/>
        <v>60.368121322034881</v>
      </c>
      <c r="C23">
        <f t="shared" si="1"/>
        <v>42.861366138644762</v>
      </c>
      <c r="D23">
        <f t="shared" si="2"/>
        <v>4.286136613864476E-2</v>
      </c>
    </row>
    <row r="24" spans="1:4" x14ac:dyDescent="0.25">
      <c r="A24">
        <v>2.7</v>
      </c>
      <c r="B24">
        <f t="shared" si="0"/>
        <v>67.322397385135091</v>
      </c>
      <c r="C24">
        <f t="shared" si="1"/>
        <v>47.798902143445915</v>
      </c>
      <c r="D24">
        <f t="shared" si="2"/>
        <v>4.7798902143445912E-2</v>
      </c>
    </row>
    <row r="25" spans="1:4" x14ac:dyDescent="0.25">
      <c r="A25">
        <v>2.8</v>
      </c>
      <c r="B25">
        <f t="shared" si="0"/>
        <v>74.780645722911402</v>
      </c>
      <c r="C25">
        <f t="shared" si="1"/>
        <v>53.094258463267096</v>
      </c>
      <c r="D25">
        <f t="shared" si="2"/>
        <v>5.3094258463267097E-2</v>
      </c>
    </row>
    <row r="26" spans="1:4" x14ac:dyDescent="0.25">
      <c r="A26">
        <v>2.9</v>
      </c>
      <c r="B26">
        <f t="shared" si="0"/>
        <v>82.759426850680185</v>
      </c>
      <c r="C26">
        <f t="shared" si="1"/>
        <v>58.759193063982927</v>
      </c>
      <c r="D26">
        <f t="shared" si="2"/>
        <v>5.8759193063982924E-2</v>
      </c>
    </row>
    <row r="27" spans="1:4" x14ac:dyDescent="0.25">
      <c r="A27">
        <v>3</v>
      </c>
      <c r="B27">
        <f t="shared" si="0"/>
        <v>91.27523573294711</v>
      </c>
      <c r="C27">
        <f t="shared" si="1"/>
        <v>64.805417370392448</v>
      </c>
      <c r="D27">
        <f t="shared" si="2"/>
        <v>6.4805417370392443E-2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3102-3710-4965-8610-65454C199B45}">
  <dimension ref="A1:D183"/>
  <sheetViews>
    <sheetView workbookViewId="0">
      <selection sqref="A1:A27"/>
    </sheetView>
  </sheetViews>
  <sheetFormatPr defaultRowHeight="15" x14ac:dyDescent="0.25"/>
  <cols>
    <col min="2" max="2" width="12" bestFit="1" customWidth="1"/>
    <col min="3" max="3" width="17.42578125" bestFit="1" customWidth="1"/>
    <col min="4" max="4" width="12" bestFit="1" customWidth="1"/>
  </cols>
  <sheetData>
    <row r="1" spans="1:4" x14ac:dyDescent="0.25">
      <c r="A1" t="s">
        <v>81</v>
      </c>
      <c r="B1" t="s">
        <v>16</v>
      </c>
      <c r="C1" t="s">
        <v>127</v>
      </c>
      <c r="D1" t="s">
        <v>0</v>
      </c>
    </row>
    <row r="2" spans="1:4" x14ac:dyDescent="0.25">
      <c r="A2">
        <v>0.5</v>
      </c>
      <c r="B2">
        <f>0.0001*A2^3.45</f>
        <v>9.1505355996601605E-6</v>
      </c>
      <c r="C2" t="s">
        <v>2</v>
      </c>
      <c r="D2" t="s">
        <v>132</v>
      </c>
    </row>
    <row r="3" spans="1:4" x14ac:dyDescent="0.25">
      <c r="A3">
        <v>0.6</v>
      </c>
      <c r="B3">
        <f t="shared" ref="B3:B27" si="0">0.0001*A3^3.45</f>
        <v>1.7164130736388414E-5</v>
      </c>
      <c r="C3" t="s">
        <v>2</v>
      </c>
      <c r="D3" t="s">
        <v>132</v>
      </c>
    </row>
    <row r="4" spans="1:4" x14ac:dyDescent="0.25">
      <c r="A4">
        <v>0.7</v>
      </c>
      <c r="B4">
        <f t="shared" si="0"/>
        <v>2.921381253351177E-5</v>
      </c>
      <c r="C4" t="s">
        <v>2</v>
      </c>
      <c r="D4" t="s">
        <v>132</v>
      </c>
    </row>
    <row r="5" spans="1:4" x14ac:dyDescent="0.25">
      <c r="A5">
        <v>0.8</v>
      </c>
      <c r="B5">
        <f t="shared" si="0"/>
        <v>4.6308472418592721E-5</v>
      </c>
      <c r="C5" t="s">
        <v>2</v>
      </c>
      <c r="D5" t="s">
        <v>132</v>
      </c>
    </row>
    <row r="6" spans="1:4" x14ac:dyDescent="0.25">
      <c r="A6">
        <v>0.9</v>
      </c>
      <c r="B6">
        <f t="shared" si="0"/>
        <v>6.9524305229617765E-5</v>
      </c>
      <c r="C6" t="s">
        <v>2</v>
      </c>
      <c r="D6" t="s">
        <v>132</v>
      </c>
    </row>
    <row r="7" spans="1:4" x14ac:dyDescent="0.25">
      <c r="A7">
        <v>1</v>
      </c>
      <c r="B7">
        <f t="shared" si="0"/>
        <v>1E-4</v>
      </c>
      <c r="C7" t="s">
        <v>2</v>
      </c>
      <c r="D7" t="s">
        <v>132</v>
      </c>
    </row>
    <row r="8" spans="1:4" x14ac:dyDescent="0.25">
      <c r="A8">
        <v>1.1000000000000001</v>
      </c>
      <c r="B8">
        <f t="shared" si="0"/>
        <v>1.3893279212541778E-4</v>
      </c>
      <c r="C8" t="s">
        <v>2</v>
      </c>
      <c r="D8" t="s">
        <v>132</v>
      </c>
    </row>
    <row r="9" spans="1:4" x14ac:dyDescent="0.25">
      <c r="A9">
        <v>1.2</v>
      </c>
      <c r="B9">
        <f t="shared" si="0"/>
        <v>1.8757514846481633E-4</v>
      </c>
      <c r="C9" t="s">
        <v>2</v>
      </c>
      <c r="D9" t="s">
        <v>132</v>
      </c>
    </row>
    <row r="10" spans="1:4" x14ac:dyDescent="0.25">
      <c r="A10">
        <v>1.3</v>
      </c>
      <c r="B10">
        <f t="shared" si="0"/>
        <v>2.472319335828923E-4</v>
      </c>
      <c r="C10" t="s">
        <v>2</v>
      </c>
      <c r="D10" t="s">
        <v>132</v>
      </c>
    </row>
    <row r="11" spans="1:4" x14ac:dyDescent="0.25">
      <c r="A11">
        <v>1.4</v>
      </c>
      <c r="B11">
        <f t="shared" si="0"/>
        <v>3.1925795179242567E-4</v>
      </c>
      <c r="C11" t="s">
        <v>2</v>
      </c>
      <c r="D11" t="s">
        <v>132</v>
      </c>
    </row>
    <row r="12" spans="1:4" x14ac:dyDescent="0.25">
      <c r="A12">
        <v>1.5</v>
      </c>
      <c r="B12">
        <f t="shared" si="0"/>
        <v>4.0505578929333352E-4</v>
      </c>
      <c r="C12" t="s">
        <v>2</v>
      </c>
      <c r="D12" t="s">
        <v>132</v>
      </c>
    </row>
    <row r="13" spans="1:4" x14ac:dyDescent="0.25">
      <c r="A13">
        <v>1.6</v>
      </c>
      <c r="B13">
        <f t="shared" si="0"/>
        <v>5.0607390042078611E-4</v>
      </c>
      <c r="C13" t="s">
        <v>2</v>
      </c>
      <c r="D13" t="s">
        <v>132</v>
      </c>
    </row>
    <row r="14" spans="1:4" x14ac:dyDescent="0.25">
      <c r="A14">
        <v>1.7</v>
      </c>
      <c r="B14">
        <f t="shared" si="0"/>
        <v>6.2380489558843343E-4</v>
      </c>
      <c r="C14" t="s">
        <v>2</v>
      </c>
      <c r="D14" t="s">
        <v>132</v>
      </c>
    </row>
    <row r="15" spans="1:4" x14ac:dyDescent="0.25">
      <c r="A15">
        <v>1.8</v>
      </c>
      <c r="B15">
        <f t="shared" si="0"/>
        <v>7.5978399813230412E-4</v>
      </c>
      <c r="C15" t="s">
        <v>2</v>
      </c>
      <c r="D15" t="s">
        <v>132</v>
      </c>
    </row>
    <row r="16" spans="1:4" x14ac:dyDescent="0.25">
      <c r="A16">
        <v>1.9</v>
      </c>
      <c r="B16">
        <f t="shared" si="0"/>
        <v>9.1558764424855591E-4</v>
      </c>
      <c r="C16" t="s">
        <v>2</v>
      </c>
      <c r="D16" t="s">
        <v>132</v>
      </c>
    </row>
    <row r="17" spans="1:4" x14ac:dyDescent="0.25">
      <c r="A17">
        <v>2</v>
      </c>
      <c r="B17">
        <f t="shared" si="0"/>
        <v>1.0928322054035162E-3</v>
      </c>
      <c r="C17" t="s">
        <v>2</v>
      </c>
      <c r="D17" t="s">
        <v>132</v>
      </c>
    </row>
    <row r="18" spans="1:4" x14ac:dyDescent="0.25">
      <c r="A18">
        <v>2.1</v>
      </c>
      <c r="B18">
        <f t="shared" si="0"/>
        <v>1.2931728165145404E-3</v>
      </c>
      <c r="C18" t="s">
        <v>2</v>
      </c>
      <c r="D18" t="s">
        <v>132</v>
      </c>
    </row>
    <row r="19" spans="1:4" x14ac:dyDescent="0.25">
      <c r="A19">
        <v>2.2000000000000002</v>
      </c>
      <c r="B19">
        <f t="shared" si="0"/>
        <v>1.5183022962128867E-3</v>
      </c>
      <c r="C19" t="s">
        <v>2</v>
      </c>
      <c r="D19" t="s">
        <v>132</v>
      </c>
    </row>
    <row r="20" spans="1:4" x14ac:dyDescent="0.25">
      <c r="A20">
        <v>2.2999999999999998</v>
      </c>
      <c r="B20">
        <f t="shared" si="0"/>
        <v>1.7699501478490533E-3</v>
      </c>
      <c r="C20" t="s">
        <v>2</v>
      </c>
      <c r="D20" t="s">
        <v>132</v>
      </c>
    </row>
    <row r="21" spans="1:4" x14ac:dyDescent="0.25">
      <c r="A21">
        <v>2.4</v>
      </c>
      <c r="B21">
        <f t="shared" si="0"/>
        <v>2.0498816317569726E-3</v>
      </c>
      <c r="C21" t="s">
        <v>2</v>
      </c>
      <c r="D21" t="s">
        <v>132</v>
      </c>
    </row>
    <row r="22" spans="1:4" x14ac:dyDescent="0.25">
      <c r="A22">
        <v>2.5</v>
      </c>
      <c r="B22">
        <f t="shared" si="0"/>
        <v>2.3598969007769467E-3</v>
      </c>
      <c r="C22" t="s">
        <v>2</v>
      </c>
      <c r="D22" t="s">
        <v>132</v>
      </c>
    </row>
    <row r="23" spans="1:4" x14ac:dyDescent="0.25">
      <c r="A23">
        <v>2.6</v>
      </c>
      <c r="B23">
        <f t="shared" si="0"/>
        <v>2.7018301922356793E-3</v>
      </c>
      <c r="C23" t="s">
        <v>2</v>
      </c>
      <c r="D23" t="s">
        <v>132</v>
      </c>
    </row>
    <row r="24" spans="1:4" x14ac:dyDescent="0.25">
      <c r="A24">
        <v>2.7</v>
      </c>
      <c r="B24">
        <f t="shared" si="0"/>
        <v>3.0775490705592513E-3</v>
      </c>
      <c r="C24" t="s">
        <v>2</v>
      </c>
      <c r="D24" t="s">
        <v>132</v>
      </c>
    </row>
    <row r="25" spans="1:4" x14ac:dyDescent="0.25">
      <c r="A25">
        <v>2.8</v>
      </c>
      <c r="B25">
        <f t="shared" si="0"/>
        <v>3.4889537154992596E-3</v>
      </c>
      <c r="C25" t="s">
        <v>2</v>
      </c>
      <c r="D25" t="s">
        <v>132</v>
      </c>
    </row>
    <row r="26" spans="1:4" x14ac:dyDescent="0.25">
      <c r="A26">
        <v>2.9</v>
      </c>
      <c r="B26">
        <f t="shared" si="0"/>
        <v>3.9379762516196012E-3</v>
      </c>
      <c r="C26" t="s">
        <v>2</v>
      </c>
      <c r="D26" t="s">
        <v>132</v>
      </c>
    </row>
    <row r="27" spans="1:4" x14ac:dyDescent="0.25">
      <c r="A27">
        <v>3</v>
      </c>
      <c r="B27">
        <f t="shared" si="0"/>
        <v>4.42658011524896E-3</v>
      </c>
      <c r="C27" t="s">
        <v>2</v>
      </c>
      <c r="D27" t="s">
        <v>132</v>
      </c>
    </row>
    <row r="28" spans="1:4" x14ac:dyDescent="0.25">
      <c r="A28">
        <v>0.5</v>
      </c>
      <c r="B28">
        <f t="shared" ref="B28:B53" si="1">0.0011*A2^2.29</f>
        <v>2.2492306610338985E-4</v>
      </c>
      <c r="C28" t="s">
        <v>2</v>
      </c>
      <c r="D28" t="s">
        <v>133</v>
      </c>
    </row>
    <row r="29" spans="1:4" x14ac:dyDescent="0.25">
      <c r="A29">
        <v>0.6</v>
      </c>
      <c r="B29">
        <f t="shared" si="1"/>
        <v>3.4147510601891657E-4</v>
      </c>
      <c r="C29" t="s">
        <v>2</v>
      </c>
      <c r="D29" t="s">
        <v>133</v>
      </c>
    </row>
    <row r="30" spans="1:4" x14ac:dyDescent="0.25">
      <c r="A30">
        <v>0.7</v>
      </c>
      <c r="B30">
        <f t="shared" si="1"/>
        <v>4.8603461087976993E-4</v>
      </c>
      <c r="C30" t="s">
        <v>2</v>
      </c>
      <c r="D30" t="s">
        <v>133</v>
      </c>
    </row>
    <row r="31" spans="1:4" x14ac:dyDescent="0.25">
      <c r="A31">
        <v>0.8</v>
      </c>
      <c r="B31">
        <f t="shared" si="1"/>
        <v>6.5988575811767695E-4</v>
      </c>
      <c r="C31" t="s">
        <v>2</v>
      </c>
      <c r="D31" t="s">
        <v>133</v>
      </c>
    </row>
    <row r="32" spans="1:4" x14ac:dyDescent="0.25">
      <c r="A32">
        <v>0.9</v>
      </c>
      <c r="B32">
        <f t="shared" si="1"/>
        <v>8.6418760264923692E-4</v>
      </c>
      <c r="C32" t="s">
        <v>2</v>
      </c>
      <c r="D32" t="s">
        <v>133</v>
      </c>
    </row>
    <row r="33" spans="1:4" x14ac:dyDescent="0.25">
      <c r="A33">
        <v>1</v>
      </c>
      <c r="B33">
        <f t="shared" si="1"/>
        <v>1.1000000000000001E-3</v>
      </c>
      <c r="C33" t="s">
        <v>2</v>
      </c>
      <c r="D33" t="s">
        <v>133</v>
      </c>
    </row>
    <row r="34" spans="1:4" x14ac:dyDescent="0.25">
      <c r="A34">
        <v>1.1000000000000001</v>
      </c>
      <c r="B34">
        <f t="shared" si="1"/>
        <v>1.3683019130935423E-3</v>
      </c>
      <c r="C34" t="s">
        <v>2</v>
      </c>
      <c r="D34" t="s">
        <v>133</v>
      </c>
    </row>
    <row r="35" spans="1:4" x14ac:dyDescent="0.25">
      <c r="A35">
        <v>1.2</v>
      </c>
      <c r="B35">
        <f t="shared" si="1"/>
        <v>1.6700048737915867E-3</v>
      </c>
      <c r="C35" t="s">
        <v>2</v>
      </c>
      <c r="D35" t="s">
        <v>133</v>
      </c>
    </row>
    <row r="36" spans="1:4" x14ac:dyDescent="0.25">
      <c r="A36">
        <v>1.3</v>
      </c>
      <c r="B36">
        <f t="shared" si="1"/>
        <v>2.0059632020631561E-3</v>
      </c>
      <c r="C36" t="s">
        <v>2</v>
      </c>
      <c r="D36" t="s">
        <v>133</v>
      </c>
    </row>
    <row r="37" spans="1:4" x14ac:dyDescent="0.25">
      <c r="A37">
        <v>1.4</v>
      </c>
      <c r="B37">
        <f t="shared" si="1"/>
        <v>2.376981966455994E-3</v>
      </c>
      <c r="C37" t="s">
        <v>2</v>
      </c>
      <c r="D37" t="s">
        <v>133</v>
      </c>
    </row>
    <row r="38" spans="1:4" x14ac:dyDescent="0.25">
      <c r="A38">
        <v>1.5</v>
      </c>
      <c r="B38">
        <f t="shared" si="1"/>
        <v>2.7838233187677829E-3</v>
      </c>
      <c r="C38" t="s">
        <v>2</v>
      </c>
      <c r="D38" t="s">
        <v>133</v>
      </c>
    </row>
    <row r="39" spans="1:4" x14ac:dyDescent="0.25">
      <c r="A39">
        <v>1.6</v>
      </c>
      <c r="B39">
        <f t="shared" si="1"/>
        <v>3.2272116262001519E-3</v>
      </c>
      <c r="C39" t="s">
        <v>2</v>
      </c>
      <c r="D39" t="s">
        <v>133</v>
      </c>
    </row>
    <row r="40" spans="1:4" x14ac:dyDescent="0.25">
      <c r="A40">
        <v>1.7</v>
      </c>
      <c r="B40">
        <f t="shared" si="1"/>
        <v>3.7078376933910306E-3</v>
      </c>
      <c r="C40" t="s">
        <v>2</v>
      </c>
      <c r="D40" t="s">
        <v>133</v>
      </c>
    </row>
    <row r="41" spans="1:4" x14ac:dyDescent="0.25">
      <c r="A41">
        <v>1.8</v>
      </c>
      <c r="B41">
        <f t="shared" si="1"/>
        <v>4.2263622819244248E-3</v>
      </c>
      <c r="C41" t="s">
        <v>2</v>
      </c>
      <c r="D41" t="s">
        <v>133</v>
      </c>
    </row>
    <row r="42" spans="1:4" x14ac:dyDescent="0.25">
      <c r="A42">
        <v>1.9</v>
      </c>
      <c r="B42">
        <f t="shared" si="1"/>
        <v>4.7834190782294434E-3</v>
      </c>
      <c r="C42" t="s">
        <v>2</v>
      </c>
      <c r="D42" t="s">
        <v>133</v>
      </c>
    </row>
    <row r="43" spans="1:4" x14ac:dyDescent="0.25">
      <c r="A43">
        <v>2</v>
      </c>
      <c r="B43">
        <f t="shared" si="1"/>
        <v>5.379617221845101E-3</v>
      </c>
      <c r="C43" t="s">
        <v>2</v>
      </c>
      <c r="D43" t="s">
        <v>133</v>
      </c>
    </row>
    <row r="44" spans="1:4" x14ac:dyDescent="0.25">
      <c r="A44">
        <v>2.1</v>
      </c>
      <c r="B44">
        <f t="shared" si="1"/>
        <v>6.0155434786460862E-3</v>
      </c>
      <c r="C44" t="s">
        <v>2</v>
      </c>
      <c r="D44" t="s">
        <v>133</v>
      </c>
    </row>
    <row r="45" spans="1:4" x14ac:dyDescent="0.25">
      <c r="A45">
        <v>2.2000000000000002</v>
      </c>
      <c r="B45">
        <f t="shared" si="1"/>
        <v>6.6917641239651084E-3</v>
      </c>
      <c r="C45" t="s">
        <v>2</v>
      </c>
      <c r="D45" t="s">
        <v>133</v>
      </c>
    </row>
    <row r="46" spans="1:4" x14ac:dyDescent="0.25">
      <c r="A46">
        <v>2.2999999999999998</v>
      </c>
      <c r="B46">
        <f t="shared" si="1"/>
        <v>7.4088265861693278E-3</v>
      </c>
      <c r="C46" t="s">
        <v>2</v>
      </c>
      <c r="D46" t="s">
        <v>133</v>
      </c>
    </row>
    <row r="47" spans="1:4" x14ac:dyDescent="0.25">
      <c r="A47">
        <v>2.4</v>
      </c>
      <c r="B47">
        <f t="shared" si="1"/>
        <v>8.1672608905586138E-3</v>
      </c>
      <c r="C47" t="s">
        <v>2</v>
      </c>
      <c r="D47" t="s">
        <v>133</v>
      </c>
    </row>
    <row r="48" spans="1:4" x14ac:dyDescent="0.25">
      <c r="A48">
        <v>2.5</v>
      </c>
      <c r="B48">
        <f t="shared" si="1"/>
        <v>8.9675809353872062E-3</v>
      </c>
      <c r="C48" t="s">
        <v>2</v>
      </c>
      <c r="D48" t="s">
        <v>133</v>
      </c>
    </row>
    <row r="49" spans="1:4" x14ac:dyDescent="0.25">
      <c r="A49">
        <v>2.6</v>
      </c>
      <c r="B49">
        <f t="shared" si="1"/>
        <v>9.8102856256422726E-3</v>
      </c>
      <c r="C49" t="s">
        <v>2</v>
      </c>
      <c r="D49" t="s">
        <v>133</v>
      </c>
    </row>
    <row r="50" spans="1:4" x14ac:dyDescent="0.25">
      <c r="A50">
        <v>2.7</v>
      </c>
      <c r="B50">
        <f t="shared" si="1"/>
        <v>1.069585988543803E-2</v>
      </c>
      <c r="C50" t="s">
        <v>2</v>
      </c>
      <c r="D50" t="s">
        <v>133</v>
      </c>
    </row>
    <row r="51" spans="1:4" x14ac:dyDescent="0.25">
      <c r="A51">
        <v>2.8</v>
      </c>
      <c r="B51">
        <f t="shared" si="1"/>
        <v>1.1624775566147178E-2</v>
      </c>
      <c r="C51" t="s">
        <v>2</v>
      </c>
      <c r="D51" t="s">
        <v>133</v>
      </c>
    </row>
    <row r="52" spans="1:4" x14ac:dyDescent="0.25">
      <c r="A52">
        <v>2.9</v>
      </c>
      <c r="B52">
        <f t="shared" si="1"/>
        <v>1.2597492264436572E-2</v>
      </c>
      <c r="C52" t="s">
        <v>2</v>
      </c>
      <c r="D52" t="s">
        <v>133</v>
      </c>
    </row>
    <row r="53" spans="1:4" x14ac:dyDescent="0.25">
      <c r="A53">
        <v>3</v>
      </c>
      <c r="B53">
        <f t="shared" si="1"/>
        <v>1.3614458062015592E-2</v>
      </c>
      <c r="C53" t="s">
        <v>2</v>
      </c>
      <c r="D53" t="s">
        <v>133</v>
      </c>
    </row>
    <row r="54" spans="1:4" x14ac:dyDescent="0.25">
      <c r="A54">
        <v>0.5</v>
      </c>
      <c r="B54">
        <f t="shared" ref="B54:B79" si="2">0.0006*A2^2.59</f>
        <v>9.9651436057238385E-5</v>
      </c>
      <c r="C54" t="s">
        <v>2</v>
      </c>
      <c r="D54" t="s">
        <v>134</v>
      </c>
    </row>
    <row r="55" spans="1:4" x14ac:dyDescent="0.25">
      <c r="A55">
        <v>0.6</v>
      </c>
      <c r="B55">
        <f t="shared" si="2"/>
        <v>1.5979492744205419E-4</v>
      </c>
      <c r="C55" t="s">
        <v>2</v>
      </c>
      <c r="D55" t="s">
        <v>134</v>
      </c>
    </row>
    <row r="56" spans="1:4" x14ac:dyDescent="0.25">
      <c r="A56">
        <v>0.7</v>
      </c>
      <c r="B56">
        <f t="shared" si="2"/>
        <v>2.3820735894385372E-4</v>
      </c>
      <c r="C56" t="s">
        <v>2</v>
      </c>
      <c r="D56" t="s">
        <v>134</v>
      </c>
    </row>
    <row r="57" spans="1:4" x14ac:dyDescent="0.25">
      <c r="A57">
        <v>0.8</v>
      </c>
      <c r="B57">
        <f t="shared" si="2"/>
        <v>3.3663116237444245E-4</v>
      </c>
      <c r="C57" t="s">
        <v>2</v>
      </c>
      <c r="D57" t="s">
        <v>134</v>
      </c>
    </row>
    <row r="58" spans="1:4" x14ac:dyDescent="0.25">
      <c r="A58">
        <v>0.9</v>
      </c>
      <c r="B58">
        <f t="shared" si="2"/>
        <v>4.5670876848277368E-4</v>
      </c>
      <c r="C58" t="s">
        <v>2</v>
      </c>
      <c r="D58" t="s">
        <v>134</v>
      </c>
    </row>
    <row r="59" spans="1:4" x14ac:dyDescent="0.25">
      <c r="A59">
        <v>1</v>
      </c>
      <c r="B59">
        <f t="shared" si="2"/>
        <v>5.9999999999999995E-4</v>
      </c>
      <c r="C59" t="s">
        <v>2</v>
      </c>
      <c r="D59" t="s">
        <v>134</v>
      </c>
    </row>
    <row r="60" spans="1:4" x14ac:dyDescent="0.25">
      <c r="A60">
        <v>1.1000000000000001</v>
      </c>
      <c r="B60">
        <f t="shared" si="2"/>
        <v>7.6799484501826763E-4</v>
      </c>
      <c r="C60" t="s">
        <v>2</v>
      </c>
      <c r="D60" t="s">
        <v>134</v>
      </c>
    </row>
    <row r="61" spans="1:4" x14ac:dyDescent="0.25">
      <c r="A61">
        <v>1.2</v>
      </c>
      <c r="B61">
        <f t="shared" si="2"/>
        <v>9.621231791397581E-4</v>
      </c>
      <c r="C61" t="s">
        <v>2</v>
      </c>
      <c r="D61" t="s">
        <v>134</v>
      </c>
    </row>
    <row r="62" spans="1:4" x14ac:dyDescent="0.25">
      <c r="A62">
        <v>1.3</v>
      </c>
      <c r="B62">
        <f t="shared" si="2"/>
        <v>1.1837623769837889E-3</v>
      </c>
      <c r="C62" t="s">
        <v>2</v>
      </c>
      <c r="D62" t="s">
        <v>134</v>
      </c>
    </row>
    <row r="63" spans="1:4" x14ac:dyDescent="0.25">
      <c r="A63">
        <v>1.4</v>
      </c>
      <c r="B63">
        <f t="shared" si="2"/>
        <v>1.4342434090384656E-3</v>
      </c>
      <c r="C63" t="s">
        <v>2</v>
      </c>
      <c r="D63" t="s">
        <v>134</v>
      </c>
    </row>
    <row r="64" spans="1:4" x14ac:dyDescent="0.25">
      <c r="A64">
        <v>1.5</v>
      </c>
      <c r="B64">
        <f t="shared" si="2"/>
        <v>1.7148558184929422E-3</v>
      </c>
      <c r="C64" t="s">
        <v>2</v>
      </c>
      <c r="D64" t="s">
        <v>134</v>
      </c>
    </row>
    <row r="65" spans="1:4" x14ac:dyDescent="0.25">
      <c r="A65">
        <v>1.6</v>
      </c>
      <c r="B65">
        <f t="shared" si="2"/>
        <v>2.0268518489653452E-3</v>
      </c>
      <c r="C65" t="s">
        <v>2</v>
      </c>
      <c r="D65" t="s">
        <v>134</v>
      </c>
    </row>
    <row r="66" spans="1:4" x14ac:dyDescent="0.25">
      <c r="A66">
        <v>1.7</v>
      </c>
      <c r="B66">
        <f t="shared" si="2"/>
        <v>2.3714499148035106E-3</v>
      </c>
      <c r="C66" t="s">
        <v>2</v>
      </c>
      <c r="D66" t="s">
        <v>134</v>
      </c>
    </row>
    <row r="67" spans="1:4" x14ac:dyDescent="0.25">
      <c r="A67">
        <v>1.8</v>
      </c>
      <c r="B67">
        <f t="shared" si="2"/>
        <v>2.7498375530912371E-3</v>
      </c>
      <c r="C67" t="s">
        <v>2</v>
      </c>
      <c r="D67" t="s">
        <v>134</v>
      </c>
    </row>
    <row r="68" spans="1:4" x14ac:dyDescent="0.25">
      <c r="A68">
        <v>1.9</v>
      </c>
      <c r="B68">
        <f t="shared" si="2"/>
        <v>3.1631739606014296E-3</v>
      </c>
      <c r="C68" t="s">
        <v>2</v>
      </c>
      <c r="D68" t="s">
        <v>134</v>
      </c>
    </row>
    <row r="69" spans="1:4" x14ac:dyDescent="0.25">
      <c r="A69">
        <v>2</v>
      </c>
      <c r="B69">
        <f t="shared" si="2"/>
        <v>3.6125921937865601E-3</v>
      </c>
      <c r="C69" t="s">
        <v>2</v>
      </c>
      <c r="D69" t="s">
        <v>134</v>
      </c>
    </row>
    <row r="70" spans="1:4" x14ac:dyDescent="0.25">
      <c r="A70">
        <v>2.1</v>
      </c>
      <c r="B70">
        <f t="shared" si="2"/>
        <v>4.0992010918746106E-3</v>
      </c>
      <c r="C70" t="s">
        <v>2</v>
      </c>
      <c r="D70" t="s">
        <v>134</v>
      </c>
    </row>
    <row r="71" spans="1:4" x14ac:dyDescent="0.25">
      <c r="A71">
        <v>2.2000000000000002</v>
      </c>
      <c r="B71">
        <f t="shared" si="2"/>
        <v>4.6240869699688564E-3</v>
      </c>
      <c r="C71" t="s">
        <v>2</v>
      </c>
      <c r="D71" t="s">
        <v>134</v>
      </c>
    </row>
    <row r="72" spans="1:4" x14ac:dyDescent="0.25">
      <c r="A72">
        <v>2.2999999999999998</v>
      </c>
      <c r="B72">
        <f t="shared" si="2"/>
        <v>5.188315119256607E-3</v>
      </c>
      <c r="C72" t="s">
        <v>2</v>
      </c>
      <c r="D72" t="s">
        <v>134</v>
      </c>
    </row>
    <row r="73" spans="1:4" x14ac:dyDescent="0.25">
      <c r="A73">
        <v>2.4</v>
      </c>
      <c r="B73">
        <f t="shared" si="2"/>
        <v>5.7929311440356665E-3</v>
      </c>
      <c r="C73" t="s">
        <v>2</v>
      </c>
      <c r="D73" t="s">
        <v>134</v>
      </c>
    </row>
    <row r="74" spans="1:4" x14ac:dyDescent="0.25">
      <c r="A74">
        <v>2.5</v>
      </c>
      <c r="B74">
        <f t="shared" si="2"/>
        <v>6.4389621596021938E-3</v>
      </c>
      <c r="C74" t="s">
        <v>2</v>
      </c>
      <c r="D74" t="s">
        <v>134</v>
      </c>
    </row>
    <row r="75" spans="1:4" x14ac:dyDescent="0.25">
      <c r="A75">
        <v>2.6</v>
      </c>
      <c r="B75">
        <f t="shared" si="2"/>
        <v>7.1274178706497646E-3</v>
      </c>
      <c r="C75" t="s">
        <v>2</v>
      </c>
      <c r="D75" t="s">
        <v>134</v>
      </c>
    </row>
    <row r="76" spans="1:4" x14ac:dyDescent="0.25">
      <c r="A76">
        <v>2.7</v>
      </c>
      <c r="B76">
        <f t="shared" si="2"/>
        <v>7.8592915463815069E-3</v>
      </c>
      <c r="C76" t="s">
        <v>2</v>
      </c>
      <c r="D76" t="s">
        <v>134</v>
      </c>
    </row>
    <row r="77" spans="1:4" x14ac:dyDescent="0.25">
      <c r="A77">
        <v>2.8</v>
      </c>
      <c r="B77">
        <f t="shared" si="2"/>
        <v>8.6355609058036444E-3</v>
      </c>
      <c r="C77" t="s">
        <v>2</v>
      </c>
      <c r="D77" t="s">
        <v>134</v>
      </c>
    </row>
    <row r="78" spans="1:4" x14ac:dyDescent="0.25">
      <c r="A78">
        <v>2.9</v>
      </c>
      <c r="B78">
        <f t="shared" si="2"/>
        <v>9.4571889244803118E-3</v>
      </c>
      <c r="C78" t="s">
        <v>2</v>
      </c>
      <c r="D78" t="s">
        <v>134</v>
      </c>
    </row>
    <row r="79" spans="1:4" x14ac:dyDescent="0.25">
      <c r="A79">
        <v>3</v>
      </c>
      <c r="B79">
        <f t="shared" si="2"/>
        <v>1.0325124572261779E-2</v>
      </c>
      <c r="C79" t="s">
        <v>2</v>
      </c>
      <c r="D79" t="s">
        <v>134</v>
      </c>
    </row>
    <row r="80" spans="1:4" x14ac:dyDescent="0.25">
      <c r="A80">
        <v>0.5</v>
      </c>
      <c r="B80">
        <f>0.0021*A28^2.1</f>
        <v>4.8984232055682391E-4</v>
      </c>
      <c r="C80" t="s">
        <v>2</v>
      </c>
      <c r="D80" t="s">
        <v>135</v>
      </c>
    </row>
    <row r="81" spans="1:4" x14ac:dyDescent="0.25">
      <c r="A81">
        <v>0.6</v>
      </c>
      <c r="B81">
        <f t="shared" ref="B81:B105" si="3">0.0021*A29^2.1</f>
        <v>7.1835136367829125E-4</v>
      </c>
      <c r="C81" t="s">
        <v>2</v>
      </c>
      <c r="D81" t="s">
        <v>135</v>
      </c>
    </row>
    <row r="82" spans="1:4" x14ac:dyDescent="0.25">
      <c r="A82">
        <v>0.7</v>
      </c>
      <c r="B82">
        <f t="shared" si="3"/>
        <v>9.9294496687829222E-4</v>
      </c>
      <c r="C82" t="s">
        <v>2</v>
      </c>
      <c r="D82" t="s">
        <v>135</v>
      </c>
    </row>
    <row r="83" spans="1:4" x14ac:dyDescent="0.25">
      <c r="A83">
        <v>0.8</v>
      </c>
      <c r="B83">
        <f t="shared" si="3"/>
        <v>1.3143416409216958E-3</v>
      </c>
      <c r="C83" t="s">
        <v>2</v>
      </c>
      <c r="D83" t="s">
        <v>135</v>
      </c>
    </row>
    <row r="84" spans="1:4" x14ac:dyDescent="0.25">
      <c r="A84">
        <v>0.9</v>
      </c>
      <c r="B84">
        <f t="shared" si="3"/>
        <v>1.6831722582087707E-3</v>
      </c>
      <c r="C84" t="s">
        <v>2</v>
      </c>
      <c r="D84" t="s">
        <v>135</v>
      </c>
    </row>
    <row r="85" spans="1:4" x14ac:dyDescent="0.25">
      <c r="A85">
        <v>1</v>
      </c>
      <c r="B85">
        <f t="shared" si="3"/>
        <v>2.0999999999999999E-3</v>
      </c>
      <c r="C85" t="s">
        <v>2</v>
      </c>
      <c r="D85" t="s">
        <v>135</v>
      </c>
    </row>
    <row r="86" spans="1:4" x14ac:dyDescent="0.25">
      <c r="A86">
        <v>1.1000000000000001</v>
      </c>
      <c r="B86">
        <f t="shared" si="3"/>
        <v>2.5653340968360703E-3</v>
      </c>
      <c r="C86" t="s">
        <v>2</v>
      </c>
      <c r="D86" t="s">
        <v>135</v>
      </c>
    </row>
    <row r="87" spans="1:4" x14ac:dyDescent="0.25">
      <c r="A87">
        <v>1.2</v>
      </c>
      <c r="B87">
        <f t="shared" si="3"/>
        <v>3.0796397134686005E-3</v>
      </c>
      <c r="C87" t="s">
        <v>2</v>
      </c>
      <c r="D87" t="s">
        <v>135</v>
      </c>
    </row>
    <row r="88" spans="1:4" x14ac:dyDescent="0.25">
      <c r="A88">
        <v>1.3</v>
      </c>
      <c r="B88">
        <f t="shared" si="3"/>
        <v>3.6433453074987197E-3</v>
      </c>
      <c r="C88" t="s">
        <v>2</v>
      </c>
      <c r="D88" t="s">
        <v>135</v>
      </c>
    </row>
    <row r="89" spans="1:4" x14ac:dyDescent="0.25">
      <c r="A89">
        <v>1.4</v>
      </c>
      <c r="B89">
        <f t="shared" si="3"/>
        <v>4.2568482610365289E-3</v>
      </c>
      <c r="C89" t="s">
        <v>2</v>
      </c>
      <c r="D89" t="s">
        <v>135</v>
      </c>
    </row>
    <row r="90" spans="1:4" x14ac:dyDescent="0.25">
      <c r="A90">
        <v>1.5</v>
      </c>
      <c r="B90">
        <f t="shared" si="3"/>
        <v>4.9205192903641407E-3</v>
      </c>
      <c r="C90" t="s">
        <v>2</v>
      </c>
      <c r="D90" t="s">
        <v>135</v>
      </c>
    </row>
    <row r="91" spans="1:4" x14ac:dyDescent="0.25">
      <c r="A91">
        <v>1.6</v>
      </c>
      <c r="B91">
        <f t="shared" si="3"/>
        <v>5.6347059657851179E-3</v>
      </c>
      <c r="C91" t="s">
        <v>2</v>
      </c>
      <c r="D91" t="s">
        <v>135</v>
      </c>
    </row>
    <row r="92" spans="1:4" x14ac:dyDescent="0.25">
      <c r="A92">
        <v>1.7</v>
      </c>
      <c r="B92">
        <f t="shared" si="3"/>
        <v>6.3997355676665762E-3</v>
      </c>
      <c r="C92" t="s">
        <v>2</v>
      </c>
      <c r="D92" t="s">
        <v>135</v>
      </c>
    </row>
    <row r="93" spans="1:4" x14ac:dyDescent="0.25">
      <c r="A93">
        <v>1.8</v>
      </c>
      <c r="B93">
        <f t="shared" si="3"/>
        <v>7.2159174369017835E-3</v>
      </c>
      <c r="C93" t="s">
        <v>2</v>
      </c>
      <c r="D93" t="s">
        <v>135</v>
      </c>
    </row>
    <row r="94" spans="1:4" x14ac:dyDescent="0.25">
      <c r="A94">
        <v>1.9</v>
      </c>
      <c r="B94">
        <f t="shared" si="3"/>
        <v>8.083544933325703E-3</v>
      </c>
      <c r="C94" t="s">
        <v>2</v>
      </c>
      <c r="D94" t="s">
        <v>135</v>
      </c>
    </row>
    <row r="95" spans="1:4" x14ac:dyDescent="0.25">
      <c r="A95">
        <v>2</v>
      </c>
      <c r="B95">
        <f t="shared" si="3"/>
        <v>9.0028970853048614E-3</v>
      </c>
      <c r="C95" t="s">
        <v>2</v>
      </c>
      <c r="D95" t="s">
        <v>135</v>
      </c>
    </row>
    <row r="96" spans="1:4" x14ac:dyDescent="0.25">
      <c r="A96">
        <v>2.1</v>
      </c>
      <c r="B96">
        <f t="shared" si="3"/>
        <v>9.974239992658708E-3</v>
      </c>
      <c r="C96" t="s">
        <v>2</v>
      </c>
      <c r="D96" t="s">
        <v>135</v>
      </c>
    </row>
    <row r="97" spans="1:4" x14ac:dyDescent="0.25">
      <c r="A97">
        <v>2.2000000000000002</v>
      </c>
      <c r="B97">
        <f t="shared" si="3"/>
        <v>1.099782803011364E-2</v>
      </c>
      <c r="C97" t="s">
        <v>2</v>
      </c>
      <c r="D97" t="s">
        <v>135</v>
      </c>
    </row>
    <row r="98" spans="1:4" x14ac:dyDescent="0.25">
      <c r="A98">
        <v>2.2999999999999998</v>
      </c>
      <c r="B98">
        <f t="shared" si="3"/>
        <v>1.2073904887667349E-2</v>
      </c>
      <c r="C98" t="s">
        <v>2</v>
      </c>
      <c r="D98" t="s">
        <v>135</v>
      </c>
    </row>
    <row r="99" spans="1:4" x14ac:dyDescent="0.25">
      <c r="A99">
        <v>2.4</v>
      </c>
      <c r="B99">
        <f t="shared" si="3"/>
        <v>1.320270447627408E-2</v>
      </c>
      <c r="C99" t="s">
        <v>2</v>
      </c>
      <c r="D99" t="s">
        <v>135</v>
      </c>
    </row>
    <row r="100" spans="1:4" x14ac:dyDescent="0.25">
      <c r="A100">
        <v>2.5</v>
      </c>
      <c r="B100">
        <f t="shared" si="3"/>
        <v>1.438445172130598E-2</v>
      </c>
      <c r="C100" t="s">
        <v>2</v>
      </c>
      <c r="D100" t="s">
        <v>135</v>
      </c>
    </row>
    <row r="101" spans="1:4" x14ac:dyDescent="0.25">
      <c r="A101">
        <v>2.6</v>
      </c>
      <c r="B101">
        <f t="shared" si="3"/>
        <v>1.5619363261733034E-2</v>
      </c>
      <c r="C101" t="s">
        <v>2</v>
      </c>
      <c r="D101" t="s">
        <v>135</v>
      </c>
    </row>
    <row r="102" spans="1:4" x14ac:dyDescent="0.25">
      <c r="A102">
        <v>2.7</v>
      </c>
      <c r="B102">
        <f t="shared" si="3"/>
        <v>1.6907648069500094E-2</v>
      </c>
      <c r="C102" t="s">
        <v>2</v>
      </c>
      <c r="D102" t="s">
        <v>135</v>
      </c>
    </row>
    <row r="103" spans="1:4" x14ac:dyDescent="0.25">
      <c r="A103">
        <v>2.8</v>
      </c>
      <c r="B103">
        <f t="shared" si="3"/>
        <v>1.8249508000890875E-2</v>
      </c>
      <c r="C103" t="s">
        <v>2</v>
      </c>
      <c r="D103" t="s">
        <v>135</v>
      </c>
    </row>
    <row r="104" spans="1:4" x14ac:dyDescent="0.25">
      <c r="A104">
        <v>2.9</v>
      </c>
      <c r="B104">
        <f t="shared" si="3"/>
        <v>1.9645138289559726E-2</v>
      </c>
      <c r="C104" t="s">
        <v>2</v>
      </c>
      <c r="D104" t="s">
        <v>135</v>
      </c>
    </row>
    <row r="105" spans="1:4" x14ac:dyDescent="0.25">
      <c r="A105">
        <v>3</v>
      </c>
      <c r="B105">
        <f t="shared" si="3"/>
        <v>2.1094727989240801E-2</v>
      </c>
      <c r="C105" t="s">
        <v>2</v>
      </c>
      <c r="D105" t="s">
        <v>135</v>
      </c>
    </row>
    <row r="106" spans="1:4" x14ac:dyDescent="0.25">
      <c r="A106">
        <v>0.5</v>
      </c>
      <c r="B106">
        <f>0.0032*A106^2.61</f>
        <v>5.2415736154334542E-4</v>
      </c>
      <c r="C106" t="s">
        <v>2</v>
      </c>
      <c r="D106" t="s">
        <v>136</v>
      </c>
    </row>
    <row r="107" spans="1:4" x14ac:dyDescent="0.25">
      <c r="A107">
        <v>0.6</v>
      </c>
      <c r="B107">
        <f t="shared" ref="B107:B131" si="4">0.0032*A107^2.61</f>
        <v>8.4357702246601362E-4</v>
      </c>
      <c r="C107" t="s">
        <v>2</v>
      </c>
      <c r="D107" t="s">
        <v>136</v>
      </c>
    </row>
    <row r="108" spans="1:4" x14ac:dyDescent="0.25">
      <c r="A108">
        <v>0.7</v>
      </c>
      <c r="B108">
        <f t="shared" si="4"/>
        <v>1.2614088183245545E-3</v>
      </c>
      <c r="C108" t="s">
        <v>2</v>
      </c>
      <c r="D108" t="s">
        <v>136</v>
      </c>
    </row>
    <row r="109" spans="1:4" x14ac:dyDescent="0.25">
      <c r="A109">
        <v>0.8</v>
      </c>
      <c r="B109">
        <f t="shared" si="4"/>
        <v>1.787371564319512E-3</v>
      </c>
      <c r="C109" t="s">
        <v>2</v>
      </c>
      <c r="D109" t="s">
        <v>136</v>
      </c>
    </row>
    <row r="110" spans="1:4" x14ac:dyDescent="0.25">
      <c r="A110">
        <v>0.9</v>
      </c>
      <c r="B110">
        <f t="shared" si="4"/>
        <v>2.430652801674192E-3</v>
      </c>
      <c r="C110" t="s">
        <v>2</v>
      </c>
      <c r="D110" t="s">
        <v>136</v>
      </c>
    </row>
    <row r="111" spans="1:4" x14ac:dyDescent="0.25">
      <c r="A111">
        <v>1</v>
      </c>
      <c r="B111">
        <f t="shared" si="4"/>
        <v>3.2000000000000002E-3</v>
      </c>
      <c r="C111" t="s">
        <v>2</v>
      </c>
      <c r="D111" t="s">
        <v>136</v>
      </c>
    </row>
    <row r="112" spans="1:4" x14ac:dyDescent="0.25">
      <c r="A112">
        <v>1.1000000000000001</v>
      </c>
      <c r="B112">
        <f t="shared" si="4"/>
        <v>4.1037877106043404E-3</v>
      </c>
      <c r="C112" t="s">
        <v>2</v>
      </c>
      <c r="D112" t="s">
        <v>136</v>
      </c>
    </row>
    <row r="113" spans="1:4" x14ac:dyDescent="0.25">
      <c r="A113">
        <v>1.2</v>
      </c>
      <c r="B113">
        <f t="shared" si="4"/>
        <v>5.1500687960251267E-3</v>
      </c>
      <c r="C113" t="s">
        <v>2</v>
      </c>
      <c r="D113" t="s">
        <v>136</v>
      </c>
    </row>
    <row r="114" spans="1:4" x14ac:dyDescent="0.25">
      <c r="A114">
        <v>1.3</v>
      </c>
      <c r="B114">
        <f t="shared" si="4"/>
        <v>6.3466146202195957E-3</v>
      </c>
      <c r="C114" t="s">
        <v>2</v>
      </c>
      <c r="D114" t="s">
        <v>136</v>
      </c>
    </row>
    <row r="115" spans="1:4" x14ac:dyDescent="0.25">
      <c r="A115">
        <v>1.4</v>
      </c>
      <c r="B115">
        <f t="shared" si="4"/>
        <v>7.7009473009276323E-3</v>
      </c>
      <c r="C115" t="s">
        <v>2</v>
      </c>
      <c r="D115" t="s">
        <v>136</v>
      </c>
    </row>
    <row r="116" spans="1:4" x14ac:dyDescent="0.25">
      <c r="A116">
        <v>1.5</v>
      </c>
      <c r="B116">
        <f t="shared" si="4"/>
        <v>9.2203660818307564E-3</v>
      </c>
      <c r="C116" t="s">
        <v>2</v>
      </c>
      <c r="D116" t="s">
        <v>136</v>
      </c>
    </row>
    <row r="117" spans="1:4" x14ac:dyDescent="0.25">
      <c r="A117">
        <v>1.6</v>
      </c>
      <c r="B117">
        <f t="shared" si="4"/>
        <v>1.0911969239507583E-2</v>
      </c>
      <c r="C117" t="s">
        <v>2</v>
      </c>
      <c r="D117" t="s">
        <v>136</v>
      </c>
    </row>
    <row r="118" spans="1:4" x14ac:dyDescent="0.25">
      <c r="A118">
        <v>1.7</v>
      </c>
      <c r="B118">
        <f t="shared" si="4"/>
        <v>1.2782672527920837E-2</v>
      </c>
      <c r="C118" t="s">
        <v>2</v>
      </c>
      <c r="D118" t="s">
        <v>136</v>
      </c>
    </row>
    <row r="119" spans="1:4" x14ac:dyDescent="0.25">
      <c r="A119">
        <v>1.8</v>
      </c>
      <c r="B119">
        <f t="shared" si="4"/>
        <v>1.4839224889364077E-2</v>
      </c>
      <c r="C119" t="s">
        <v>2</v>
      </c>
      <c r="D119" t="s">
        <v>136</v>
      </c>
    </row>
    <row r="120" spans="1:4" x14ac:dyDescent="0.25">
      <c r="A120">
        <v>1.9</v>
      </c>
      <c r="B120">
        <f t="shared" si="4"/>
        <v>1.7088221973499632E-2</v>
      </c>
      <c r="C120" t="s">
        <v>2</v>
      </c>
      <c r="D120" t="s">
        <v>136</v>
      </c>
    </row>
    <row r="121" spans="1:4" x14ac:dyDescent="0.25">
      <c r="A121">
        <v>2</v>
      </c>
      <c r="B121">
        <f t="shared" si="4"/>
        <v>1.9536117874695155E-2</v>
      </c>
      <c r="C121" t="s">
        <v>2</v>
      </c>
      <c r="D121" t="s">
        <v>136</v>
      </c>
    </row>
    <row r="122" spans="1:4" x14ac:dyDescent="0.25">
      <c r="A122">
        <v>2.1</v>
      </c>
      <c r="B122">
        <f t="shared" si="4"/>
        <v>2.2189235403574769E-2</v>
      </c>
      <c r="C122" t="s">
        <v>2</v>
      </c>
      <c r="D122" t="s">
        <v>136</v>
      </c>
    </row>
    <row r="123" spans="1:4" x14ac:dyDescent="0.25">
      <c r="A123">
        <v>2.2000000000000002</v>
      </c>
      <c r="B123">
        <f t="shared" si="4"/>
        <v>2.5053775139716176E-2</v>
      </c>
      <c r="C123" t="s">
        <v>2</v>
      </c>
      <c r="D123" t="s">
        <v>136</v>
      </c>
    </row>
    <row r="124" spans="1:4" x14ac:dyDescent="0.25">
      <c r="A124">
        <v>2.2999999999999998</v>
      </c>
      <c r="B124">
        <f t="shared" si="4"/>
        <v>2.8135823461070499E-2</v>
      </c>
      <c r="C124" t="s">
        <v>2</v>
      </c>
      <c r="D124" t="s">
        <v>136</v>
      </c>
    </row>
    <row r="125" spans="1:4" x14ac:dyDescent="0.25">
      <c r="A125">
        <v>2.4</v>
      </c>
      <c r="B125">
        <f t="shared" si="4"/>
        <v>3.1441359706855063E-2</v>
      </c>
      <c r="C125" t="s">
        <v>2</v>
      </c>
      <c r="D125" t="s">
        <v>136</v>
      </c>
    </row>
    <row r="126" spans="1:4" x14ac:dyDescent="0.25">
      <c r="A126">
        <v>2.5</v>
      </c>
      <c r="B126">
        <f t="shared" si="4"/>
        <v>3.4976262600902135E-2</v>
      </c>
      <c r="C126" t="s">
        <v>2</v>
      </c>
      <c r="D126" t="s">
        <v>136</v>
      </c>
    </row>
    <row r="127" spans="1:4" x14ac:dyDescent="0.25">
      <c r="A127">
        <v>2.6</v>
      </c>
      <c r="B127">
        <f t="shared" si="4"/>
        <v>3.874631603933551E-2</v>
      </c>
      <c r="C127" t="s">
        <v>2</v>
      </c>
      <c r="D127" t="s">
        <v>136</v>
      </c>
    </row>
    <row r="128" spans="1:4" x14ac:dyDescent="0.25">
      <c r="A128">
        <v>2.7</v>
      </c>
      <c r="B128">
        <f t="shared" si="4"/>
        <v>4.2757214328297273E-2</v>
      </c>
      <c r="C128" t="s">
        <v>2</v>
      </c>
      <c r="D128" t="s">
        <v>136</v>
      </c>
    </row>
    <row r="129" spans="1:4" x14ac:dyDescent="0.25">
      <c r="A129">
        <v>2.8</v>
      </c>
      <c r="B129">
        <f t="shared" si="4"/>
        <v>4.7014566943043019E-2</v>
      </c>
      <c r="C129" t="s">
        <v>2</v>
      </c>
      <c r="D129" t="s">
        <v>136</v>
      </c>
    </row>
    <row r="130" spans="1:4" x14ac:dyDescent="0.25">
      <c r="A130">
        <v>2.9</v>
      </c>
      <c r="B130">
        <f t="shared" si="4"/>
        <v>5.1523902868184257E-2</v>
      </c>
      <c r="C130" t="s">
        <v>2</v>
      </c>
      <c r="D130" t="s">
        <v>136</v>
      </c>
    </row>
    <row r="131" spans="1:4" x14ac:dyDescent="0.25">
      <c r="A131">
        <v>3</v>
      </c>
      <c r="B131">
        <f t="shared" si="4"/>
        <v>5.6290674569527133E-2</v>
      </c>
      <c r="C131" t="s">
        <v>2</v>
      </c>
      <c r="D131" t="s">
        <v>136</v>
      </c>
    </row>
    <row r="132" spans="1:4" x14ac:dyDescent="0.25">
      <c r="A132">
        <v>0.5</v>
      </c>
      <c r="B132">
        <f>0.0048*A132^2.76</f>
        <v>7.0859559685771821E-4</v>
      </c>
      <c r="C132" t="s">
        <v>2</v>
      </c>
      <c r="D132" t="s">
        <v>137</v>
      </c>
    </row>
    <row r="133" spans="1:4" x14ac:dyDescent="0.25">
      <c r="A133">
        <v>0.6</v>
      </c>
      <c r="B133">
        <f t="shared" ref="B133:B157" si="5">0.0048*A133^2.76</f>
        <v>1.1720298924344553E-3</v>
      </c>
      <c r="C133" t="s">
        <v>2</v>
      </c>
      <c r="D133" t="s">
        <v>137</v>
      </c>
    </row>
    <row r="134" spans="1:4" x14ac:dyDescent="0.25">
      <c r="A134">
        <v>0.7</v>
      </c>
      <c r="B134">
        <f t="shared" si="5"/>
        <v>1.7935431425385826E-3</v>
      </c>
      <c r="C134" t="s">
        <v>2</v>
      </c>
      <c r="D134" t="s">
        <v>137</v>
      </c>
    </row>
    <row r="135" spans="1:4" x14ac:dyDescent="0.25">
      <c r="A135">
        <v>0.8</v>
      </c>
      <c r="B135">
        <f t="shared" si="5"/>
        <v>2.5928034832772688E-3</v>
      </c>
      <c r="C135" t="s">
        <v>2</v>
      </c>
      <c r="D135" t="s">
        <v>137</v>
      </c>
    </row>
    <row r="136" spans="1:4" x14ac:dyDescent="0.25">
      <c r="A136">
        <v>0.9</v>
      </c>
      <c r="B136">
        <f t="shared" si="5"/>
        <v>3.5888108019971909E-3</v>
      </c>
      <c r="C136" t="s">
        <v>2</v>
      </c>
      <c r="D136" t="s">
        <v>137</v>
      </c>
    </row>
    <row r="137" spans="1:4" x14ac:dyDescent="0.25">
      <c r="A137">
        <v>1</v>
      </c>
      <c r="B137">
        <f t="shared" si="5"/>
        <v>4.7999999999999996E-3</v>
      </c>
      <c r="C137" t="s">
        <v>2</v>
      </c>
      <c r="D137" t="s">
        <v>137</v>
      </c>
    </row>
    <row r="138" spans="1:4" x14ac:dyDescent="0.25">
      <c r="A138">
        <v>1.1000000000000001</v>
      </c>
      <c r="B138">
        <f t="shared" si="5"/>
        <v>6.2443185240587326E-3</v>
      </c>
      <c r="C138" t="s">
        <v>2</v>
      </c>
      <c r="D138" t="s">
        <v>137</v>
      </c>
    </row>
    <row r="139" spans="1:4" x14ac:dyDescent="0.25">
      <c r="A139">
        <v>1.2</v>
      </c>
      <c r="B139">
        <f t="shared" si="5"/>
        <v>7.9392865389410535E-3</v>
      </c>
      <c r="C139" t="s">
        <v>2</v>
      </c>
      <c r="D139" t="s">
        <v>137</v>
      </c>
    </row>
    <row r="140" spans="1:4" x14ac:dyDescent="0.25">
      <c r="A140">
        <v>1.3</v>
      </c>
      <c r="B140">
        <f t="shared" si="5"/>
        <v>9.9020448651218531E-3</v>
      </c>
      <c r="C140" t="s">
        <v>2</v>
      </c>
      <c r="D140" t="s">
        <v>137</v>
      </c>
    </row>
    <row r="141" spans="1:4" x14ac:dyDescent="0.25">
      <c r="A141">
        <v>1.4</v>
      </c>
      <c r="B141">
        <f t="shared" si="5"/>
        <v>1.2149393987716004E-2</v>
      </c>
      <c r="C141" t="s">
        <v>2</v>
      </c>
      <c r="D141" t="s">
        <v>137</v>
      </c>
    </row>
    <row r="142" spans="1:4" x14ac:dyDescent="0.25">
      <c r="A142">
        <v>1.5</v>
      </c>
      <c r="B142">
        <f t="shared" si="5"/>
        <v>1.4697826361583078E-2</v>
      </c>
      <c r="C142" t="s">
        <v>2</v>
      </c>
      <c r="D142" t="s">
        <v>137</v>
      </c>
    </row>
    <row r="143" spans="1:4" x14ac:dyDescent="0.25">
      <c r="A143">
        <v>1.6</v>
      </c>
      <c r="B143">
        <f t="shared" si="5"/>
        <v>1.7563553562738074E-2</v>
      </c>
      <c r="C143" t="s">
        <v>2</v>
      </c>
      <c r="D143" t="s">
        <v>137</v>
      </c>
    </row>
    <row r="144" spans="1:4" x14ac:dyDescent="0.25">
      <c r="A144">
        <v>1.7</v>
      </c>
      <c r="B144">
        <f t="shared" si="5"/>
        <v>2.076252939776959E-2</v>
      </c>
      <c r="C144" t="s">
        <v>2</v>
      </c>
      <c r="D144" t="s">
        <v>137</v>
      </c>
    </row>
    <row r="145" spans="1:4" x14ac:dyDescent="0.25">
      <c r="A145">
        <v>1.8</v>
      </c>
      <c r="B145">
        <f t="shared" si="5"/>
        <v>2.4310469788376983E-2</v>
      </c>
      <c r="C145" t="s">
        <v>2</v>
      </c>
      <c r="D145" t="s">
        <v>137</v>
      </c>
    </row>
    <row r="146" spans="1:4" x14ac:dyDescent="0.25">
      <c r="A146">
        <v>1.9</v>
      </c>
      <c r="B146">
        <f t="shared" si="5"/>
        <v>2.8222870044446569E-2</v>
      </c>
      <c r="C146" t="s">
        <v>2</v>
      </c>
      <c r="D146" t="s">
        <v>137</v>
      </c>
    </row>
    <row r="147" spans="1:4" x14ac:dyDescent="0.25">
      <c r="A147">
        <v>2</v>
      </c>
      <c r="B147">
        <f t="shared" si="5"/>
        <v>3.2515019994721034E-2</v>
      </c>
      <c r="C147" t="s">
        <v>2</v>
      </c>
      <c r="D147" t="s">
        <v>137</v>
      </c>
    </row>
    <row r="148" spans="1:4" x14ac:dyDescent="0.25">
      <c r="A148">
        <v>2.1</v>
      </c>
      <c r="B148">
        <f t="shared" si="5"/>
        <v>3.7202017339564852E-2</v>
      </c>
      <c r="C148" t="s">
        <v>2</v>
      </c>
      <c r="D148" t="s">
        <v>137</v>
      </c>
    </row>
    <row r="149" spans="1:4" x14ac:dyDescent="0.25">
      <c r="A149">
        <v>2.2000000000000002</v>
      </c>
      <c r="B149">
        <f t="shared" si="5"/>
        <v>4.2298779513161806E-2</v>
      </c>
      <c r="C149" t="s">
        <v>2</v>
      </c>
      <c r="D149" t="s">
        <v>137</v>
      </c>
    </row>
    <row r="150" spans="1:4" x14ac:dyDescent="0.25">
      <c r="A150">
        <v>2.2999999999999998</v>
      </c>
      <c r="B150">
        <f t="shared" si="5"/>
        <v>4.7820054284556136E-2</v>
      </c>
      <c r="C150" t="s">
        <v>2</v>
      </c>
      <c r="D150" t="s">
        <v>137</v>
      </c>
    </row>
    <row r="151" spans="1:4" x14ac:dyDescent="0.25">
      <c r="A151">
        <v>2.4</v>
      </c>
      <c r="B151">
        <f t="shared" si="5"/>
        <v>5.3780429282809995E-2</v>
      </c>
      <c r="C151" t="s">
        <v>2</v>
      </c>
      <c r="D151" t="s">
        <v>137</v>
      </c>
    </row>
    <row r="152" spans="1:4" x14ac:dyDescent="0.25">
      <c r="A152">
        <v>2.5</v>
      </c>
      <c r="B152">
        <f t="shared" si="5"/>
        <v>6.0194340597455515E-2</v>
      </c>
      <c r="C152" t="s">
        <v>2</v>
      </c>
      <c r="D152" t="s">
        <v>137</v>
      </c>
    </row>
    <row r="153" spans="1:4" x14ac:dyDescent="0.25">
      <c r="A153">
        <v>2.6</v>
      </c>
      <c r="B153">
        <f t="shared" si="5"/>
        <v>6.7076080578762881E-2</v>
      </c>
      <c r="C153" t="s">
        <v>2</v>
      </c>
      <c r="D153" t="s">
        <v>137</v>
      </c>
    </row>
    <row r="154" spans="1:4" x14ac:dyDescent="0.25">
      <c r="A154">
        <v>2.7</v>
      </c>
      <c r="B154">
        <f t="shared" si="5"/>
        <v>7.4439804941265869E-2</v>
      </c>
      <c r="C154" t="s">
        <v>2</v>
      </c>
      <c r="D154" t="s">
        <v>137</v>
      </c>
    </row>
    <row r="155" spans="1:4" x14ac:dyDescent="0.25">
      <c r="A155">
        <v>2.8</v>
      </c>
      <c r="B155">
        <f t="shared" si="5"/>
        <v>8.2299539257151957E-2</v>
      </c>
      <c r="C155" t="s">
        <v>2</v>
      </c>
      <c r="D155" t="s">
        <v>137</v>
      </c>
    </row>
    <row r="156" spans="1:4" x14ac:dyDescent="0.25">
      <c r="A156">
        <v>2.9</v>
      </c>
      <c r="B156">
        <f t="shared" si="5"/>
        <v>9.0669184912549924E-2</v>
      </c>
      <c r="C156" t="s">
        <v>2</v>
      </c>
      <c r="D156" t="s">
        <v>137</v>
      </c>
    </row>
    <row r="157" spans="1:4" x14ac:dyDescent="0.25">
      <c r="A157">
        <v>3</v>
      </c>
      <c r="B157">
        <f t="shared" si="5"/>
        <v>9.9562524588710774E-2</v>
      </c>
      <c r="C157" t="s">
        <v>2</v>
      </c>
      <c r="D157" t="s">
        <v>137</v>
      </c>
    </row>
    <row r="158" spans="1:4" x14ac:dyDescent="0.25">
      <c r="A158">
        <v>0.5</v>
      </c>
      <c r="B158">
        <f>0.0005*A158^2.87</f>
        <v>6.8393356328796229E-5</v>
      </c>
      <c r="C158" t="s">
        <v>2</v>
      </c>
      <c r="D158" t="s">
        <v>138</v>
      </c>
    </row>
    <row r="159" spans="1:4" x14ac:dyDescent="0.25">
      <c r="A159">
        <v>0.6</v>
      </c>
      <c r="B159">
        <f t="shared" ref="B159:B183" si="6">0.0005*A159^2.87</f>
        <v>1.1541548819699965E-4</v>
      </c>
      <c r="C159" t="s">
        <v>2</v>
      </c>
      <c r="D159" t="s">
        <v>138</v>
      </c>
    </row>
    <row r="160" spans="1:4" x14ac:dyDescent="0.25">
      <c r="A160">
        <v>0.7</v>
      </c>
      <c r="B160">
        <f t="shared" si="6"/>
        <v>1.7963931038105684E-4</v>
      </c>
      <c r="C160" t="s">
        <v>2</v>
      </c>
      <c r="D160" t="s">
        <v>138</v>
      </c>
    </row>
    <row r="161" spans="1:4" x14ac:dyDescent="0.25">
      <c r="A161">
        <v>0.8</v>
      </c>
      <c r="B161">
        <f t="shared" si="6"/>
        <v>2.6353497882899111E-4</v>
      </c>
      <c r="C161" t="s">
        <v>2</v>
      </c>
      <c r="D161" t="s">
        <v>138</v>
      </c>
    </row>
    <row r="162" spans="1:4" x14ac:dyDescent="0.25">
      <c r="A162">
        <v>0.9</v>
      </c>
      <c r="B162">
        <f t="shared" si="6"/>
        <v>3.6952685553235499E-4</v>
      </c>
      <c r="C162" t="s">
        <v>2</v>
      </c>
      <c r="D162" t="s">
        <v>138</v>
      </c>
    </row>
    <row r="163" spans="1:4" x14ac:dyDescent="0.25">
      <c r="A163">
        <v>1</v>
      </c>
      <c r="B163">
        <f t="shared" si="6"/>
        <v>5.0000000000000001E-4</v>
      </c>
      <c r="C163" t="s">
        <v>2</v>
      </c>
      <c r="D163" t="s">
        <v>138</v>
      </c>
    </row>
    <row r="164" spans="1:4" x14ac:dyDescent="0.25">
      <c r="A164">
        <v>1.1000000000000001</v>
      </c>
      <c r="B164">
        <f t="shared" si="6"/>
        <v>6.5730511328218133E-4</v>
      </c>
      <c r="C164" t="s">
        <v>2</v>
      </c>
      <c r="D164" t="s">
        <v>138</v>
      </c>
    </row>
    <row r="165" spans="1:4" x14ac:dyDescent="0.25">
      <c r="A165">
        <v>1.2</v>
      </c>
      <c r="B165">
        <f t="shared" si="6"/>
        <v>8.4376242366398775E-4</v>
      </c>
      <c r="C165" t="s">
        <v>2</v>
      </c>
      <c r="D165" t="s">
        <v>138</v>
      </c>
    </row>
    <row r="166" spans="1:4" x14ac:dyDescent="0.25">
      <c r="A166">
        <v>1.3</v>
      </c>
      <c r="B166">
        <f t="shared" si="6"/>
        <v>1.0616648173572014E-3</v>
      </c>
      <c r="C166" t="s">
        <v>2</v>
      </c>
      <c r="D166" t="s">
        <v>138</v>
      </c>
    </row>
    <row r="167" spans="1:4" x14ac:dyDescent="0.25">
      <c r="A167">
        <v>1.4</v>
      </c>
      <c r="B167">
        <f t="shared" si="6"/>
        <v>1.313280412189845E-3</v>
      </c>
      <c r="C167" t="s">
        <v>2</v>
      </c>
      <c r="D167" t="s">
        <v>138</v>
      </c>
    </row>
    <row r="168" spans="1:4" x14ac:dyDescent="0.25">
      <c r="A168">
        <v>1.5</v>
      </c>
      <c r="B168">
        <f t="shared" si="6"/>
        <v>1.6008547089521436E-3</v>
      </c>
      <c r="C168" t="s">
        <v>2</v>
      </c>
      <c r="D168" t="s">
        <v>138</v>
      </c>
    </row>
    <row r="169" spans="1:4" x14ac:dyDescent="0.25">
      <c r="A169">
        <v>1.6</v>
      </c>
      <c r="B169">
        <f t="shared" si="6"/>
        <v>1.926612415115771E-3</v>
      </c>
      <c r="C169" t="s">
        <v>2</v>
      </c>
      <c r="D169" t="s">
        <v>138</v>
      </c>
    </row>
    <row r="170" spans="1:4" x14ac:dyDescent="0.25">
      <c r="A170">
        <v>1.7</v>
      </c>
      <c r="B170">
        <f t="shared" si="6"/>
        <v>2.2927590094512017E-3</v>
      </c>
      <c r="C170" t="s">
        <v>2</v>
      </c>
      <c r="D170" t="s">
        <v>138</v>
      </c>
    </row>
    <row r="171" spans="1:4" x14ac:dyDescent="0.25">
      <c r="A171">
        <v>1.8</v>
      </c>
      <c r="B171">
        <f t="shared" si="6"/>
        <v>2.7014820983187375E-3</v>
      </c>
      <c r="C171" t="s">
        <v>2</v>
      </c>
      <c r="D171" t="s">
        <v>138</v>
      </c>
    </row>
    <row r="172" spans="1:4" x14ac:dyDescent="0.25">
      <c r="A172">
        <v>1.9</v>
      </c>
      <c r="B172">
        <f t="shared" si="6"/>
        <v>3.1549526020390457E-3</v>
      </c>
      <c r="C172" t="s">
        <v>2</v>
      </c>
      <c r="D172" t="s">
        <v>138</v>
      </c>
    </row>
    <row r="173" spans="1:4" x14ac:dyDescent="0.25">
      <c r="A173">
        <v>2</v>
      </c>
      <c r="B173">
        <f t="shared" si="6"/>
        <v>3.6553258009176018E-3</v>
      </c>
      <c r="C173" t="s">
        <v>2</v>
      </c>
      <c r="D173" t="s">
        <v>138</v>
      </c>
    </row>
    <row r="174" spans="1:4" x14ac:dyDescent="0.25">
      <c r="A174">
        <v>2.1</v>
      </c>
      <c r="B174">
        <f t="shared" si="6"/>
        <v>4.204742264057453E-3</v>
      </c>
      <c r="C174" t="s">
        <v>2</v>
      </c>
      <c r="D174" t="s">
        <v>138</v>
      </c>
    </row>
    <row r="175" spans="1:4" x14ac:dyDescent="0.25">
      <c r="A175">
        <v>2.2000000000000002</v>
      </c>
      <c r="B175">
        <f t="shared" si="6"/>
        <v>4.8053286793108517E-3</v>
      </c>
      <c r="C175" t="s">
        <v>2</v>
      </c>
      <c r="D175" t="s">
        <v>138</v>
      </c>
    </row>
    <row r="176" spans="1:4" x14ac:dyDescent="0.25">
      <c r="A176">
        <v>2.2999999999999998</v>
      </c>
      <c r="B176">
        <f t="shared" si="6"/>
        <v>5.4591985991074149E-3</v>
      </c>
      <c r="C176" t="s">
        <v>2</v>
      </c>
      <c r="D176" t="s">
        <v>138</v>
      </c>
    </row>
    <row r="177" spans="1:4" x14ac:dyDescent="0.25">
      <c r="A177">
        <v>2.4</v>
      </c>
      <c r="B177">
        <f t="shared" si="6"/>
        <v>6.1684531141274861E-3</v>
      </c>
      <c r="C177" t="s">
        <v>2</v>
      </c>
      <c r="D177" t="s">
        <v>138</v>
      </c>
    </row>
    <row r="178" spans="1:4" x14ac:dyDescent="0.25">
      <c r="A178">
        <v>2.5</v>
      </c>
      <c r="B178">
        <f t="shared" si="6"/>
        <v>6.9351814646388156E-3</v>
      </c>
      <c r="C178" t="s">
        <v>2</v>
      </c>
      <c r="D178" t="s">
        <v>138</v>
      </c>
    </row>
    <row r="179" spans="1:4" x14ac:dyDescent="0.25">
      <c r="A179">
        <v>2.6</v>
      </c>
      <c r="B179">
        <f t="shared" si="6"/>
        <v>7.7614615976245071E-3</v>
      </c>
      <c r="C179" t="s">
        <v>2</v>
      </c>
      <c r="D179" t="s">
        <v>138</v>
      </c>
    </row>
    <row r="180" spans="1:4" x14ac:dyDescent="0.25">
      <c r="A180">
        <v>2.7</v>
      </c>
      <c r="B180">
        <f t="shared" si="6"/>
        <v>8.6493606764869394E-3</v>
      </c>
      <c r="C180" t="s">
        <v>2</v>
      </c>
      <c r="D180" t="s">
        <v>138</v>
      </c>
    </row>
    <row r="181" spans="1:4" x14ac:dyDescent="0.25">
      <c r="A181">
        <v>2.8</v>
      </c>
      <c r="B181">
        <f t="shared" si="6"/>
        <v>9.6009355490344877E-3</v>
      </c>
      <c r="C181" t="s">
        <v>2</v>
      </c>
      <c r="D181" t="s">
        <v>138</v>
      </c>
    </row>
    <row r="182" spans="1:4" x14ac:dyDescent="0.25">
      <c r="A182">
        <v>2.9</v>
      </c>
      <c r="B182">
        <f t="shared" si="6"/>
        <v>1.0618233178584936E-2</v>
      </c>
      <c r="C182" t="s">
        <v>2</v>
      </c>
      <c r="D182" t="s">
        <v>138</v>
      </c>
    </row>
    <row r="183" spans="1:4" x14ac:dyDescent="0.25">
      <c r="A183">
        <v>3</v>
      </c>
      <c r="B183">
        <f t="shared" si="6"/>
        <v>1.1703291042306423E-2</v>
      </c>
      <c r="C183" t="s">
        <v>2</v>
      </c>
      <c r="D183" t="s">
        <v>138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BB3AE-C8A9-455F-AD0C-DD3CF6FBE19E}">
  <dimension ref="A1:G29"/>
  <sheetViews>
    <sheetView workbookViewId="0">
      <selection activeCellId="1" sqref="E1:E1048576 A1:A1048576"/>
    </sheetView>
  </sheetViews>
  <sheetFormatPr defaultRowHeight="15" x14ac:dyDescent="0.25"/>
  <sheetData>
    <row r="1" spans="1:7" x14ac:dyDescent="0.25">
      <c r="A1" t="s">
        <v>152</v>
      </c>
      <c r="B1" t="s">
        <v>33</v>
      </c>
      <c r="C1" t="s">
        <v>34</v>
      </c>
      <c r="D1" t="s">
        <v>35</v>
      </c>
      <c r="E1" t="s">
        <v>36</v>
      </c>
      <c r="F1" t="s">
        <v>18</v>
      </c>
      <c r="G1" t="s">
        <v>68</v>
      </c>
    </row>
    <row r="2" spans="1:7" x14ac:dyDescent="0.25">
      <c r="A2">
        <v>0.6</v>
      </c>
      <c r="B2">
        <f>-2.763+2.541*LOG10(A2)</f>
        <v>-3.3267176727751613</v>
      </c>
      <c r="C2">
        <f>10^B2</f>
        <v>4.7128360003632669E-4</v>
      </c>
      <c r="D2">
        <f>C2*1000</f>
        <v>0.47128360003632669</v>
      </c>
      <c r="E2">
        <f>D2*0.154</f>
        <v>7.2577674405594303E-2</v>
      </c>
      <c r="F2" t="s">
        <v>191</v>
      </c>
      <c r="G2" t="s">
        <v>142</v>
      </c>
    </row>
    <row r="3" spans="1:7" x14ac:dyDescent="0.25">
      <c r="A3">
        <v>0.7</v>
      </c>
      <c r="B3">
        <f t="shared" ref="B3:B29" si="0">-2.763+2.541*LOG10(A3)</f>
        <v>-3.1566058803237733</v>
      </c>
      <c r="C3">
        <f t="shared" ref="C3:C29" si="1">10^B3</f>
        <v>6.9725898549480715E-4</v>
      </c>
      <c r="D3">
        <f t="shared" ref="D3:D29" si="2">C3*1000</f>
        <v>0.69725898549480714</v>
      </c>
      <c r="E3">
        <f t="shared" ref="E3:E29" si="3">D3*0.154</f>
        <v>0.10737788376620029</v>
      </c>
      <c r="F3" t="s">
        <v>191</v>
      </c>
      <c r="G3" t="s">
        <v>142</v>
      </c>
    </row>
    <row r="4" spans="1:7" x14ac:dyDescent="0.25">
      <c r="A4">
        <v>0.8</v>
      </c>
      <c r="B4">
        <f t="shared" si="0"/>
        <v>-3.0092483430534713</v>
      </c>
      <c r="C4">
        <f t="shared" si="1"/>
        <v>9.7893004276978536E-4</v>
      </c>
      <c r="D4">
        <f t="shared" si="2"/>
        <v>0.97893004276978535</v>
      </c>
      <c r="E4">
        <f t="shared" si="3"/>
        <v>0.15075522658654694</v>
      </c>
      <c r="F4" t="s">
        <v>191</v>
      </c>
      <c r="G4" t="s">
        <v>142</v>
      </c>
    </row>
    <row r="5" spans="1:7" x14ac:dyDescent="0.25">
      <c r="A5">
        <v>0.9</v>
      </c>
      <c r="B5">
        <f t="shared" si="0"/>
        <v>-2.8792697835146752</v>
      </c>
      <c r="C5">
        <f t="shared" si="1"/>
        <v>1.3204751008841123E-3</v>
      </c>
      <c r="D5">
        <f t="shared" si="2"/>
        <v>1.3204751008841122</v>
      </c>
      <c r="E5">
        <f t="shared" si="3"/>
        <v>0.20335316553615329</v>
      </c>
      <c r="F5" t="s">
        <v>191</v>
      </c>
      <c r="G5" t="s">
        <v>142</v>
      </c>
    </row>
    <row r="6" spans="1:7" x14ac:dyDescent="0.25">
      <c r="A6">
        <v>1</v>
      </c>
      <c r="B6">
        <f t="shared" si="0"/>
        <v>-2.7629999999999999</v>
      </c>
      <c r="C6">
        <f t="shared" si="1"/>
        <v>1.7258378919902024E-3</v>
      </c>
      <c r="D6">
        <f t="shared" si="2"/>
        <v>1.7258378919902024</v>
      </c>
      <c r="E6">
        <f t="shared" si="3"/>
        <v>0.26577903536649117</v>
      </c>
      <c r="F6" t="s">
        <v>191</v>
      </c>
      <c r="G6" t="s">
        <v>142</v>
      </c>
    </row>
    <row r="7" spans="1:7" x14ac:dyDescent="0.25">
      <c r="A7">
        <v>1.1000000000000001</v>
      </c>
      <c r="B7">
        <f t="shared" si="0"/>
        <v>-2.6578211870129498</v>
      </c>
      <c r="C7">
        <f t="shared" si="1"/>
        <v>2.1987649886060661E-3</v>
      </c>
      <c r="D7">
        <f t="shared" si="2"/>
        <v>2.1987649886060661</v>
      </c>
      <c r="E7">
        <f t="shared" si="3"/>
        <v>0.33860980824533415</v>
      </c>
      <c r="F7" t="s">
        <v>191</v>
      </c>
      <c r="G7" t="s">
        <v>142</v>
      </c>
    </row>
    <row r="8" spans="1:7" x14ac:dyDescent="0.25">
      <c r="A8">
        <v>1.2</v>
      </c>
      <c r="B8">
        <f t="shared" si="0"/>
        <v>-2.5618004537929853</v>
      </c>
      <c r="C8">
        <f t="shared" si="1"/>
        <v>2.7428341382668159E-3</v>
      </c>
      <c r="D8">
        <f t="shared" si="2"/>
        <v>2.742834138266816</v>
      </c>
      <c r="E8">
        <f t="shared" si="3"/>
        <v>0.42239645729308967</v>
      </c>
      <c r="F8" t="s">
        <v>191</v>
      </c>
      <c r="G8" t="s">
        <v>142</v>
      </c>
    </row>
    <row r="9" spans="1:7" x14ac:dyDescent="0.25">
      <c r="A9">
        <v>1.3</v>
      </c>
      <c r="B9">
        <f t="shared" si="0"/>
        <v>-2.4734699417883275</v>
      </c>
      <c r="C9">
        <f t="shared" si="1"/>
        <v>3.3614763355419024E-3</v>
      </c>
      <c r="D9">
        <f t="shared" si="2"/>
        <v>3.3614763355419024</v>
      </c>
      <c r="E9">
        <f t="shared" si="3"/>
        <v>0.51766735567345301</v>
      </c>
      <c r="F9" t="s">
        <v>191</v>
      </c>
      <c r="G9" t="s">
        <v>142</v>
      </c>
    </row>
    <row r="10" spans="1:7" x14ac:dyDescent="0.25">
      <c r="A10">
        <v>1.4</v>
      </c>
      <c r="B10">
        <f t="shared" si="0"/>
        <v>-2.3916886613415973</v>
      </c>
      <c r="C10">
        <f t="shared" si="1"/>
        <v>4.0579934215428468E-3</v>
      </c>
      <c r="D10">
        <f t="shared" si="2"/>
        <v>4.0579934215428466</v>
      </c>
      <c r="E10">
        <f t="shared" si="3"/>
        <v>0.62493098691759841</v>
      </c>
      <c r="F10" t="s">
        <v>191</v>
      </c>
      <c r="G10" t="s">
        <v>142</v>
      </c>
    </row>
    <row r="11" spans="1:7" x14ac:dyDescent="0.25">
      <c r="A11">
        <v>1.5</v>
      </c>
      <c r="B11">
        <f t="shared" si="0"/>
        <v>-2.3155521107395138</v>
      </c>
      <c r="C11">
        <f t="shared" si="1"/>
        <v>4.8355723907212685E-3</v>
      </c>
      <c r="D11">
        <f t="shared" si="2"/>
        <v>4.8355723907212687</v>
      </c>
      <c r="E11">
        <f t="shared" si="3"/>
        <v>0.74467814817107536</v>
      </c>
      <c r="F11" t="s">
        <v>191</v>
      </c>
      <c r="G11" t="s">
        <v>142</v>
      </c>
    </row>
    <row r="12" spans="1:7" x14ac:dyDescent="0.25">
      <c r="A12">
        <v>1.6</v>
      </c>
      <c r="B12">
        <f t="shared" si="0"/>
        <v>-2.2443311240712949</v>
      </c>
      <c r="C12">
        <f t="shared" si="1"/>
        <v>5.6972972114391418E-3</v>
      </c>
      <c r="D12">
        <f t="shared" si="2"/>
        <v>5.6972972114391416</v>
      </c>
      <c r="E12">
        <f t="shared" si="3"/>
        <v>0.87738377056162775</v>
      </c>
      <c r="F12" t="s">
        <v>191</v>
      </c>
      <c r="G12" t="s">
        <v>142</v>
      </c>
    </row>
    <row r="13" spans="1:7" x14ac:dyDescent="0.25">
      <c r="A13">
        <v>1.7</v>
      </c>
      <c r="B13">
        <f t="shared" si="0"/>
        <v>-2.1774292907778059</v>
      </c>
      <c r="C13">
        <f t="shared" si="1"/>
        <v>6.6461587286866996E-3</v>
      </c>
      <c r="D13">
        <f t="shared" si="2"/>
        <v>6.6461587286866992</v>
      </c>
      <c r="E13">
        <f t="shared" si="3"/>
        <v>1.0235084442177516</v>
      </c>
      <c r="F13" t="s">
        <v>191</v>
      </c>
      <c r="G13" t="s">
        <v>142</v>
      </c>
    </row>
    <row r="14" spans="1:7" x14ac:dyDescent="0.25">
      <c r="A14">
        <v>1.8</v>
      </c>
      <c r="B14">
        <f t="shared" si="0"/>
        <v>-2.1143525645324992</v>
      </c>
      <c r="C14">
        <f t="shared" si="1"/>
        <v>7.6850630600281558E-3</v>
      </c>
      <c r="D14">
        <f t="shared" si="2"/>
        <v>7.6850630600281562</v>
      </c>
      <c r="E14">
        <f t="shared" si="3"/>
        <v>1.183499711244336</v>
      </c>
      <c r="F14" t="s">
        <v>191</v>
      </c>
      <c r="G14" t="s">
        <v>142</v>
      </c>
    </row>
    <row r="15" spans="1:7" x14ac:dyDescent="0.25">
      <c r="A15">
        <v>1.9</v>
      </c>
      <c r="B15">
        <f t="shared" si="0"/>
        <v>-2.0546870999788616</v>
      </c>
      <c r="C15">
        <f t="shared" si="1"/>
        <v>8.8168387887897319E-3</v>
      </c>
      <c r="D15">
        <f t="shared" si="2"/>
        <v>8.816838788789731</v>
      </c>
      <c r="E15">
        <f t="shared" si="3"/>
        <v>1.3577931734736186</v>
      </c>
      <c r="F15" t="s">
        <v>191</v>
      </c>
      <c r="G15" t="s">
        <v>142</v>
      </c>
    </row>
    <row r="16" spans="1:7" x14ac:dyDescent="0.25">
      <c r="A16">
        <v>2</v>
      </c>
      <c r="B16">
        <f t="shared" si="0"/>
        <v>-1.9980827810178237</v>
      </c>
      <c r="C16">
        <f t="shared" si="1"/>
        <v>1.0044243183722702E-2</v>
      </c>
      <c r="D16">
        <f t="shared" si="2"/>
        <v>10.044243183722701</v>
      </c>
      <c r="E16">
        <f t="shared" si="3"/>
        <v>1.546813450293296</v>
      </c>
      <c r="F16" t="s">
        <v>191</v>
      </c>
      <c r="G16" t="s">
        <v>142</v>
      </c>
    </row>
    <row r="17" spans="1:7" x14ac:dyDescent="0.25">
      <c r="A17">
        <v>3</v>
      </c>
      <c r="B17">
        <f t="shared" si="0"/>
        <v>-1.5506348917573376</v>
      </c>
      <c r="C17">
        <f t="shared" si="1"/>
        <v>2.8142657691267961E-2</v>
      </c>
      <c r="D17">
        <f t="shared" si="2"/>
        <v>28.14265769126796</v>
      </c>
      <c r="E17">
        <f t="shared" si="3"/>
        <v>4.3339692844552662</v>
      </c>
      <c r="F17" t="s">
        <v>191</v>
      </c>
      <c r="G17" t="s">
        <v>142</v>
      </c>
    </row>
    <row r="18" spans="1:7" x14ac:dyDescent="0.25">
      <c r="A18">
        <v>4</v>
      </c>
      <c r="B18">
        <f t="shared" si="0"/>
        <v>-1.2331655620356474</v>
      </c>
      <c r="C18">
        <f t="shared" si="1"/>
        <v>5.8456719256186403E-2</v>
      </c>
      <c r="D18">
        <f t="shared" si="2"/>
        <v>58.456719256186403</v>
      </c>
      <c r="E18">
        <f t="shared" si="3"/>
        <v>9.0023347654527068</v>
      </c>
      <c r="F18" t="s">
        <v>191</v>
      </c>
      <c r="G18" t="s">
        <v>142</v>
      </c>
    </row>
    <row r="19" spans="1:7" x14ac:dyDescent="0.25">
      <c r="A19">
        <v>5</v>
      </c>
      <c r="B19">
        <f t="shared" si="0"/>
        <v>-0.98691721898217599</v>
      </c>
      <c r="C19">
        <f t="shared" si="1"/>
        <v>0.10305825414072556</v>
      </c>
      <c r="D19">
        <f t="shared" si="2"/>
        <v>103.05825414072555</v>
      </c>
      <c r="E19">
        <f t="shared" si="3"/>
        <v>15.870971137671734</v>
      </c>
      <c r="F19" t="s">
        <v>191</v>
      </c>
      <c r="G19" t="s">
        <v>142</v>
      </c>
    </row>
    <row r="20" spans="1:7" x14ac:dyDescent="0.25">
      <c r="A20">
        <v>6</v>
      </c>
      <c r="B20">
        <f t="shared" si="0"/>
        <v>-0.78571767277516158</v>
      </c>
      <c r="C20">
        <f t="shared" si="1"/>
        <v>0.16378809330776001</v>
      </c>
      <c r="D20">
        <f t="shared" si="2"/>
        <v>163.78809330775999</v>
      </c>
      <c r="E20">
        <f t="shared" si="3"/>
        <v>25.223366369395038</v>
      </c>
      <c r="F20" t="s">
        <v>191</v>
      </c>
      <c r="G20" t="s">
        <v>142</v>
      </c>
    </row>
    <row r="21" spans="1:7" x14ac:dyDescent="0.25">
      <c r="A21">
        <v>7</v>
      </c>
      <c r="B21">
        <f t="shared" si="0"/>
        <v>-0.61560588032377339</v>
      </c>
      <c r="C21">
        <f t="shared" si="1"/>
        <v>0.24232271135064939</v>
      </c>
      <c r="D21">
        <f t="shared" si="2"/>
        <v>242.3227113506494</v>
      </c>
      <c r="E21">
        <f t="shared" si="3"/>
        <v>37.317697548000005</v>
      </c>
      <c r="F21" t="s">
        <v>191</v>
      </c>
      <c r="G21" t="s">
        <v>142</v>
      </c>
    </row>
    <row r="22" spans="1:7" x14ac:dyDescent="0.25">
      <c r="A22">
        <v>8</v>
      </c>
      <c r="B22">
        <f t="shared" si="0"/>
        <v>-0.46824834305347141</v>
      </c>
      <c r="C22">
        <f t="shared" si="1"/>
        <v>0.34021358938564467</v>
      </c>
      <c r="D22">
        <f t="shared" si="2"/>
        <v>340.21358938564464</v>
      </c>
      <c r="E22">
        <f t="shared" si="3"/>
        <v>52.392892765389277</v>
      </c>
      <c r="F22" t="s">
        <v>191</v>
      </c>
      <c r="G22" t="s">
        <v>142</v>
      </c>
    </row>
    <row r="23" spans="1:7" x14ac:dyDescent="0.25">
      <c r="A23">
        <v>9</v>
      </c>
      <c r="B23">
        <f t="shared" si="0"/>
        <v>-0.33826978351467529</v>
      </c>
      <c r="C23">
        <f t="shared" si="1"/>
        <v>0.4589128478425944</v>
      </c>
      <c r="D23">
        <f t="shared" si="2"/>
        <v>458.91284784259437</v>
      </c>
      <c r="E23">
        <f t="shared" si="3"/>
        <v>70.67257856775953</v>
      </c>
      <c r="F23" t="s">
        <v>191</v>
      </c>
      <c r="G23" t="s">
        <v>142</v>
      </c>
    </row>
    <row r="24" spans="1:7" x14ac:dyDescent="0.25">
      <c r="A24">
        <v>10</v>
      </c>
      <c r="B24">
        <f t="shared" si="0"/>
        <v>-0.22199999999999998</v>
      </c>
      <c r="C24">
        <f t="shared" si="1"/>
        <v>0.59979107625550943</v>
      </c>
      <c r="D24">
        <f t="shared" si="2"/>
        <v>599.79107625550944</v>
      </c>
      <c r="E24">
        <f t="shared" si="3"/>
        <v>92.367825743348448</v>
      </c>
      <c r="F24" t="s">
        <v>191</v>
      </c>
      <c r="G24" t="s">
        <v>142</v>
      </c>
    </row>
    <row r="25" spans="1:7" x14ac:dyDescent="0.25">
      <c r="A25">
        <v>11</v>
      </c>
      <c r="B25">
        <f t="shared" si="0"/>
        <v>-0.11682118701294986</v>
      </c>
      <c r="C25">
        <f t="shared" si="1"/>
        <v>0.7641503440558669</v>
      </c>
      <c r="D25">
        <f t="shared" si="2"/>
        <v>764.15034405586687</v>
      </c>
      <c r="E25">
        <f t="shared" si="3"/>
        <v>117.67915298460349</v>
      </c>
      <c r="F25" t="s">
        <v>191</v>
      </c>
      <c r="G25" t="s">
        <v>142</v>
      </c>
    </row>
    <row r="26" spans="1:7" x14ac:dyDescent="0.25">
      <c r="A26">
        <v>12</v>
      </c>
      <c r="B26">
        <f t="shared" si="0"/>
        <v>-2.0800453792985341E-2</v>
      </c>
      <c r="C26">
        <f t="shared" si="1"/>
        <v>0.95323404788863253</v>
      </c>
      <c r="D26">
        <f t="shared" si="2"/>
        <v>953.23404788863252</v>
      </c>
      <c r="E26">
        <f t="shared" si="3"/>
        <v>146.79804337484941</v>
      </c>
      <c r="F26" t="s">
        <v>191</v>
      </c>
      <c r="G26" t="s">
        <v>142</v>
      </c>
    </row>
    <row r="27" spans="1:7" x14ac:dyDescent="0.25">
      <c r="A27">
        <v>13</v>
      </c>
      <c r="B27">
        <f t="shared" si="0"/>
        <v>6.7530058211672017E-2</v>
      </c>
      <c r="C27">
        <f t="shared" si="1"/>
        <v>1.168234582436406</v>
      </c>
      <c r="D27">
        <f t="shared" si="2"/>
        <v>1168.2345824364061</v>
      </c>
      <c r="E27">
        <f t="shared" si="3"/>
        <v>179.90812569520654</v>
      </c>
      <c r="F27" t="s">
        <v>191</v>
      </c>
      <c r="G27" t="s">
        <v>142</v>
      </c>
    </row>
    <row r="28" spans="1:7" x14ac:dyDescent="0.25">
      <c r="A28">
        <v>14</v>
      </c>
      <c r="B28">
        <f t="shared" si="0"/>
        <v>0.14931133865840263</v>
      </c>
      <c r="C28">
        <f t="shared" si="1"/>
        <v>1.4102994568847829</v>
      </c>
      <c r="D28">
        <f t="shared" si="2"/>
        <v>1410.2994568847828</v>
      </c>
      <c r="E28">
        <f t="shared" si="3"/>
        <v>217.18611636025653</v>
      </c>
      <c r="F28" t="s">
        <v>191</v>
      </c>
      <c r="G28" t="s">
        <v>142</v>
      </c>
    </row>
    <row r="29" spans="1:7" x14ac:dyDescent="0.25">
      <c r="A29">
        <v>15</v>
      </c>
      <c r="B29">
        <f t="shared" si="0"/>
        <v>0.22544788926048653</v>
      </c>
      <c r="C29">
        <f t="shared" si="1"/>
        <v>1.6805362670520179</v>
      </c>
      <c r="D29">
        <f t="shared" si="2"/>
        <v>1680.5362670520178</v>
      </c>
      <c r="E29">
        <f t="shared" si="3"/>
        <v>258.80258512601074</v>
      </c>
      <c r="F29" t="s">
        <v>191</v>
      </c>
      <c r="G29" t="s">
        <v>142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9"/>
  <sheetViews>
    <sheetView topLeftCell="B1" workbookViewId="0">
      <selection activeCell="D13" sqref="D13"/>
    </sheetView>
  </sheetViews>
  <sheetFormatPr defaultRowHeight="15" x14ac:dyDescent="0.25"/>
  <cols>
    <col min="2" max="2" width="14" customWidth="1"/>
    <col min="3" max="3" width="17.42578125" bestFit="1" customWidth="1"/>
  </cols>
  <sheetData>
    <row r="1" spans="1:4" x14ac:dyDescent="0.25">
      <c r="A1" t="s">
        <v>31</v>
      </c>
      <c r="B1" t="s">
        <v>6</v>
      </c>
      <c r="C1" t="s">
        <v>127</v>
      </c>
      <c r="D1" t="s">
        <v>18</v>
      </c>
    </row>
    <row r="2" spans="1:4" x14ac:dyDescent="0.25">
      <c r="A2">
        <v>0.5</v>
      </c>
      <c r="B2">
        <f>0.0033*A2^2.858</f>
        <v>4.5516641776730823E-4</v>
      </c>
      <c r="C2" t="s">
        <v>2</v>
      </c>
      <c r="D2" t="s">
        <v>128</v>
      </c>
    </row>
    <row r="3" spans="1:4" x14ac:dyDescent="0.25">
      <c r="A3">
        <v>0.6</v>
      </c>
      <c r="B3">
        <f t="shared" ref="B3:B27" si="0">0.0033*A3^2.858</f>
        <v>7.6642597226053743E-4</v>
      </c>
      <c r="C3" t="s">
        <v>2</v>
      </c>
      <c r="D3" t="s">
        <v>128</v>
      </c>
    </row>
    <row r="4" spans="1:4" x14ac:dyDescent="0.25">
      <c r="A4">
        <v>0.7</v>
      </c>
      <c r="B4">
        <f t="shared" si="0"/>
        <v>1.1907048928589557E-3</v>
      </c>
      <c r="C4" t="s">
        <v>2</v>
      </c>
      <c r="D4" t="s">
        <v>128</v>
      </c>
    </row>
    <row r="5" spans="1:4" x14ac:dyDescent="0.25">
      <c r="A5">
        <v>0.8</v>
      </c>
      <c r="B5">
        <f t="shared" si="0"/>
        <v>1.7439945470954087E-3</v>
      </c>
      <c r="C5" t="s">
        <v>2</v>
      </c>
      <c r="D5" t="s">
        <v>128</v>
      </c>
    </row>
    <row r="6" spans="1:4" x14ac:dyDescent="0.25">
      <c r="A6">
        <v>0.9</v>
      </c>
      <c r="B6">
        <f t="shared" si="0"/>
        <v>2.4419627330050375E-3</v>
      </c>
      <c r="C6" t="s">
        <v>2</v>
      </c>
      <c r="D6" t="s">
        <v>128</v>
      </c>
    </row>
    <row r="7" spans="1:4" x14ac:dyDescent="0.25">
      <c r="A7">
        <v>1</v>
      </c>
      <c r="B7">
        <f t="shared" si="0"/>
        <v>3.3E-3</v>
      </c>
      <c r="C7" t="s">
        <v>2</v>
      </c>
      <c r="D7" t="s">
        <v>128</v>
      </c>
    </row>
    <row r="8" spans="1:4" x14ac:dyDescent="0.25">
      <c r="A8">
        <v>1.1000000000000001</v>
      </c>
      <c r="B8">
        <f t="shared" si="0"/>
        <v>4.3332548728026513E-3</v>
      </c>
      <c r="C8" t="s">
        <v>2</v>
      </c>
      <c r="D8" t="s">
        <v>128</v>
      </c>
    </row>
    <row r="9" spans="1:4" x14ac:dyDescent="0.25">
      <c r="A9">
        <v>1.2</v>
      </c>
      <c r="B9">
        <f t="shared" si="0"/>
        <v>5.5566614972740874E-3</v>
      </c>
      <c r="C9" t="s">
        <v>2</v>
      </c>
      <c r="D9" t="s">
        <v>128</v>
      </c>
    </row>
    <row r="10" spans="1:4" x14ac:dyDescent="0.25">
      <c r="A10">
        <v>1.3</v>
      </c>
      <c r="B10">
        <f t="shared" si="0"/>
        <v>6.9849618872309966E-3</v>
      </c>
      <c r="C10" t="s">
        <v>2</v>
      </c>
      <c r="D10" t="s">
        <v>128</v>
      </c>
    </row>
    <row r="11" spans="1:4" x14ac:dyDescent="0.25">
      <c r="A11">
        <v>1.4</v>
      </c>
      <c r="B11">
        <f t="shared" si="0"/>
        <v>8.6327241928540483E-3</v>
      </c>
      <c r="C11" t="s">
        <v>2</v>
      </c>
      <c r="D11" t="s">
        <v>128</v>
      </c>
    </row>
    <row r="12" spans="1:4" x14ac:dyDescent="0.25">
      <c r="A12">
        <v>1.5</v>
      </c>
      <c r="B12">
        <f t="shared" si="0"/>
        <v>1.0514357955731227E-2</v>
      </c>
      <c r="C12" t="s">
        <v>2</v>
      </c>
      <c r="D12" t="s">
        <v>128</v>
      </c>
    </row>
    <row r="13" spans="1:4" x14ac:dyDescent="0.25">
      <c r="A13">
        <v>1.6</v>
      </c>
      <c r="B13">
        <f t="shared" si="0"/>
        <v>1.2644127028626778E-2</v>
      </c>
      <c r="C13" t="s">
        <v>2</v>
      </c>
      <c r="D13" t="s">
        <v>128</v>
      </c>
    </row>
    <row r="14" spans="1:4" x14ac:dyDescent="0.25">
      <c r="A14">
        <v>1.7</v>
      </c>
      <c r="B14">
        <f t="shared" si="0"/>
        <v>1.5036160650086028E-2</v>
      </c>
      <c r="C14" t="s">
        <v>2</v>
      </c>
      <c r="D14" t="s">
        <v>128</v>
      </c>
    </row>
    <row r="15" spans="1:4" x14ac:dyDescent="0.25">
      <c r="A15">
        <v>1.8</v>
      </c>
      <c r="B15">
        <f t="shared" si="0"/>
        <v>1.7704463036717941E-2</v>
      </c>
      <c r="C15" t="s">
        <v>2</v>
      </c>
      <c r="D15" t="s">
        <v>128</v>
      </c>
    </row>
    <row r="16" spans="1:4" x14ac:dyDescent="0.25">
      <c r="A16">
        <v>1.9</v>
      </c>
      <c r="B16">
        <f t="shared" si="0"/>
        <v>2.0662921767378439E-2</v>
      </c>
      <c r="C16" t="s">
        <v>2</v>
      </c>
      <c r="D16" t="s">
        <v>128</v>
      </c>
    </row>
    <row r="17" spans="1:4" x14ac:dyDescent="0.25">
      <c r="A17">
        <v>2</v>
      </c>
      <c r="B17">
        <f t="shared" si="0"/>
        <v>2.3925315170257627E-2</v>
      </c>
      <c r="C17" t="s">
        <v>2</v>
      </c>
      <c r="D17" t="s">
        <v>128</v>
      </c>
    </row>
    <row r="18" spans="1:4" x14ac:dyDescent="0.25">
      <c r="A18">
        <v>2.1</v>
      </c>
      <c r="B18">
        <f t="shared" si="0"/>
        <v>2.7505318877808622E-2</v>
      </c>
      <c r="C18" t="s">
        <v>2</v>
      </c>
      <c r="D18" t="s">
        <v>128</v>
      </c>
    </row>
    <row r="19" spans="1:4" x14ac:dyDescent="0.25">
      <c r="A19">
        <v>2.2000000000000002</v>
      </c>
      <c r="B19">
        <f t="shared" si="0"/>
        <v>3.1416511680260023E-2</v>
      </c>
      <c r="C19" t="s">
        <v>2</v>
      </c>
      <c r="D19" t="s">
        <v>128</v>
      </c>
    </row>
    <row r="20" spans="1:4" x14ac:dyDescent="0.25">
      <c r="A20">
        <v>2.2999999999999998</v>
      </c>
      <c r="B20">
        <f t="shared" si="0"/>
        <v>3.5672380782646E-2</v>
      </c>
      <c r="C20" t="s">
        <v>2</v>
      </c>
      <c r="D20" t="s">
        <v>128</v>
      </c>
    </row>
    <row r="21" spans="1:4" x14ac:dyDescent="0.25">
      <c r="A21">
        <v>2.4</v>
      </c>
      <c r="B21">
        <f t="shared" si="0"/>
        <v>4.0286326550520661E-2</v>
      </c>
      <c r="C21" t="s">
        <v>2</v>
      </c>
      <c r="D21" t="s">
        <v>128</v>
      </c>
    </row>
    <row r="22" spans="1:4" x14ac:dyDescent="0.25">
      <c r="A22">
        <v>2.5</v>
      </c>
      <c r="B22">
        <f t="shared" si="0"/>
        <v>4.5271666814180066E-2</v>
      </c>
      <c r="C22" t="s">
        <v>2</v>
      </c>
      <c r="D22" t="s">
        <v>128</v>
      </c>
    </row>
    <row r="23" spans="1:4" x14ac:dyDescent="0.25">
      <c r="A23">
        <v>2.6</v>
      </c>
      <c r="B23">
        <f t="shared" si="0"/>
        <v>5.0641640789163382E-2</v>
      </c>
      <c r="C23" t="s">
        <v>2</v>
      </c>
      <c r="D23" t="s">
        <v>128</v>
      </c>
    </row>
    <row r="24" spans="1:4" x14ac:dyDescent="0.25">
      <c r="A24">
        <v>2.7</v>
      </c>
      <c r="B24">
        <f t="shared" si="0"/>
        <v>5.6409412661231763E-2</v>
      </c>
      <c r="C24" t="s">
        <v>2</v>
      </c>
      <c r="D24" t="s">
        <v>128</v>
      </c>
    </row>
    <row r="25" spans="1:4" x14ac:dyDescent="0.25">
      <c r="A25">
        <v>2.8</v>
      </c>
      <c r="B25">
        <f t="shared" si="0"/>
        <v>6.2588074876345753E-2</v>
      </c>
      <c r="C25" t="s">
        <v>2</v>
      </c>
      <c r="D25" t="s">
        <v>128</v>
      </c>
    </row>
    <row r="26" spans="1:4" x14ac:dyDescent="0.25">
      <c r="A26">
        <v>2.9</v>
      </c>
      <c r="B26">
        <f t="shared" si="0"/>
        <v>6.9190651169947687E-2</v>
      </c>
      <c r="C26" t="s">
        <v>2</v>
      </c>
      <c r="D26" t="s">
        <v>128</v>
      </c>
    </row>
    <row r="27" spans="1:4" x14ac:dyDescent="0.25">
      <c r="A27">
        <v>3</v>
      </c>
      <c r="B27">
        <f t="shared" si="0"/>
        <v>7.6230099364780424E-2</v>
      </c>
      <c r="C27" t="s">
        <v>2</v>
      </c>
      <c r="D27" t="s">
        <v>128</v>
      </c>
    </row>
    <row r="28" spans="1:4" x14ac:dyDescent="0.25">
      <c r="A28">
        <v>0.5</v>
      </c>
      <c r="B28">
        <f>0.0118*A28^2.46011</f>
        <v>2.1444459509808249E-3</v>
      </c>
      <c r="C28" t="s">
        <v>2</v>
      </c>
      <c r="D28" t="s">
        <v>129</v>
      </c>
    </row>
    <row r="29" spans="1:4" x14ac:dyDescent="0.25">
      <c r="A29">
        <v>0.6</v>
      </c>
      <c r="B29">
        <f t="shared" ref="B29:B53" si="1">0.0118*A29^2.46011</f>
        <v>3.3582241456973872E-3</v>
      </c>
      <c r="C29" t="s">
        <v>2</v>
      </c>
      <c r="D29" t="s">
        <v>129</v>
      </c>
    </row>
    <row r="30" spans="1:4" x14ac:dyDescent="0.25">
      <c r="A30">
        <v>0.7</v>
      </c>
      <c r="B30">
        <f t="shared" si="1"/>
        <v>4.9068880138747068E-3</v>
      </c>
      <c r="C30" t="s">
        <v>2</v>
      </c>
      <c r="D30" t="s">
        <v>129</v>
      </c>
    </row>
    <row r="31" spans="1:4" x14ac:dyDescent="0.25">
      <c r="A31">
        <v>0.8</v>
      </c>
      <c r="B31">
        <f t="shared" si="1"/>
        <v>6.8151075708502099E-3</v>
      </c>
      <c r="C31" t="s">
        <v>2</v>
      </c>
      <c r="D31" t="s">
        <v>129</v>
      </c>
    </row>
    <row r="32" spans="1:4" x14ac:dyDescent="0.25">
      <c r="A32">
        <v>0.9</v>
      </c>
      <c r="B32">
        <f t="shared" si="1"/>
        <v>9.1057043911114861E-3</v>
      </c>
      <c r="C32" t="s">
        <v>2</v>
      </c>
      <c r="D32" t="s">
        <v>129</v>
      </c>
    </row>
    <row r="33" spans="1:4" x14ac:dyDescent="0.25">
      <c r="A33">
        <v>1</v>
      </c>
      <c r="B33">
        <f t="shared" si="1"/>
        <v>1.18E-2</v>
      </c>
      <c r="C33" t="s">
        <v>2</v>
      </c>
      <c r="D33" t="s">
        <v>129</v>
      </c>
    </row>
    <row r="34" spans="1:4" x14ac:dyDescent="0.25">
      <c r="A34">
        <v>1.1000000000000001</v>
      </c>
      <c r="B34">
        <f t="shared" si="1"/>
        <v>1.4918067435137477E-2</v>
      </c>
      <c r="C34" t="s">
        <v>2</v>
      </c>
      <c r="D34" t="s">
        <v>129</v>
      </c>
    </row>
    <row r="35" spans="1:4" x14ac:dyDescent="0.25">
      <c r="A35">
        <v>1.2</v>
      </c>
      <c r="B35">
        <f t="shared" si="1"/>
        <v>1.8478919881895171E-2</v>
      </c>
      <c r="C35" t="s">
        <v>2</v>
      </c>
      <c r="D35" t="s">
        <v>129</v>
      </c>
    </row>
    <row r="36" spans="1:4" x14ac:dyDescent="0.25">
      <c r="A36">
        <v>1.3</v>
      </c>
      <c r="B36">
        <f t="shared" si="1"/>
        <v>2.2500656400282697E-2</v>
      </c>
      <c r="C36" t="s">
        <v>2</v>
      </c>
      <c r="D36" t="s">
        <v>129</v>
      </c>
    </row>
    <row r="37" spans="1:4" x14ac:dyDescent="0.25">
      <c r="A37">
        <v>1.4</v>
      </c>
      <c r="B37">
        <f t="shared" si="1"/>
        <v>2.7000577252711221E-2</v>
      </c>
      <c r="C37" t="s">
        <v>2</v>
      </c>
      <c r="D37" t="s">
        <v>129</v>
      </c>
    </row>
    <row r="38" spans="1:4" x14ac:dyDescent="0.25">
      <c r="A38">
        <v>1.5</v>
      </c>
      <c r="B38">
        <f t="shared" si="1"/>
        <v>3.1995277013530742E-2</v>
      </c>
      <c r="C38" t="s">
        <v>2</v>
      </c>
      <c r="D38" t="s">
        <v>129</v>
      </c>
    </row>
    <row r="39" spans="1:4" x14ac:dyDescent="0.25">
      <c r="A39">
        <v>1.6</v>
      </c>
      <c r="B39">
        <f t="shared" si="1"/>
        <v>3.7500721013393148E-2</v>
      </c>
      <c r="C39" t="s">
        <v>2</v>
      </c>
      <c r="D39" t="s">
        <v>129</v>
      </c>
    </row>
    <row r="40" spans="1:4" x14ac:dyDescent="0.25">
      <c r="A40">
        <v>1.7</v>
      </c>
      <c r="B40">
        <f t="shared" si="1"/>
        <v>4.3532309006832831E-2</v>
      </c>
      <c r="C40" t="s">
        <v>2</v>
      </c>
      <c r="D40" t="s">
        <v>129</v>
      </c>
    </row>
    <row r="41" spans="1:4" x14ac:dyDescent="0.25">
      <c r="A41">
        <v>1.8</v>
      </c>
      <c r="B41">
        <f t="shared" si="1"/>
        <v>5.0104928858650588E-2</v>
      </c>
      <c r="C41" t="s">
        <v>2</v>
      </c>
      <c r="D41" t="s">
        <v>129</v>
      </c>
    </row>
    <row r="42" spans="1:4" x14ac:dyDescent="0.25">
      <c r="A42">
        <v>1.9</v>
      </c>
      <c r="B42">
        <f t="shared" si="1"/>
        <v>5.723300230515365E-2</v>
      </c>
      <c r="C42" t="s">
        <v>2</v>
      </c>
      <c r="D42" t="s">
        <v>129</v>
      </c>
    </row>
    <row r="43" spans="1:4" x14ac:dyDescent="0.25">
      <c r="A43">
        <v>2</v>
      </c>
      <c r="B43">
        <f t="shared" si="1"/>
        <v>6.493052433255056E-2</v>
      </c>
      <c r="C43" t="s">
        <v>2</v>
      </c>
      <c r="D43" t="s">
        <v>129</v>
      </c>
    </row>
    <row r="44" spans="1:4" x14ac:dyDescent="0.25">
      <c r="A44">
        <v>2.1</v>
      </c>
      <c r="B44">
        <f t="shared" si="1"/>
        <v>7.3211097349638335E-2</v>
      </c>
      <c r="C44" t="s">
        <v>2</v>
      </c>
      <c r="D44" t="s">
        <v>129</v>
      </c>
    </row>
    <row r="45" spans="1:4" x14ac:dyDescent="0.25">
      <c r="A45">
        <v>2.2000000000000002</v>
      </c>
      <c r="B45">
        <f t="shared" si="1"/>
        <v>8.208796106710374E-2</v>
      </c>
      <c r="C45" t="s">
        <v>2</v>
      </c>
      <c r="D45" t="s">
        <v>129</v>
      </c>
    </row>
    <row r="46" spans="1:4" x14ac:dyDescent="0.25">
      <c r="A46">
        <v>2.2999999999999998</v>
      </c>
      <c r="B46">
        <f t="shared" si="1"/>
        <v>9.1574018800250609E-2</v>
      </c>
      <c r="C46" t="s">
        <v>2</v>
      </c>
      <c r="D46" t="s">
        <v>129</v>
      </c>
    </row>
    <row r="47" spans="1:4" x14ac:dyDescent="0.25">
      <c r="A47">
        <v>2.4</v>
      </c>
      <c r="B47">
        <f t="shared" si="1"/>
        <v>0.10168186076530905</v>
      </c>
      <c r="C47" t="s">
        <v>2</v>
      </c>
      <c r="D47" t="s">
        <v>129</v>
      </c>
    </row>
    <row r="48" spans="1:4" x14ac:dyDescent="0.25">
      <c r="A48">
        <v>2.5</v>
      </c>
      <c r="B48">
        <f t="shared" si="1"/>
        <v>0.11242378482787661</v>
      </c>
      <c r="C48" t="s">
        <v>2</v>
      </c>
      <c r="D48" t="s">
        <v>129</v>
      </c>
    </row>
    <row r="49" spans="1:4" x14ac:dyDescent="0.25">
      <c r="A49">
        <v>2.6</v>
      </c>
      <c r="B49">
        <f t="shared" si="1"/>
        <v>0.12381181507600977</v>
      </c>
      <c r="C49" t="s">
        <v>2</v>
      </c>
      <c r="D49" t="s">
        <v>129</v>
      </c>
    </row>
    <row r="50" spans="1:4" x14ac:dyDescent="0.25">
      <c r="A50">
        <v>2.7</v>
      </c>
      <c r="B50">
        <f t="shared" si="1"/>
        <v>0.13585771852337089</v>
      </c>
      <c r="C50" t="s">
        <v>2</v>
      </c>
      <c r="D50" t="s">
        <v>129</v>
      </c>
    </row>
    <row r="51" spans="1:4" x14ac:dyDescent="0.25">
      <c r="A51">
        <v>2.8</v>
      </c>
      <c r="B51">
        <f t="shared" si="1"/>
        <v>0.14857302019492177</v>
      </c>
      <c r="C51" t="s">
        <v>2</v>
      </c>
      <c r="D51" t="s">
        <v>129</v>
      </c>
    </row>
    <row r="52" spans="1:4" x14ac:dyDescent="0.25">
      <c r="A52">
        <v>2.9</v>
      </c>
      <c r="B52">
        <f t="shared" si="1"/>
        <v>0.16196901680552392</v>
      </c>
      <c r="C52" t="s">
        <v>2</v>
      </c>
      <c r="D52" t="s">
        <v>129</v>
      </c>
    </row>
    <row r="53" spans="1:4" x14ac:dyDescent="0.25">
      <c r="A53">
        <v>3</v>
      </c>
      <c r="B53">
        <f t="shared" si="1"/>
        <v>0.17605678920794524</v>
      </c>
      <c r="C53" t="s">
        <v>2</v>
      </c>
      <c r="D53" t="s">
        <v>129</v>
      </c>
    </row>
    <row r="54" spans="1:4" x14ac:dyDescent="0.25">
      <c r="A54">
        <v>0.5</v>
      </c>
      <c r="B54">
        <f>0.0173*A54^2.47</f>
        <v>3.1224968853173973E-3</v>
      </c>
      <c r="C54" t="s">
        <v>2</v>
      </c>
      <c r="D54" t="s">
        <v>130</v>
      </c>
    </row>
    <row r="55" spans="1:4" x14ac:dyDescent="0.25">
      <c r="A55">
        <v>0.6</v>
      </c>
      <c r="B55">
        <f t="shared" ref="B55:B79" si="2">0.0173*A55^2.47</f>
        <v>4.8986870038028778E-3</v>
      </c>
      <c r="C55" t="s">
        <v>2</v>
      </c>
      <c r="D55" t="s">
        <v>130</v>
      </c>
    </row>
    <row r="56" spans="1:4" x14ac:dyDescent="0.25">
      <c r="A56">
        <v>0.7</v>
      </c>
      <c r="B56">
        <f t="shared" si="2"/>
        <v>7.1686646069286583E-3</v>
      </c>
      <c r="C56" t="s">
        <v>2</v>
      </c>
      <c r="D56" t="s">
        <v>130</v>
      </c>
    </row>
    <row r="57" spans="1:4" x14ac:dyDescent="0.25">
      <c r="A57">
        <v>0.8</v>
      </c>
      <c r="B57">
        <f t="shared" si="2"/>
        <v>9.9696146249135982E-3</v>
      </c>
      <c r="C57" t="s">
        <v>2</v>
      </c>
      <c r="D57" t="s">
        <v>130</v>
      </c>
    </row>
    <row r="58" spans="1:4" x14ac:dyDescent="0.25">
      <c r="A58">
        <v>0.9</v>
      </c>
      <c r="B58">
        <f t="shared" si="2"/>
        <v>1.3335985095433468E-2</v>
      </c>
      <c r="C58" t="s">
        <v>2</v>
      </c>
      <c r="D58" t="s">
        <v>130</v>
      </c>
    </row>
    <row r="59" spans="1:4" x14ac:dyDescent="0.25">
      <c r="A59">
        <v>1</v>
      </c>
      <c r="B59">
        <f t="shared" si="2"/>
        <v>1.7299999999999999E-2</v>
      </c>
      <c r="C59" t="s">
        <v>2</v>
      </c>
      <c r="D59" t="s">
        <v>130</v>
      </c>
    </row>
    <row r="60" spans="1:4" x14ac:dyDescent="0.25">
      <c r="A60">
        <v>1.1000000000000001</v>
      </c>
      <c r="B60">
        <f t="shared" si="2"/>
        <v>2.1892030043260402E-2</v>
      </c>
      <c r="C60" t="s">
        <v>2</v>
      </c>
      <c r="D60" t="s">
        <v>130</v>
      </c>
    </row>
    <row r="61" spans="1:4" x14ac:dyDescent="0.25">
      <c r="A61">
        <v>1.2</v>
      </c>
      <c r="B61">
        <f t="shared" si="2"/>
        <v>2.7140871001117211E-2</v>
      </c>
      <c r="C61" t="s">
        <v>2</v>
      </c>
      <c r="D61" t="s">
        <v>130</v>
      </c>
    </row>
    <row r="62" spans="1:4" x14ac:dyDescent="0.25">
      <c r="A62">
        <v>1.3</v>
      </c>
      <c r="B62">
        <f t="shared" si="2"/>
        <v>3.3073958972073464E-2</v>
      </c>
      <c r="C62" t="s">
        <v>2</v>
      </c>
      <c r="D62" t="s">
        <v>130</v>
      </c>
    </row>
    <row r="63" spans="1:4" x14ac:dyDescent="0.25">
      <c r="A63">
        <v>1.4</v>
      </c>
      <c r="B63">
        <f t="shared" si="2"/>
        <v>3.9717540883074283E-2</v>
      </c>
      <c r="C63" t="s">
        <v>2</v>
      </c>
      <c r="D63" t="s">
        <v>130</v>
      </c>
    </row>
    <row r="64" spans="1:4" x14ac:dyDescent="0.25">
      <c r="A64">
        <v>1.5</v>
      </c>
      <c r="B64">
        <f t="shared" si="2"/>
        <v>4.7096812262529861E-2</v>
      </c>
      <c r="C64" t="s">
        <v>2</v>
      </c>
      <c r="D64" t="s">
        <v>130</v>
      </c>
    </row>
    <row r="65" spans="1:4" x14ac:dyDescent="0.25">
      <c r="A65">
        <v>1.6</v>
      </c>
      <c r="B65">
        <f t="shared" si="2"/>
        <v>5.5236030441539907E-2</v>
      </c>
      <c r="C65" t="s">
        <v>2</v>
      </c>
      <c r="D65" t="s">
        <v>130</v>
      </c>
    </row>
    <row r="66" spans="1:4" x14ac:dyDescent="0.25">
      <c r="A66">
        <v>1.7</v>
      </c>
      <c r="B66">
        <f t="shared" si="2"/>
        <v>6.4158608902390182E-2</v>
      </c>
      <c r="C66" t="s">
        <v>2</v>
      </c>
      <c r="D66" t="s">
        <v>130</v>
      </c>
    </row>
    <row r="67" spans="1:4" x14ac:dyDescent="0.25">
      <c r="A67">
        <v>1.8</v>
      </c>
      <c r="B67">
        <f t="shared" si="2"/>
        <v>7.3887196889084308E-2</v>
      </c>
      <c r="C67" t="s">
        <v>2</v>
      </c>
      <c r="D67" t="s">
        <v>130</v>
      </c>
    </row>
    <row r="68" spans="1:4" x14ac:dyDescent="0.25">
      <c r="A68">
        <v>1.9</v>
      </c>
      <c r="B68">
        <f t="shared" si="2"/>
        <v>8.4443747308221753E-2</v>
      </c>
      <c r="C68" t="s">
        <v>2</v>
      </c>
      <c r="D68" t="s">
        <v>130</v>
      </c>
    </row>
    <row r="69" spans="1:4" x14ac:dyDescent="0.25">
      <c r="A69">
        <v>2</v>
      </c>
      <c r="B69">
        <f t="shared" si="2"/>
        <v>9.5849575193275999E-2</v>
      </c>
      <c r="C69" t="s">
        <v>2</v>
      </c>
      <c r="D69" t="s">
        <v>130</v>
      </c>
    </row>
    <row r="70" spans="1:4" x14ac:dyDescent="0.25">
      <c r="A70">
        <v>2.1</v>
      </c>
      <c r="B70">
        <f t="shared" si="2"/>
        <v>0.10812540846817942</v>
      </c>
      <c r="C70" t="s">
        <v>2</v>
      </c>
      <c r="D70" t="s">
        <v>130</v>
      </c>
    </row>
    <row r="71" spans="1:4" x14ac:dyDescent="0.25">
      <c r="A71">
        <v>2.2000000000000002</v>
      </c>
      <c r="B71">
        <f t="shared" si="2"/>
        <v>0.12129143235635521</v>
      </c>
      <c r="C71" t="s">
        <v>2</v>
      </c>
      <c r="D71" t="s">
        <v>130</v>
      </c>
    </row>
    <row r="72" spans="1:4" x14ac:dyDescent="0.25">
      <c r="A72">
        <v>2.2999999999999998</v>
      </c>
      <c r="B72">
        <f t="shared" si="2"/>
        <v>0.13536732849342048</v>
      </c>
      <c r="C72" t="s">
        <v>2</v>
      </c>
      <c r="D72" t="s">
        <v>130</v>
      </c>
    </row>
    <row r="73" spans="1:4" x14ac:dyDescent="0.25">
      <c r="A73">
        <v>2.4</v>
      </c>
      <c r="B73">
        <f t="shared" si="2"/>
        <v>0.15037230958569875</v>
      </c>
      <c r="C73" t="s">
        <v>2</v>
      </c>
      <c r="D73" t="s">
        <v>130</v>
      </c>
    </row>
    <row r="74" spans="1:4" x14ac:dyDescent="0.25">
      <c r="A74">
        <v>2.5</v>
      </c>
      <c r="B74">
        <f t="shared" si="2"/>
        <v>0.16632515029216041</v>
      </c>
      <c r="C74" t="s">
        <v>2</v>
      </c>
      <c r="D74" t="s">
        <v>130</v>
      </c>
    </row>
    <row r="75" spans="1:4" x14ac:dyDescent="0.25">
      <c r="A75">
        <v>2.6</v>
      </c>
      <c r="B75">
        <f t="shared" si="2"/>
        <v>0.18324421488052484</v>
      </c>
      <c r="C75" t="s">
        <v>2</v>
      </c>
      <c r="D75" t="s">
        <v>130</v>
      </c>
    </row>
    <row r="76" spans="1:4" x14ac:dyDescent="0.25">
      <c r="A76">
        <v>2.7</v>
      </c>
      <c r="B76">
        <f t="shared" si="2"/>
        <v>0.20114748210923608</v>
      </c>
      <c r="C76" t="s">
        <v>2</v>
      </c>
      <c r="D76" t="s">
        <v>130</v>
      </c>
    </row>
    <row r="77" spans="1:4" x14ac:dyDescent="0.25">
      <c r="A77">
        <v>2.8</v>
      </c>
      <c r="B77">
        <f t="shared" si="2"/>
        <v>0.22005256770891565</v>
      </c>
      <c r="C77" t="s">
        <v>2</v>
      </c>
      <c r="D77" t="s">
        <v>130</v>
      </c>
    </row>
    <row r="78" spans="1:4" x14ac:dyDescent="0.25">
      <c r="A78">
        <v>2.9</v>
      </c>
      <c r="B78">
        <f t="shared" si="2"/>
        <v>0.23997674477468051</v>
      </c>
      <c r="C78" t="s">
        <v>2</v>
      </c>
      <c r="D78" t="s">
        <v>130</v>
      </c>
    </row>
    <row r="79" spans="1:4" x14ac:dyDescent="0.25">
      <c r="A79">
        <v>3</v>
      </c>
      <c r="B79">
        <f t="shared" si="2"/>
        <v>0.2609369623306913</v>
      </c>
      <c r="C79" t="s">
        <v>2</v>
      </c>
      <c r="D79" t="s">
        <v>130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482B4-F891-4B3B-8108-2B805EAA0EBD}">
  <dimension ref="A1:D5"/>
  <sheetViews>
    <sheetView workbookViewId="0">
      <selection activeCell="D3" sqref="D3"/>
    </sheetView>
  </sheetViews>
  <sheetFormatPr defaultRowHeight="15" x14ac:dyDescent="0.25"/>
  <cols>
    <col min="2" max="2" width="14.85546875" bestFit="1" customWidth="1"/>
  </cols>
  <sheetData>
    <row r="1" spans="1:4" x14ac:dyDescent="0.25">
      <c r="A1" t="s">
        <v>124</v>
      </c>
      <c r="B1" t="s">
        <v>125</v>
      </c>
      <c r="C1" t="s">
        <v>16</v>
      </c>
    </row>
    <row r="2" spans="1:4" x14ac:dyDescent="0.25">
      <c r="A2">
        <v>0.04</v>
      </c>
      <c r="B2">
        <v>0.15</v>
      </c>
      <c r="C2">
        <f>B2/1000</f>
        <v>1.4999999999999999E-4</v>
      </c>
      <c r="D2" t="s">
        <v>126</v>
      </c>
    </row>
    <row r="3" spans="1:4" x14ac:dyDescent="0.25">
      <c r="A3">
        <v>0.1</v>
      </c>
      <c r="B3">
        <v>0.28999999999999998</v>
      </c>
      <c r="C3">
        <f t="shared" ref="C3:C5" si="0">B3/1000</f>
        <v>2.9E-4</v>
      </c>
    </row>
    <row r="4" spans="1:4" x14ac:dyDescent="0.25">
      <c r="A4">
        <v>0.2</v>
      </c>
      <c r="B4">
        <v>0.59</v>
      </c>
      <c r="C4">
        <f t="shared" si="0"/>
        <v>5.8999999999999992E-4</v>
      </c>
    </row>
    <row r="5" spans="1:4" x14ac:dyDescent="0.25">
      <c r="A5">
        <v>0.5</v>
      </c>
      <c r="B5">
        <v>3.2</v>
      </c>
      <c r="C5">
        <f t="shared" si="0"/>
        <v>3.2000000000000002E-3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E629A-6C9F-4143-A190-0EC309DDCAC7}">
  <dimension ref="A1:E11"/>
  <sheetViews>
    <sheetView workbookViewId="0">
      <selection activeCell="C14" sqref="C14"/>
    </sheetView>
  </sheetViews>
  <sheetFormatPr defaultRowHeight="15" x14ac:dyDescent="0.25"/>
  <cols>
    <col min="2" max="2" width="17.28515625" customWidth="1"/>
  </cols>
  <sheetData>
    <row r="1" spans="1:5" x14ac:dyDescent="0.25">
      <c r="A1" t="s">
        <v>31</v>
      </c>
      <c r="B1" t="s">
        <v>111</v>
      </c>
      <c r="C1" t="s">
        <v>112</v>
      </c>
      <c r="D1" t="s">
        <v>113</v>
      </c>
    </row>
    <row r="2" spans="1:5" x14ac:dyDescent="0.25">
      <c r="A2">
        <v>0.1</v>
      </c>
      <c r="B2">
        <f>(-2.02)+(1.66)*(LN(A2))</f>
        <v>-5.8422912543701155</v>
      </c>
      <c r="C2">
        <f>EXP(B2)</f>
        <v>2.9021853570947035E-3</v>
      </c>
      <c r="D2">
        <f>C2*0.7</f>
        <v>2.0315297499662924E-3</v>
      </c>
      <c r="E2" t="s">
        <v>114</v>
      </c>
    </row>
    <row r="3" spans="1:5" x14ac:dyDescent="0.25">
      <c r="A3">
        <v>0.2</v>
      </c>
      <c r="B3">
        <f t="shared" ref="B3:B11" si="0">(-2.02)+(1.66)*(LN(A3))</f>
        <v>-4.6916669346406064</v>
      </c>
      <c r="C3">
        <f t="shared" ref="C3:C11" si="1">EXP(B3)</f>
        <v>9.1713853071591321E-3</v>
      </c>
      <c r="D3">
        <f t="shared" ref="D3:D11" si="2">C3*0.7</f>
        <v>6.4199697150113923E-3</v>
      </c>
      <c r="E3" t="s">
        <v>115</v>
      </c>
    </row>
    <row r="4" spans="1:5" x14ac:dyDescent="0.25">
      <c r="A4">
        <v>0.3</v>
      </c>
      <c r="B4">
        <f>(-2.02)+(1.66)*(LN(A4))</f>
        <v>-4.0185948551810542</v>
      </c>
      <c r="C4">
        <f>EXP(B4)</f>
        <v>1.797820918693047E-2</v>
      </c>
      <c r="D4">
        <f>C4*0.7</f>
        <v>1.2584746430851328E-2</v>
      </c>
      <c r="E4" t="s">
        <v>116</v>
      </c>
    </row>
    <row r="5" spans="1:5" x14ac:dyDescent="0.25">
      <c r="A5">
        <v>0.4</v>
      </c>
      <c r="B5">
        <f>(-2.02)+(1.66)*(LN(A5))</f>
        <v>-3.5410426149110972</v>
      </c>
      <c r="C5">
        <f>EXP(B5)</f>
        <v>2.8983093118690011E-2</v>
      </c>
      <c r="D5">
        <f>C5*0.7</f>
        <v>2.0288165183083007E-2</v>
      </c>
      <c r="E5" t="s">
        <v>117</v>
      </c>
    </row>
    <row r="6" spans="1:5" x14ac:dyDescent="0.25">
      <c r="A6">
        <v>0.5</v>
      </c>
      <c r="B6">
        <f t="shared" si="0"/>
        <v>-3.1706243197295092</v>
      </c>
      <c r="C6">
        <f t="shared" si="1"/>
        <v>4.1977382412839569E-2</v>
      </c>
      <c r="D6">
        <f t="shared" si="2"/>
        <v>2.9384167688987696E-2</v>
      </c>
      <c r="E6" t="s">
        <v>118</v>
      </c>
    </row>
    <row r="7" spans="1:5" x14ac:dyDescent="0.25">
      <c r="A7">
        <v>0.6</v>
      </c>
      <c r="B7">
        <f t="shared" si="0"/>
        <v>-2.8679705354515446</v>
      </c>
      <c r="C7">
        <f t="shared" si="1"/>
        <v>5.6814111883987092E-2</v>
      </c>
      <c r="D7">
        <f t="shared" si="2"/>
        <v>3.976987831879096E-2</v>
      </c>
      <c r="E7" t="s">
        <v>119</v>
      </c>
    </row>
    <row r="8" spans="1:5" x14ac:dyDescent="0.25">
      <c r="A8">
        <v>0.7</v>
      </c>
      <c r="B8">
        <f t="shared" si="0"/>
        <v>-2.6120804069382961</v>
      </c>
      <c r="C8">
        <f t="shared" si="1"/>
        <v>7.3381721009885256E-2</v>
      </c>
      <c r="D8">
        <f t="shared" si="2"/>
        <v>5.1367204706919675E-2</v>
      </c>
      <c r="E8" t="s">
        <v>120</v>
      </c>
    </row>
    <row r="9" spans="1:5" x14ac:dyDescent="0.25">
      <c r="A9">
        <v>0.8</v>
      </c>
      <c r="B9">
        <f t="shared" si="0"/>
        <v>-2.390418295181588</v>
      </c>
      <c r="C9">
        <f t="shared" si="1"/>
        <v>9.1591363637393106E-2</v>
      </c>
      <c r="D9">
        <f t="shared" si="2"/>
        <v>6.4113954546175175E-2</v>
      </c>
      <c r="E9" t="s">
        <v>121</v>
      </c>
    </row>
    <row r="10" spans="1:5" x14ac:dyDescent="0.25">
      <c r="A10">
        <v>0.9</v>
      </c>
      <c r="B10">
        <f t="shared" si="0"/>
        <v>-2.1948984559919915</v>
      </c>
      <c r="C10">
        <f t="shared" si="1"/>
        <v>0.1113698698737127</v>
      </c>
      <c r="D10">
        <f t="shared" si="2"/>
        <v>7.7958908911598887E-2</v>
      </c>
      <c r="E10" t="s">
        <v>122</v>
      </c>
    </row>
    <row r="11" spans="1:5" x14ac:dyDescent="0.25">
      <c r="A11">
        <v>1</v>
      </c>
      <c r="B11">
        <f t="shared" si="0"/>
        <v>-2.02</v>
      </c>
      <c r="C11">
        <f t="shared" si="1"/>
        <v>0.13265546508012172</v>
      </c>
      <c r="D11">
        <f t="shared" si="2"/>
        <v>9.2858825556085198E-2</v>
      </c>
      <c r="E11" t="s">
        <v>123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C1EEE-1072-43AB-8B59-A00CA9848A9A}">
  <dimension ref="A1:E105"/>
  <sheetViews>
    <sheetView workbookViewId="0">
      <selection activeCell="H19" sqref="H19"/>
    </sheetView>
  </sheetViews>
  <sheetFormatPr defaultRowHeight="15" x14ac:dyDescent="0.25"/>
  <cols>
    <col min="1" max="1" width="10.85546875" bestFit="1" customWidth="1"/>
  </cols>
  <sheetData>
    <row r="1" spans="1:5" x14ac:dyDescent="0.25">
      <c r="A1" t="s">
        <v>31</v>
      </c>
      <c r="B1" t="s">
        <v>102</v>
      </c>
      <c r="C1" t="s">
        <v>6</v>
      </c>
      <c r="D1" t="s">
        <v>18</v>
      </c>
      <c r="E1" t="s">
        <v>68</v>
      </c>
    </row>
    <row r="2" spans="1:5" x14ac:dyDescent="0.25">
      <c r="A2">
        <v>0.5</v>
      </c>
      <c r="B2">
        <f>0.006*A2^2.721</f>
        <v>9.1001517018651974E-4</v>
      </c>
      <c r="C2">
        <f>B2*0.729</f>
        <v>6.6340105906597291E-4</v>
      </c>
      <c r="D2" t="s">
        <v>104</v>
      </c>
      <c r="E2" t="s">
        <v>108</v>
      </c>
    </row>
    <row r="3" spans="1:5" x14ac:dyDescent="0.25">
      <c r="A3">
        <v>0.6</v>
      </c>
      <c r="B3">
        <f t="shared" ref="B3:B27" si="0">0.006*A3^2.721</f>
        <v>1.4945168045796811E-3</v>
      </c>
      <c r="C3">
        <f t="shared" ref="C3:C66" si="1">B3*0.729</f>
        <v>1.0895027505385874E-3</v>
      </c>
      <c r="D3" t="s">
        <v>104</v>
      </c>
      <c r="E3" t="s">
        <v>108</v>
      </c>
    </row>
    <row r="4" spans="1:5" x14ac:dyDescent="0.25">
      <c r="A4">
        <v>0.7</v>
      </c>
      <c r="B4">
        <f t="shared" si="0"/>
        <v>2.2733327958798935E-3</v>
      </c>
      <c r="C4">
        <f t="shared" si="1"/>
        <v>1.6572596081964423E-3</v>
      </c>
      <c r="D4" t="s">
        <v>104</v>
      </c>
      <c r="E4" t="s">
        <v>108</v>
      </c>
    </row>
    <row r="5" spans="1:5" x14ac:dyDescent="0.25">
      <c r="A5">
        <v>0.8</v>
      </c>
      <c r="B5">
        <f t="shared" si="0"/>
        <v>3.2693325996176778E-3</v>
      </c>
      <c r="C5">
        <f t="shared" si="1"/>
        <v>2.383343465121287E-3</v>
      </c>
      <c r="D5" t="s">
        <v>104</v>
      </c>
      <c r="E5" t="s">
        <v>108</v>
      </c>
    </row>
    <row r="6" spans="1:5" x14ac:dyDescent="0.25">
      <c r="A6">
        <v>0.9</v>
      </c>
      <c r="B6">
        <f t="shared" si="0"/>
        <v>4.5044847253283447E-3</v>
      </c>
      <c r="C6">
        <f t="shared" si="1"/>
        <v>3.283769364764363E-3</v>
      </c>
      <c r="D6" t="s">
        <v>104</v>
      </c>
      <c r="E6" t="s">
        <v>108</v>
      </c>
    </row>
    <row r="7" spans="1:5" x14ac:dyDescent="0.25">
      <c r="A7">
        <v>1</v>
      </c>
      <c r="B7">
        <f t="shared" si="0"/>
        <v>6.0000000000000001E-3</v>
      </c>
      <c r="C7">
        <f t="shared" si="1"/>
        <v>4.3740000000000003E-3</v>
      </c>
      <c r="D7" t="s">
        <v>104</v>
      </c>
      <c r="E7" t="s">
        <v>108</v>
      </c>
    </row>
    <row r="8" spans="1:5" x14ac:dyDescent="0.25">
      <c r="A8">
        <v>1.1000000000000001</v>
      </c>
      <c r="B8">
        <f t="shared" si="0"/>
        <v>7.7764385890131483E-3</v>
      </c>
      <c r="C8">
        <f t="shared" si="1"/>
        <v>5.6690237313905848E-3</v>
      </c>
      <c r="D8" t="s">
        <v>104</v>
      </c>
      <c r="E8" t="s">
        <v>108</v>
      </c>
    </row>
    <row r="9" spans="1:5" x14ac:dyDescent="0.25">
      <c r="A9">
        <v>1.2</v>
      </c>
      <c r="B9">
        <f t="shared" si="0"/>
        <v>9.8537926852803569E-3</v>
      </c>
      <c r="C9">
        <f t="shared" si="1"/>
        <v>7.18341486756938E-3</v>
      </c>
      <c r="D9" t="s">
        <v>104</v>
      </c>
      <c r="E9" t="s">
        <v>108</v>
      </c>
    </row>
    <row r="10" spans="1:5" x14ac:dyDescent="0.25">
      <c r="A10">
        <v>1.3</v>
      </c>
      <c r="B10">
        <f t="shared" si="0"/>
        <v>1.2251552122525355E-2</v>
      </c>
      <c r="C10">
        <f t="shared" si="1"/>
        <v>8.9313814973209834E-3</v>
      </c>
      <c r="D10" t="s">
        <v>104</v>
      </c>
      <c r="E10" t="s">
        <v>108</v>
      </c>
    </row>
    <row r="11" spans="1:5" x14ac:dyDescent="0.25">
      <c r="A11">
        <v>1.4</v>
      </c>
      <c r="B11">
        <f t="shared" si="0"/>
        <v>1.4988757574759622E-2</v>
      </c>
      <c r="C11">
        <f t="shared" si="1"/>
        <v>1.0926804271999765E-2</v>
      </c>
      <c r="D11" t="s">
        <v>104</v>
      </c>
      <c r="E11" t="s">
        <v>108</v>
      </c>
    </row>
    <row r="12" spans="1:5" x14ac:dyDescent="0.25">
      <c r="A12">
        <v>1.5</v>
      </c>
      <c r="B12">
        <f t="shared" si="0"/>
        <v>1.8084044467851355E-2</v>
      </c>
      <c r="C12">
        <f t="shared" si="1"/>
        <v>1.3183268417063639E-2</v>
      </c>
      <c r="D12" t="s">
        <v>104</v>
      </c>
      <c r="E12" t="s">
        <v>108</v>
      </c>
    </row>
    <row r="13" spans="1:5" x14ac:dyDescent="0.25">
      <c r="A13">
        <v>1.6</v>
      </c>
      <c r="B13">
        <f t="shared" si="0"/>
        <v>2.1555679773652029E-2</v>
      </c>
      <c r="C13">
        <f t="shared" si="1"/>
        <v>1.571409055499233E-2</v>
      </c>
      <c r="D13" t="s">
        <v>104</v>
      </c>
      <c r="E13" t="s">
        <v>108</v>
      </c>
    </row>
    <row r="14" spans="1:5" x14ac:dyDescent="0.25">
      <c r="A14">
        <v>1.7</v>
      </c>
      <c r="B14">
        <f t="shared" si="0"/>
        <v>2.5421593238434993E-2</v>
      </c>
      <c r="C14">
        <f t="shared" si="1"/>
        <v>1.853234147081911E-2</v>
      </c>
      <c r="D14" t="s">
        <v>104</v>
      </c>
      <c r="E14" t="s">
        <v>108</v>
      </c>
    </row>
    <row r="15" spans="1:5" x14ac:dyDescent="0.25">
      <c r="A15">
        <v>1.8</v>
      </c>
      <c r="B15">
        <f t="shared" si="0"/>
        <v>2.969940418293307E-2</v>
      </c>
      <c r="C15">
        <f t="shared" si="1"/>
        <v>2.1650865649358208E-2</v>
      </c>
      <c r="D15" t="s">
        <v>104</v>
      </c>
      <c r="E15" t="s">
        <v>108</v>
      </c>
    </row>
    <row r="16" spans="1:5" x14ac:dyDescent="0.25">
      <c r="A16">
        <v>1.9</v>
      </c>
      <c r="B16">
        <f t="shared" si="0"/>
        <v>3.4406444725481863E-2</v>
      </c>
      <c r="C16">
        <f t="shared" si="1"/>
        <v>2.5082298204876279E-2</v>
      </c>
      <c r="D16" t="s">
        <v>104</v>
      </c>
      <c r="E16" t="s">
        <v>108</v>
      </c>
    </row>
    <row r="17" spans="1:5" x14ac:dyDescent="0.25">
      <c r="A17">
        <v>2</v>
      </c>
      <c r="B17">
        <f t="shared" si="0"/>
        <v>3.9559780077755548E-2</v>
      </c>
      <c r="C17">
        <f t="shared" si="1"/>
        <v>2.8839079676683792E-2</v>
      </c>
      <c r="D17" t="s">
        <v>104</v>
      </c>
      <c r="E17" t="s">
        <v>108</v>
      </c>
    </row>
    <row r="18" spans="1:5" x14ac:dyDescent="0.25">
      <c r="A18">
        <v>2.1</v>
      </c>
      <c r="B18">
        <f t="shared" si="0"/>
        <v>4.5176226416632805E-2</v>
      </c>
      <c r="C18">
        <f t="shared" si="1"/>
        <v>3.2933469057725311E-2</v>
      </c>
      <c r="D18" t="s">
        <v>104</v>
      </c>
      <c r="E18" t="s">
        <v>108</v>
      </c>
    </row>
    <row r="19" spans="1:5" x14ac:dyDescent="0.25">
      <c r="A19">
        <v>2.2000000000000002</v>
      </c>
      <c r="B19">
        <f t="shared" si="0"/>
        <v>5.127236672825531E-2</v>
      </c>
      <c r="C19">
        <f t="shared" si="1"/>
        <v>3.7377555344898117E-2</v>
      </c>
      <c r="D19" t="s">
        <v>104</v>
      </c>
      <c r="E19" t="s">
        <v>108</v>
      </c>
    </row>
    <row r="20" spans="1:5" x14ac:dyDescent="0.25">
      <c r="A20">
        <v>2.2999999999999998</v>
      </c>
      <c r="B20">
        <f t="shared" si="0"/>
        <v>5.7864564939838901E-2</v>
      </c>
      <c r="C20">
        <f t="shared" si="1"/>
        <v>4.2183267841142555E-2</v>
      </c>
      <c r="D20" t="s">
        <v>104</v>
      </c>
      <c r="E20" t="s">
        <v>108</v>
      </c>
    </row>
    <row r="21" spans="1:5" x14ac:dyDescent="0.25">
      <c r="A21">
        <v>2.4</v>
      </c>
      <c r="B21">
        <f t="shared" si="0"/>
        <v>6.4968978593581181E-2</v>
      </c>
      <c r="C21">
        <f t="shared" si="1"/>
        <v>4.736238539472068E-2</v>
      </c>
      <c r="D21" t="s">
        <v>104</v>
      </c>
      <c r="E21" t="s">
        <v>108</v>
      </c>
    </row>
    <row r="22" spans="1:5" x14ac:dyDescent="0.25">
      <c r="A22">
        <v>2.5</v>
      </c>
      <c r="B22">
        <f t="shared" si="0"/>
        <v>7.2601570269813023E-2</v>
      </c>
      <c r="C22">
        <f t="shared" si="1"/>
        <v>5.292654472669369E-2</v>
      </c>
      <c r="D22" t="s">
        <v>104</v>
      </c>
      <c r="E22" t="s">
        <v>108</v>
      </c>
    </row>
    <row r="23" spans="1:5" x14ac:dyDescent="0.25">
      <c r="A23">
        <v>2.6</v>
      </c>
      <c r="B23">
        <f t="shared" si="0"/>
        <v>8.0778117929710361E-2</v>
      </c>
      <c r="C23">
        <f t="shared" si="1"/>
        <v>5.8887247970758852E-2</v>
      </c>
      <c r="D23" t="s">
        <v>104</v>
      </c>
      <c r="E23" t="s">
        <v>108</v>
      </c>
    </row>
    <row r="24" spans="1:5" x14ac:dyDescent="0.25">
      <c r="A24">
        <v>2.7</v>
      </c>
      <c r="B24">
        <f t="shared" si="0"/>
        <v>8.9514224318808691E-2</v>
      </c>
      <c r="C24">
        <f t="shared" si="1"/>
        <v>6.5255869528411531E-2</v>
      </c>
      <c r="D24" t="s">
        <v>104</v>
      </c>
      <c r="E24" t="s">
        <v>108</v>
      </c>
    </row>
    <row r="25" spans="1:5" x14ac:dyDescent="0.25">
      <c r="A25">
        <v>2.8</v>
      </c>
      <c r="B25">
        <f t="shared" si="0"/>
        <v>9.8825325549380505E-2</v>
      </c>
      <c r="C25">
        <f t="shared" si="1"/>
        <v>7.2043662325498387E-2</v>
      </c>
      <c r="D25" t="s">
        <v>104</v>
      </c>
      <c r="E25" t="s">
        <v>108</v>
      </c>
    </row>
    <row r="26" spans="1:5" x14ac:dyDescent="0.25">
      <c r="A26">
        <v>2.9</v>
      </c>
      <c r="B26">
        <f t="shared" si="0"/>
        <v>0.10872669896107809</v>
      </c>
      <c r="C26">
        <f t="shared" si="1"/>
        <v>7.9261763542625929E-2</v>
      </c>
      <c r="D26" t="s">
        <v>104</v>
      </c>
      <c r="E26" t="s">
        <v>108</v>
      </c>
    </row>
    <row r="27" spans="1:5" x14ac:dyDescent="0.25">
      <c r="A27">
        <v>3</v>
      </c>
      <c r="B27">
        <f t="shared" si="0"/>
        <v>0.11923347034409192</v>
      </c>
      <c r="C27">
        <f t="shared" si="1"/>
        <v>8.6921199880843E-2</v>
      </c>
      <c r="D27" t="s">
        <v>104</v>
      </c>
      <c r="E27" t="s">
        <v>108</v>
      </c>
    </row>
    <row r="28" spans="1:5" x14ac:dyDescent="0.25">
      <c r="A28">
        <v>0.5</v>
      </c>
      <c r="B28">
        <f>0.0016*A28^2.523</f>
        <v>2.783692783662202E-4</v>
      </c>
      <c r="C28">
        <f t="shared" si="1"/>
        <v>2.0293120392897451E-4</v>
      </c>
      <c r="D28" t="s">
        <v>105</v>
      </c>
      <c r="E28" t="s">
        <v>108</v>
      </c>
    </row>
    <row r="29" spans="1:5" x14ac:dyDescent="0.25">
      <c r="A29">
        <v>0.6</v>
      </c>
      <c r="B29">
        <f t="shared" ref="B29:B53" si="2">0.0016*A29^2.523</f>
        <v>4.4095633611431639E-4</v>
      </c>
      <c r="C29">
        <f t="shared" si="1"/>
        <v>3.2145716902733665E-4</v>
      </c>
      <c r="D29" t="s">
        <v>105</v>
      </c>
      <c r="E29" t="s">
        <v>108</v>
      </c>
    </row>
    <row r="30" spans="1:5" x14ac:dyDescent="0.25">
      <c r="A30">
        <v>0.7</v>
      </c>
      <c r="B30">
        <f t="shared" si="2"/>
        <v>6.5058244095361328E-4</v>
      </c>
      <c r="C30">
        <f t="shared" si="1"/>
        <v>4.7427459945518407E-4</v>
      </c>
      <c r="D30" t="s">
        <v>105</v>
      </c>
      <c r="E30" t="s">
        <v>108</v>
      </c>
    </row>
    <row r="31" spans="1:5" x14ac:dyDescent="0.25">
      <c r="A31">
        <v>0.8</v>
      </c>
      <c r="B31">
        <f t="shared" si="2"/>
        <v>9.1120484406975657E-4</v>
      </c>
      <c r="C31">
        <f t="shared" si="1"/>
        <v>6.6426833132685254E-4</v>
      </c>
      <c r="D31" t="s">
        <v>105</v>
      </c>
      <c r="E31" t="s">
        <v>108</v>
      </c>
    </row>
    <row r="32" spans="1:5" x14ac:dyDescent="0.25">
      <c r="A32">
        <v>0.9</v>
      </c>
      <c r="B32">
        <f t="shared" si="2"/>
        <v>1.2265177396412509E-3</v>
      </c>
      <c r="C32">
        <f t="shared" si="1"/>
        <v>8.9413143219847194E-4</v>
      </c>
      <c r="D32" t="s">
        <v>105</v>
      </c>
      <c r="E32" t="s">
        <v>108</v>
      </c>
    </row>
    <row r="33" spans="1:5" x14ac:dyDescent="0.25">
      <c r="A33">
        <v>1</v>
      </c>
      <c r="B33">
        <f t="shared" si="2"/>
        <v>1.6000000000000001E-3</v>
      </c>
      <c r="C33">
        <f t="shared" si="1"/>
        <v>1.1663999999999999E-3</v>
      </c>
      <c r="D33" t="s">
        <v>105</v>
      </c>
      <c r="E33" t="s">
        <v>108</v>
      </c>
    </row>
    <row r="34" spans="1:5" x14ac:dyDescent="0.25">
      <c r="A34">
        <v>1.1000000000000001</v>
      </c>
      <c r="B34">
        <f t="shared" si="2"/>
        <v>2.0349499274009363E-3</v>
      </c>
      <c r="C34">
        <f t="shared" si="1"/>
        <v>1.4834784970752825E-3</v>
      </c>
      <c r="D34" t="s">
        <v>105</v>
      </c>
      <c r="E34" t="s">
        <v>108</v>
      </c>
    </row>
    <row r="35" spans="1:5" x14ac:dyDescent="0.25">
      <c r="A35">
        <v>1.2</v>
      </c>
      <c r="B35">
        <f t="shared" si="2"/>
        <v>2.5345115018573167E-3</v>
      </c>
      <c r="C35">
        <f t="shared" si="1"/>
        <v>1.8476588848539838E-3</v>
      </c>
      <c r="D35" t="s">
        <v>105</v>
      </c>
      <c r="E35" t="s">
        <v>108</v>
      </c>
    </row>
    <row r="36" spans="1:5" x14ac:dyDescent="0.25">
      <c r="A36">
        <v>1.3</v>
      </c>
      <c r="B36">
        <f t="shared" si="2"/>
        <v>3.1016947898263938E-3</v>
      </c>
      <c r="C36">
        <f t="shared" si="1"/>
        <v>2.2611355017834412E-3</v>
      </c>
      <c r="D36" t="s">
        <v>105</v>
      </c>
      <c r="E36" t="s">
        <v>108</v>
      </c>
    </row>
    <row r="37" spans="1:5" x14ac:dyDescent="0.25">
      <c r="A37">
        <v>1.4</v>
      </c>
      <c r="B37">
        <f t="shared" si="2"/>
        <v>3.739392190241411E-3</v>
      </c>
      <c r="C37">
        <f t="shared" si="1"/>
        <v>2.7260169066859884E-3</v>
      </c>
      <c r="D37" t="s">
        <v>105</v>
      </c>
      <c r="E37" t="s">
        <v>108</v>
      </c>
    </row>
    <row r="38" spans="1:5" x14ac:dyDescent="0.25">
      <c r="A38">
        <v>1.5</v>
      </c>
      <c r="B38">
        <f t="shared" si="2"/>
        <v>4.4503916209001886E-3</v>
      </c>
      <c r="C38">
        <f t="shared" si="1"/>
        <v>3.2443354916362375E-3</v>
      </c>
      <c r="D38" t="s">
        <v>105</v>
      </c>
      <c r="E38" t="s">
        <v>108</v>
      </c>
    </row>
    <row r="39" spans="1:5" x14ac:dyDescent="0.25">
      <c r="A39">
        <v>1.6</v>
      </c>
      <c r="B39">
        <f t="shared" si="2"/>
        <v>5.2373873980216075E-3</v>
      </c>
      <c r="C39">
        <f t="shared" si="1"/>
        <v>3.8180554131577518E-3</v>
      </c>
      <c r="D39" t="s">
        <v>105</v>
      </c>
      <c r="E39" t="s">
        <v>108</v>
      </c>
    </row>
    <row r="40" spans="1:5" x14ac:dyDescent="0.25">
      <c r="A40">
        <v>1.7</v>
      </c>
      <c r="B40">
        <f t="shared" si="2"/>
        <v>6.102989338759377E-3</v>
      </c>
      <c r="C40">
        <f t="shared" si="1"/>
        <v>4.4490792279555857E-3</v>
      </c>
      <c r="D40" t="s">
        <v>105</v>
      </c>
      <c r="E40" t="s">
        <v>108</v>
      </c>
    </row>
    <row r="41" spans="1:5" x14ac:dyDescent="0.25">
      <c r="A41">
        <v>1.8</v>
      </c>
      <c r="B41">
        <f t="shared" si="2"/>
        <v>7.0497304693381002E-3</v>
      </c>
      <c r="C41">
        <f t="shared" si="1"/>
        <v>5.1392535121474753E-3</v>
      </c>
      <c r="D41" t="s">
        <v>105</v>
      </c>
      <c r="E41" t="s">
        <v>108</v>
      </c>
    </row>
    <row r="42" spans="1:5" x14ac:dyDescent="0.25">
      <c r="A42">
        <v>1.9</v>
      </c>
      <c r="B42">
        <f t="shared" si="2"/>
        <v>8.0800736214629246E-3</v>
      </c>
      <c r="C42">
        <f t="shared" si="1"/>
        <v>5.8903736700464723E-3</v>
      </c>
      <c r="D42" t="s">
        <v>105</v>
      </c>
      <c r="E42" t="s">
        <v>108</v>
      </c>
    </row>
    <row r="43" spans="1:5" x14ac:dyDescent="0.25">
      <c r="A43">
        <v>2</v>
      </c>
      <c r="B43">
        <f t="shared" si="2"/>
        <v>9.1964171298820046E-3</v>
      </c>
      <c r="C43">
        <f t="shared" si="1"/>
        <v>6.7041880876839814E-3</v>
      </c>
      <c r="D43" t="s">
        <v>105</v>
      </c>
      <c r="E43" t="s">
        <v>108</v>
      </c>
    </row>
    <row r="44" spans="1:5" x14ac:dyDescent="0.25">
      <c r="A44">
        <v>2.1</v>
      </c>
      <c r="B44">
        <f t="shared" si="2"/>
        <v>1.0401099794193741E-2</v>
      </c>
      <c r="C44">
        <f t="shared" si="1"/>
        <v>7.5824017499672366E-3</v>
      </c>
      <c r="D44" t="s">
        <v>105</v>
      </c>
      <c r="E44" t="s">
        <v>108</v>
      </c>
    </row>
    <row r="45" spans="1:5" x14ac:dyDescent="0.25">
      <c r="A45">
        <v>2.2000000000000002</v>
      </c>
      <c r="B45">
        <f t="shared" si="2"/>
        <v>1.1696405231751321E-2</v>
      </c>
      <c r="C45">
        <f t="shared" si="1"/>
        <v>8.5266794139467125E-3</v>
      </c>
      <c r="D45" t="s">
        <v>105</v>
      </c>
      <c r="E45" t="s">
        <v>108</v>
      </c>
    </row>
    <row r="46" spans="1:5" x14ac:dyDescent="0.25">
      <c r="A46">
        <v>2.2999999999999998</v>
      </c>
      <c r="B46">
        <f t="shared" si="2"/>
        <v>1.3084565721668866E-2</v>
      </c>
      <c r="C46">
        <f t="shared" si="1"/>
        <v>9.5386484110966032E-3</v>
      </c>
      <c r="D46" t="s">
        <v>105</v>
      </c>
      <c r="E46" t="s">
        <v>108</v>
      </c>
    </row>
    <row r="47" spans="1:5" x14ac:dyDescent="0.25">
      <c r="A47">
        <v>2.4</v>
      </c>
      <c r="B47">
        <f t="shared" si="2"/>
        <v>1.4567765619727243E-2</v>
      </c>
      <c r="C47">
        <f t="shared" si="1"/>
        <v>1.061990113678116E-2</v>
      </c>
      <c r="D47" t="s">
        <v>105</v>
      </c>
      <c r="E47" t="s">
        <v>108</v>
      </c>
    </row>
    <row r="48" spans="1:5" x14ac:dyDescent="0.25">
      <c r="A48">
        <v>2.5</v>
      </c>
      <c r="B48">
        <f t="shared" si="2"/>
        <v>1.6148144408552743E-2</v>
      </c>
      <c r="C48">
        <f t="shared" si="1"/>
        <v>1.1771997273834949E-2</v>
      </c>
      <c r="D48" t="s">
        <v>105</v>
      </c>
      <c r="E48" t="s">
        <v>108</v>
      </c>
    </row>
    <row r="49" spans="1:5" x14ac:dyDescent="0.25">
      <c r="A49">
        <v>2.6</v>
      </c>
      <c r="B49">
        <f t="shared" si="2"/>
        <v>1.7827799435515754E-2</v>
      </c>
      <c r="C49">
        <f t="shared" si="1"/>
        <v>1.2996465788490985E-2</v>
      </c>
      <c r="D49" t="s">
        <v>105</v>
      </c>
      <c r="E49" t="s">
        <v>108</v>
      </c>
    </row>
    <row r="50" spans="1:5" x14ac:dyDescent="0.25">
      <c r="A50">
        <v>2.7</v>
      </c>
      <c r="B50">
        <f t="shared" si="2"/>
        <v>1.9608788381466895E-2</v>
      </c>
      <c r="C50">
        <f t="shared" si="1"/>
        <v>1.4294806730089366E-2</v>
      </c>
      <c r="D50" t="s">
        <v>105</v>
      </c>
      <c r="E50" t="s">
        <v>108</v>
      </c>
    </row>
    <row r="51" spans="1:5" x14ac:dyDescent="0.25">
      <c r="A51">
        <v>2.8</v>
      </c>
      <c r="B51">
        <f t="shared" si="2"/>
        <v>2.1493131496051941E-2</v>
      </c>
      <c r="C51">
        <f t="shared" si="1"/>
        <v>1.5668492860621865E-2</v>
      </c>
      <c r="D51" t="s">
        <v>105</v>
      </c>
      <c r="E51" t="s">
        <v>108</v>
      </c>
    </row>
    <row r="52" spans="1:5" x14ac:dyDescent="0.25">
      <c r="A52">
        <v>2.9</v>
      </c>
      <c r="B52">
        <f t="shared" si="2"/>
        <v>2.3482813629458855E-2</v>
      </c>
      <c r="C52">
        <f t="shared" si="1"/>
        <v>1.7118971135875505E-2</v>
      </c>
      <c r="D52" t="s">
        <v>105</v>
      </c>
      <c r="E52" t="s">
        <v>108</v>
      </c>
    </row>
    <row r="53" spans="1:5" x14ac:dyDescent="0.25">
      <c r="A53">
        <v>3</v>
      </c>
      <c r="B53">
        <f t="shared" si="2"/>
        <v>2.5579786085706158E-2</v>
      </c>
      <c r="C53">
        <f t="shared" si="1"/>
        <v>1.8647664056479787E-2</v>
      </c>
      <c r="D53" t="s">
        <v>105</v>
      </c>
      <c r="E53" t="s">
        <v>108</v>
      </c>
    </row>
    <row r="54" spans="1:5" x14ac:dyDescent="0.25">
      <c r="A54">
        <v>0.5</v>
      </c>
      <c r="B54">
        <f>0.004*A54^2.833</f>
        <v>5.6136071103680409E-4</v>
      </c>
      <c r="C54">
        <f t="shared" si="1"/>
        <v>4.0923195834583018E-4</v>
      </c>
      <c r="D54" t="s">
        <v>106</v>
      </c>
      <c r="E54" t="s">
        <v>108</v>
      </c>
    </row>
    <row r="55" spans="1:5" x14ac:dyDescent="0.25">
      <c r="A55">
        <v>0.6</v>
      </c>
      <c r="B55">
        <f t="shared" ref="B55:B79" si="3">0.004*A55^2.833</f>
        <v>9.4094119723008723E-4</v>
      </c>
      <c r="C55">
        <f t="shared" si="1"/>
        <v>6.8594613278073356E-4</v>
      </c>
      <c r="D55" t="s">
        <v>106</v>
      </c>
      <c r="E55" t="s">
        <v>108</v>
      </c>
    </row>
    <row r="56" spans="1:5" x14ac:dyDescent="0.25">
      <c r="A56">
        <v>0.7</v>
      </c>
      <c r="B56">
        <f t="shared" si="3"/>
        <v>1.4562057402978171E-3</v>
      </c>
      <c r="C56">
        <f t="shared" si="1"/>
        <v>1.0615739846771086E-3</v>
      </c>
      <c r="D56" t="s">
        <v>106</v>
      </c>
      <c r="E56" t="s">
        <v>108</v>
      </c>
    </row>
    <row r="57" spans="1:5" x14ac:dyDescent="0.25">
      <c r="A57">
        <v>0.8</v>
      </c>
      <c r="B57">
        <f t="shared" si="3"/>
        <v>2.1257585008125301E-3</v>
      </c>
      <c r="C57">
        <f t="shared" si="1"/>
        <v>1.5496779470923344E-3</v>
      </c>
      <c r="D57" t="s">
        <v>106</v>
      </c>
      <c r="E57" t="s">
        <v>108</v>
      </c>
    </row>
    <row r="58" spans="1:5" x14ac:dyDescent="0.25">
      <c r="A58">
        <v>0.9</v>
      </c>
      <c r="B58">
        <f t="shared" si="3"/>
        <v>2.9677616641997197E-3</v>
      </c>
      <c r="C58">
        <f t="shared" si="1"/>
        <v>2.1634982532015958E-3</v>
      </c>
      <c r="D58" t="s">
        <v>106</v>
      </c>
      <c r="E58" t="s">
        <v>108</v>
      </c>
    </row>
    <row r="59" spans="1:5" x14ac:dyDescent="0.25">
      <c r="A59">
        <v>1</v>
      </c>
      <c r="B59">
        <f t="shared" si="3"/>
        <v>4.0000000000000001E-3</v>
      </c>
      <c r="C59">
        <f t="shared" si="1"/>
        <v>2.9160000000000002E-3</v>
      </c>
      <c r="D59" t="s">
        <v>106</v>
      </c>
      <c r="E59" t="s">
        <v>108</v>
      </c>
    </row>
    <row r="60" spans="1:5" x14ac:dyDescent="0.25">
      <c r="A60">
        <v>1.1000000000000001</v>
      </c>
      <c r="B60">
        <f t="shared" si="3"/>
        <v>5.2399297958546764E-3</v>
      </c>
      <c r="C60">
        <f t="shared" si="1"/>
        <v>3.819908821178059E-3</v>
      </c>
      <c r="D60" t="s">
        <v>106</v>
      </c>
      <c r="E60" t="s">
        <v>108</v>
      </c>
    </row>
    <row r="61" spans="1:5" x14ac:dyDescent="0.25">
      <c r="A61">
        <v>1.2</v>
      </c>
      <c r="B61">
        <f t="shared" si="3"/>
        <v>6.7047171540895161E-3</v>
      </c>
      <c r="C61">
        <f t="shared" si="1"/>
        <v>4.8877388053312574E-3</v>
      </c>
      <c r="D61" t="s">
        <v>106</v>
      </c>
      <c r="E61" t="s">
        <v>108</v>
      </c>
    </row>
    <row r="62" spans="1:5" x14ac:dyDescent="0.25">
      <c r="A62">
        <v>1.3</v>
      </c>
      <c r="B62">
        <f t="shared" si="3"/>
        <v>8.4112687304943364E-3</v>
      </c>
      <c r="C62">
        <f t="shared" si="1"/>
        <v>6.1318149045303709E-3</v>
      </c>
      <c r="D62" t="s">
        <v>106</v>
      </c>
      <c r="E62" t="s">
        <v>108</v>
      </c>
    </row>
    <row r="63" spans="1:5" x14ac:dyDescent="0.25">
      <c r="A63">
        <v>1.4</v>
      </c>
      <c r="B63">
        <f t="shared" si="3"/>
        <v>1.0376256917647696E-2</v>
      </c>
      <c r="C63">
        <f t="shared" si="1"/>
        <v>7.5642912929651702E-3</v>
      </c>
      <c r="D63" t="s">
        <v>106</v>
      </c>
      <c r="E63" t="s">
        <v>108</v>
      </c>
    </row>
    <row r="64" spans="1:5" x14ac:dyDescent="0.25">
      <c r="A64">
        <v>1.5</v>
      </c>
      <c r="B64">
        <f t="shared" si="3"/>
        <v>1.2616140829782442E-2</v>
      </c>
      <c r="C64">
        <f t="shared" si="1"/>
        <v>9.1971666649113999E-3</v>
      </c>
      <c r="D64" t="s">
        <v>106</v>
      </c>
      <c r="E64" t="s">
        <v>108</v>
      </c>
    </row>
    <row r="65" spans="1:5" x14ac:dyDescent="0.25">
      <c r="A65">
        <v>1.6</v>
      </c>
      <c r="B65">
        <f t="shared" si="3"/>
        <v>1.5147184040624177E-2</v>
      </c>
      <c r="C65">
        <f t="shared" si="1"/>
        <v>1.1042297165615025E-2</v>
      </c>
      <c r="D65" t="s">
        <v>106</v>
      </c>
      <c r="E65" t="s">
        <v>108</v>
      </c>
    </row>
    <row r="66" spans="1:5" x14ac:dyDescent="0.25">
      <c r="A66">
        <v>1.7</v>
      </c>
      <c r="B66">
        <f t="shared" si="3"/>
        <v>1.7985469760512171E-2</v>
      </c>
      <c r="C66">
        <f t="shared" si="1"/>
        <v>1.3111407455413372E-2</v>
      </c>
      <c r="D66" t="s">
        <v>106</v>
      </c>
      <c r="E66" t="s">
        <v>108</v>
      </c>
    </row>
    <row r="67" spans="1:5" x14ac:dyDescent="0.25">
      <c r="A67">
        <v>1.8</v>
      </c>
      <c r="B67">
        <f t="shared" si="3"/>
        <v>2.1146913959962873E-2</v>
      </c>
      <c r="C67">
        <f t="shared" ref="C67:C105" si="4">B67*0.729</f>
        <v>1.5416100276812934E-2</v>
      </c>
      <c r="D67" t="s">
        <v>106</v>
      </c>
      <c r="E67" t="s">
        <v>108</v>
      </c>
    </row>
    <row r="68" spans="1:5" x14ac:dyDescent="0.25">
      <c r="A68">
        <v>1.9</v>
      </c>
      <c r="B68">
        <f t="shared" si="3"/>
        <v>2.4647276822315385E-2</v>
      </c>
      <c r="C68">
        <f t="shared" si="4"/>
        <v>1.7967864803467914E-2</v>
      </c>
      <c r="D68" t="s">
        <v>106</v>
      </c>
      <c r="E68" t="s">
        <v>108</v>
      </c>
    </row>
    <row r="69" spans="1:5" x14ac:dyDescent="0.25">
      <c r="A69">
        <v>2</v>
      </c>
      <c r="B69">
        <f t="shared" si="3"/>
        <v>2.8502172819413793E-2</v>
      </c>
      <c r="C69">
        <f t="shared" si="4"/>
        <v>2.0778083985352653E-2</v>
      </c>
      <c r="D69" t="s">
        <v>106</v>
      </c>
      <c r="E69" t="s">
        <v>108</v>
      </c>
    </row>
    <row r="70" spans="1:5" x14ac:dyDescent="0.25">
      <c r="A70">
        <v>2.1</v>
      </c>
      <c r="B70">
        <f t="shared" si="3"/>
        <v>3.2727079639761902E-2</v>
      </c>
      <c r="C70">
        <f t="shared" si="4"/>
        <v>2.3858041057386425E-2</v>
      </c>
      <c r="D70" t="s">
        <v>106</v>
      </c>
      <c r="E70" t="s">
        <v>108</v>
      </c>
    </row>
    <row r="71" spans="1:5" x14ac:dyDescent="0.25">
      <c r="A71">
        <v>2.2000000000000002</v>
      </c>
      <c r="B71">
        <f t="shared" si="3"/>
        <v>3.7337346150761418E-2</v>
      </c>
      <c r="C71">
        <f t="shared" si="4"/>
        <v>2.7218925343905073E-2</v>
      </c>
      <c r="D71" t="s">
        <v>106</v>
      </c>
      <c r="E71" t="s">
        <v>108</v>
      </c>
    </row>
    <row r="72" spans="1:5" x14ac:dyDescent="0.25">
      <c r="A72">
        <v>2.2999999999999998</v>
      </c>
      <c r="B72">
        <f t="shared" si="3"/>
        <v>4.2348199540600227E-2</v>
      </c>
      <c r="C72">
        <f t="shared" si="4"/>
        <v>3.0871837465097564E-2</v>
      </c>
      <c r="D72" t="s">
        <v>106</v>
      </c>
      <c r="E72" t="s">
        <v>108</v>
      </c>
    </row>
    <row r="73" spans="1:5" x14ac:dyDescent="0.25">
      <c r="A73">
        <v>2.4</v>
      </c>
      <c r="B73">
        <f t="shared" si="3"/>
        <v>4.77747517577869E-2</v>
      </c>
      <c r="C73">
        <f t="shared" si="4"/>
        <v>3.4827794031426648E-2</v>
      </c>
      <c r="D73" t="s">
        <v>106</v>
      </c>
      <c r="E73" t="s">
        <v>108</v>
      </c>
    </row>
    <row r="74" spans="1:5" x14ac:dyDescent="0.25">
      <c r="A74">
        <v>2.5</v>
      </c>
      <c r="B74">
        <f t="shared" si="3"/>
        <v>5.3632005344952202E-2</v>
      </c>
      <c r="C74">
        <f t="shared" si="4"/>
        <v>3.9097731896470152E-2</v>
      </c>
      <c r="D74" t="s">
        <v>106</v>
      </c>
      <c r="E74" t="s">
        <v>108</v>
      </c>
    </row>
    <row r="75" spans="1:5" x14ac:dyDescent="0.25">
      <c r="A75">
        <v>2.6</v>
      </c>
      <c r="B75">
        <f t="shared" si="3"/>
        <v>5.9934858746770202E-2</v>
      </c>
      <c r="C75">
        <f t="shared" si="4"/>
        <v>4.3692512026395479E-2</v>
      </c>
      <c r="D75" t="s">
        <v>106</v>
      </c>
      <c r="E75" t="s">
        <v>108</v>
      </c>
    </row>
    <row r="76" spans="1:5" x14ac:dyDescent="0.25">
      <c r="A76">
        <v>2.7</v>
      </c>
      <c r="B76">
        <f t="shared" si="3"/>
        <v>6.6698111158545972E-2</v>
      </c>
      <c r="C76">
        <f t="shared" si="4"/>
        <v>4.8622923034580011E-2</v>
      </c>
      <c r="D76" t="s">
        <v>106</v>
      </c>
      <c r="E76" t="s">
        <v>108</v>
      </c>
    </row>
    <row r="77" spans="1:5" x14ac:dyDescent="0.25">
      <c r="A77">
        <v>2.8</v>
      </c>
      <c r="B77">
        <f t="shared" si="3"/>
        <v>7.3936466971358111E-2</v>
      </c>
      <c r="C77">
        <f t="shared" si="4"/>
        <v>5.3899684422120064E-2</v>
      </c>
      <c r="D77" t="s">
        <v>106</v>
      </c>
      <c r="E77" t="s">
        <v>108</v>
      </c>
    </row>
    <row r="78" spans="1:5" x14ac:dyDescent="0.25">
      <c r="A78">
        <v>2.9</v>
      </c>
      <c r="B78">
        <f t="shared" si="3"/>
        <v>8.1664539861024704E-2</v>
      </c>
      <c r="C78">
        <f t="shared" si="4"/>
        <v>5.9533449558687009E-2</v>
      </c>
      <c r="D78" t="s">
        <v>106</v>
      </c>
      <c r="E78" t="s">
        <v>108</v>
      </c>
    </row>
    <row r="79" spans="1:5" x14ac:dyDescent="0.25">
      <c r="A79">
        <v>3</v>
      </c>
      <c r="B79">
        <f t="shared" si="3"/>
        <v>8.9896856561130445E-2</v>
      </c>
      <c r="C79">
        <f t="shared" si="4"/>
        <v>6.5534808433064098E-2</v>
      </c>
      <c r="D79" t="s">
        <v>106</v>
      </c>
      <c r="E79" t="s">
        <v>108</v>
      </c>
    </row>
    <row r="80" spans="1:5" x14ac:dyDescent="0.25">
      <c r="A80">
        <v>0.5</v>
      </c>
      <c r="B80">
        <f>0.021*A80^1.822</f>
        <v>5.9394009299409776E-3</v>
      </c>
      <c r="C80">
        <f t="shared" si="4"/>
        <v>4.3298232779269722E-3</v>
      </c>
      <c r="D80" t="s">
        <v>107</v>
      </c>
      <c r="E80" t="s">
        <v>108</v>
      </c>
    </row>
    <row r="81" spans="1:5" x14ac:dyDescent="0.25">
      <c r="A81">
        <v>0.6</v>
      </c>
      <c r="B81">
        <f t="shared" ref="B81:B105" si="5">0.021*A81^1.822</f>
        <v>8.2796289221032451E-3</v>
      </c>
      <c r="C81">
        <f t="shared" si="4"/>
        <v>6.0358494842132652E-3</v>
      </c>
      <c r="D81" t="s">
        <v>107</v>
      </c>
      <c r="E81" t="s">
        <v>108</v>
      </c>
    </row>
    <row r="82" spans="1:5" x14ac:dyDescent="0.25">
      <c r="A82">
        <v>0.7</v>
      </c>
      <c r="B82">
        <f t="shared" si="5"/>
        <v>1.0964477069659206E-2</v>
      </c>
      <c r="C82">
        <f t="shared" si="4"/>
        <v>7.9931037837815602E-3</v>
      </c>
      <c r="D82" t="s">
        <v>107</v>
      </c>
      <c r="E82" t="s">
        <v>108</v>
      </c>
    </row>
    <row r="83" spans="1:5" x14ac:dyDescent="0.25">
      <c r="A83">
        <v>0.8</v>
      </c>
      <c r="B83">
        <f t="shared" si="5"/>
        <v>1.3984574311120409E-2</v>
      </c>
      <c r="C83">
        <f t="shared" si="4"/>
        <v>1.0194754672806778E-2</v>
      </c>
      <c r="D83" t="s">
        <v>107</v>
      </c>
      <c r="E83" t="s">
        <v>108</v>
      </c>
    </row>
    <row r="84" spans="1:5" x14ac:dyDescent="0.25">
      <c r="A84">
        <v>0.9</v>
      </c>
      <c r="B84">
        <f t="shared" si="5"/>
        <v>1.7332018620075721E-2</v>
      </c>
      <c r="C84">
        <f t="shared" si="4"/>
        <v>1.2635041574035201E-2</v>
      </c>
      <c r="D84" t="s">
        <v>107</v>
      </c>
      <c r="E84" t="s">
        <v>108</v>
      </c>
    </row>
    <row r="85" spans="1:5" x14ac:dyDescent="0.25">
      <c r="A85">
        <v>1</v>
      </c>
      <c r="B85">
        <f t="shared" si="5"/>
        <v>2.1000000000000001E-2</v>
      </c>
      <c r="C85">
        <f t="shared" si="4"/>
        <v>1.5309E-2</v>
      </c>
      <c r="D85" t="s">
        <v>107</v>
      </c>
      <c r="E85" t="s">
        <v>108</v>
      </c>
    </row>
    <row r="86" spans="1:5" x14ac:dyDescent="0.25">
      <c r="A86">
        <v>1.1000000000000001</v>
      </c>
      <c r="B86">
        <f t="shared" si="5"/>
        <v>2.4982550104280108E-2</v>
      </c>
      <c r="C86">
        <f t="shared" si="4"/>
        <v>1.8212279026020198E-2</v>
      </c>
      <c r="D86" t="s">
        <v>107</v>
      </c>
      <c r="E86" t="s">
        <v>108</v>
      </c>
    </row>
    <row r="87" spans="1:5" x14ac:dyDescent="0.25">
      <c r="A87">
        <v>1.2</v>
      </c>
      <c r="B87">
        <f t="shared" si="5"/>
        <v>2.9274367804952343E-2</v>
      </c>
      <c r="C87">
        <f t="shared" si="4"/>
        <v>2.1341014129810258E-2</v>
      </c>
      <c r="D87" t="s">
        <v>107</v>
      </c>
      <c r="E87" t="s">
        <v>108</v>
      </c>
    </row>
    <row r="88" spans="1:5" x14ac:dyDescent="0.25">
      <c r="A88">
        <v>1.3</v>
      </c>
      <c r="B88">
        <f t="shared" si="5"/>
        <v>3.387069301281119E-2</v>
      </c>
      <c r="C88">
        <f t="shared" si="4"/>
        <v>2.4691735206339358E-2</v>
      </c>
      <c r="D88" t="s">
        <v>107</v>
      </c>
      <c r="E88" t="s">
        <v>108</v>
      </c>
    </row>
    <row r="89" spans="1:5" x14ac:dyDescent="0.25">
      <c r="A89">
        <v>1.4</v>
      </c>
      <c r="B89">
        <f t="shared" si="5"/>
        <v>3.8767212582352391E-2</v>
      </c>
      <c r="C89">
        <f t="shared" si="4"/>
        <v>2.8261297972534891E-2</v>
      </c>
      <c r="D89" t="s">
        <v>107</v>
      </c>
      <c r="E89" t="s">
        <v>108</v>
      </c>
    </row>
    <row r="90" spans="1:5" x14ac:dyDescent="0.25">
      <c r="A90">
        <v>1.5</v>
      </c>
      <c r="B90">
        <f t="shared" si="5"/>
        <v>4.3959988357682535E-2</v>
      </c>
      <c r="C90">
        <f t="shared" si="4"/>
        <v>3.2046831512750569E-2</v>
      </c>
      <c r="D90" t="s">
        <v>107</v>
      </c>
      <c r="E90" t="s">
        <v>108</v>
      </c>
    </row>
    <row r="91" spans="1:5" x14ac:dyDescent="0.25">
      <c r="A91">
        <v>1.6</v>
      </c>
      <c r="B91">
        <f t="shared" si="5"/>
        <v>4.9445400975220426E-2</v>
      </c>
      <c r="C91">
        <f t="shared" si="4"/>
        <v>3.6045697310935688E-2</v>
      </c>
      <c r="D91" t="s">
        <v>107</v>
      </c>
      <c r="E91" t="s">
        <v>108</v>
      </c>
    </row>
    <row r="92" spans="1:5" x14ac:dyDescent="0.25">
      <c r="A92">
        <v>1.7</v>
      </c>
      <c r="B92">
        <f t="shared" si="5"/>
        <v>5.5220105175242534E-2</v>
      </c>
      <c r="C92">
        <f t="shared" si="4"/>
        <v>4.0255456672751808E-2</v>
      </c>
      <c r="D92" t="s">
        <v>107</v>
      </c>
      <c r="E92" t="s">
        <v>108</v>
      </c>
    </row>
    <row r="93" spans="1:5" x14ac:dyDescent="0.25">
      <c r="A93">
        <v>1.8</v>
      </c>
      <c r="B93">
        <f t="shared" si="5"/>
        <v>6.1280993708772456E-2</v>
      </c>
      <c r="C93">
        <f t="shared" si="4"/>
        <v>4.4673844413695117E-2</v>
      </c>
      <c r="D93" t="s">
        <v>107</v>
      </c>
      <c r="E93" t="s">
        <v>108</v>
      </c>
    </row>
    <row r="94" spans="1:5" x14ac:dyDescent="0.25">
      <c r="A94">
        <v>1.9</v>
      </c>
      <c r="B94">
        <f t="shared" si="5"/>
        <v>6.7625167788847973E-2</v>
      </c>
      <c r="C94">
        <f t="shared" si="4"/>
        <v>4.9298747318070171E-2</v>
      </c>
      <c r="D94" t="s">
        <v>107</v>
      </c>
      <c r="E94" t="s">
        <v>108</v>
      </c>
    </row>
    <row r="95" spans="1:5" x14ac:dyDescent="0.25">
      <c r="A95">
        <v>2</v>
      </c>
      <c r="B95">
        <f t="shared" si="5"/>
        <v>7.4249912609348379E-2</v>
      </c>
      <c r="C95">
        <f t="shared" si="4"/>
        <v>5.4128186292214969E-2</v>
      </c>
      <c r="D95" t="s">
        <v>107</v>
      </c>
      <c r="E95" t="s">
        <v>108</v>
      </c>
    </row>
    <row r="96" spans="1:5" x14ac:dyDescent="0.25">
      <c r="A96">
        <v>2.1</v>
      </c>
      <c r="B96">
        <f t="shared" si="5"/>
        <v>8.1152676846667382E-2</v>
      </c>
      <c r="C96">
        <f t="shared" si="4"/>
        <v>5.9160301421220522E-2</v>
      </c>
      <c r="D96" t="s">
        <v>107</v>
      </c>
      <c r="E96" t="s">
        <v>108</v>
      </c>
    </row>
    <row r="97" spans="1:5" x14ac:dyDescent="0.25">
      <c r="A97">
        <v>2.2000000000000002</v>
      </c>
      <c r="B97">
        <f t="shared" si="5"/>
        <v>8.8331055333403116E-2</v>
      </c>
      <c r="C97">
        <f t="shared" si="4"/>
        <v>6.4393339338050873E-2</v>
      </c>
      <c r="D97" t="s">
        <v>107</v>
      </c>
      <c r="E97" t="s">
        <v>108</v>
      </c>
    </row>
    <row r="98" spans="1:5" x14ac:dyDescent="0.25">
      <c r="A98">
        <v>2.2999999999999998</v>
      </c>
      <c r="B98">
        <f t="shared" si="5"/>
        <v>9.5782774288407924E-2</v>
      </c>
      <c r="C98">
        <f t="shared" si="4"/>
        <v>6.9825642456249379E-2</v>
      </c>
      <c r="D98" t="s">
        <v>107</v>
      </c>
      <c r="E98" t="s">
        <v>108</v>
      </c>
    </row>
    <row r="99" spans="1:5" x14ac:dyDescent="0.25">
      <c r="A99">
        <v>2.4</v>
      </c>
      <c r="B99">
        <f t="shared" si="5"/>
        <v>0.10350567862912539</v>
      </c>
      <c r="C99">
        <f t="shared" si="4"/>
        <v>7.5455639720632406E-2</v>
      </c>
      <c r="D99" t="s">
        <v>107</v>
      </c>
      <c r="E99" t="s">
        <v>108</v>
      </c>
    </row>
    <row r="100" spans="1:5" x14ac:dyDescent="0.25">
      <c r="A100">
        <v>2.5</v>
      </c>
      <c r="B100">
        <f t="shared" si="5"/>
        <v>0.11149772099651373</v>
      </c>
      <c r="C100">
        <f t="shared" si="4"/>
        <v>8.1281838606458504E-2</v>
      </c>
      <c r="D100" t="s">
        <v>107</v>
      </c>
      <c r="E100" t="s">
        <v>108</v>
      </c>
    </row>
    <row r="101" spans="1:5" x14ac:dyDescent="0.25">
      <c r="A101">
        <v>2.6</v>
      </c>
      <c r="B101">
        <f t="shared" si="5"/>
        <v>0.11975695220091893</v>
      </c>
      <c r="C101">
        <f t="shared" si="4"/>
        <v>8.7302818154469899E-2</v>
      </c>
      <c r="D101" t="s">
        <v>107</v>
      </c>
      <c r="E101" t="s">
        <v>108</v>
      </c>
    </row>
    <row r="102" spans="1:5" x14ac:dyDescent="0.25">
      <c r="A102">
        <v>2.7</v>
      </c>
      <c r="B102">
        <f t="shared" si="5"/>
        <v>0.12828151285642156</v>
      </c>
      <c r="C102">
        <f t="shared" si="4"/>
        <v>9.3517222872331315E-2</v>
      </c>
      <c r="D102" t="s">
        <v>107</v>
      </c>
      <c r="E102" t="s">
        <v>108</v>
      </c>
    </row>
    <row r="103" spans="1:5" x14ac:dyDescent="0.25">
      <c r="A103">
        <v>2.8</v>
      </c>
      <c r="B103">
        <f t="shared" si="5"/>
        <v>0.13706962601655695</v>
      </c>
      <c r="C103">
        <f t="shared" si="4"/>
        <v>9.992375736607001E-2</v>
      </c>
      <c r="D103" t="s">
        <v>107</v>
      </c>
      <c r="E103" t="s">
        <v>108</v>
      </c>
    </row>
    <row r="104" spans="1:5" x14ac:dyDescent="0.25">
      <c r="A104">
        <v>2.9</v>
      </c>
      <c r="B104">
        <f t="shared" si="5"/>
        <v>0.14611959065950059</v>
      </c>
      <c r="C104">
        <f t="shared" si="4"/>
        <v>0.10652118159077592</v>
      </c>
      <c r="D104" t="s">
        <v>107</v>
      </c>
      <c r="E104" t="s">
        <v>108</v>
      </c>
    </row>
    <row r="105" spans="1:5" x14ac:dyDescent="0.25">
      <c r="A105">
        <v>3</v>
      </c>
      <c r="B105">
        <f t="shared" si="5"/>
        <v>0.1554297758983762</v>
      </c>
      <c r="C105">
        <f t="shared" si="4"/>
        <v>0.11330830662991624</v>
      </c>
      <c r="D105" t="s">
        <v>107</v>
      </c>
      <c r="E105" t="s">
        <v>108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"/>
  <sheetViews>
    <sheetView workbookViewId="0">
      <selection activeCell="I20" sqref="I20"/>
    </sheetView>
  </sheetViews>
  <sheetFormatPr defaultRowHeight="15" x14ac:dyDescent="0.25"/>
  <cols>
    <col min="2" max="2" width="13.28515625" bestFit="1" customWidth="1"/>
    <col min="3" max="3" width="9.42578125" bestFit="1" customWidth="1"/>
    <col min="4" max="4" width="11.7109375" bestFit="1" customWidth="1"/>
    <col min="5" max="5" width="20" bestFit="1" customWidth="1"/>
    <col min="6" max="6" width="20.5703125" bestFit="1" customWidth="1"/>
  </cols>
  <sheetData>
    <row r="1" spans="1:6" x14ac:dyDescent="0.25">
      <c r="A1" t="s">
        <v>94</v>
      </c>
      <c r="B1" t="s">
        <v>95</v>
      </c>
      <c r="C1" t="s">
        <v>69</v>
      </c>
      <c r="D1" t="s">
        <v>16</v>
      </c>
      <c r="E1" t="s">
        <v>18</v>
      </c>
      <c r="F1" t="s">
        <v>68</v>
      </c>
    </row>
    <row r="2" spans="1:6" x14ac:dyDescent="0.25">
      <c r="A2">
        <v>0.23</v>
      </c>
      <c r="B2">
        <v>1.2</v>
      </c>
      <c r="C2">
        <f t="shared" ref="C2:C9" si="0">B2/1000</f>
        <v>1.1999999999999999E-3</v>
      </c>
      <c r="D2">
        <f t="shared" ref="D2:D9" si="1">C2*0.75</f>
        <v>8.9999999999999998E-4</v>
      </c>
      <c r="E2" t="s">
        <v>100</v>
      </c>
      <c r="F2" t="s">
        <v>11</v>
      </c>
    </row>
    <row r="3" spans="1:6" x14ac:dyDescent="0.25">
      <c r="A3">
        <v>0.4</v>
      </c>
      <c r="B3">
        <v>4.4400000000000004</v>
      </c>
      <c r="C3">
        <f t="shared" si="0"/>
        <v>4.4400000000000004E-3</v>
      </c>
      <c r="D3">
        <f t="shared" si="1"/>
        <v>3.3300000000000005E-3</v>
      </c>
      <c r="E3" t="s">
        <v>100</v>
      </c>
      <c r="F3" t="s">
        <v>11</v>
      </c>
    </row>
    <row r="4" spans="1:6" x14ac:dyDescent="0.25">
      <c r="A4">
        <v>0.64</v>
      </c>
      <c r="B4">
        <v>10.6</v>
      </c>
      <c r="C4">
        <f t="shared" si="0"/>
        <v>1.06E-2</v>
      </c>
      <c r="D4">
        <f t="shared" si="1"/>
        <v>7.9500000000000005E-3</v>
      </c>
      <c r="E4" t="s">
        <v>100</v>
      </c>
      <c r="F4" t="s">
        <v>11</v>
      </c>
    </row>
    <row r="5" spans="1:6" x14ac:dyDescent="0.25">
      <c r="A5">
        <v>0.23</v>
      </c>
      <c r="B5">
        <v>0.88</v>
      </c>
      <c r="C5">
        <f t="shared" si="0"/>
        <v>8.8000000000000003E-4</v>
      </c>
      <c r="D5">
        <f t="shared" si="1"/>
        <v>6.6E-4</v>
      </c>
      <c r="E5" t="s">
        <v>101</v>
      </c>
      <c r="F5" t="s">
        <v>11</v>
      </c>
    </row>
    <row r="6" spans="1:6" x14ac:dyDescent="0.25">
      <c r="A6">
        <v>0.24</v>
      </c>
      <c r="B6">
        <v>1.53</v>
      </c>
      <c r="C6">
        <f t="shared" si="0"/>
        <v>1.5300000000000001E-3</v>
      </c>
      <c r="D6">
        <f t="shared" si="1"/>
        <v>1.1475000000000001E-3</v>
      </c>
      <c r="E6" t="s">
        <v>101</v>
      </c>
      <c r="F6" t="s">
        <v>11</v>
      </c>
    </row>
    <row r="7" spans="1:6" x14ac:dyDescent="0.25">
      <c r="A7">
        <v>0.43</v>
      </c>
      <c r="B7">
        <v>6.57</v>
      </c>
      <c r="C7">
        <f t="shared" si="0"/>
        <v>6.5700000000000003E-3</v>
      </c>
      <c r="D7">
        <f t="shared" si="1"/>
        <v>4.9275000000000005E-3</v>
      </c>
      <c r="E7" t="s">
        <v>101</v>
      </c>
      <c r="F7" t="s">
        <v>11</v>
      </c>
    </row>
    <row r="8" spans="1:6" x14ac:dyDescent="0.25">
      <c r="A8">
        <v>0.99</v>
      </c>
      <c r="B8">
        <v>19.809999999999999</v>
      </c>
      <c r="C8">
        <f t="shared" si="0"/>
        <v>1.9809999999999998E-2</v>
      </c>
      <c r="D8">
        <f t="shared" si="1"/>
        <v>1.4857499999999999E-2</v>
      </c>
      <c r="E8" t="s">
        <v>96</v>
      </c>
      <c r="F8" t="s">
        <v>97</v>
      </c>
    </row>
    <row r="9" spans="1:6" x14ac:dyDescent="0.25">
      <c r="A9">
        <v>1.0669999999999999</v>
      </c>
      <c r="B9">
        <v>19.88</v>
      </c>
      <c r="C9">
        <f t="shared" si="0"/>
        <v>1.9879999999999998E-2</v>
      </c>
      <c r="D9">
        <f t="shared" si="1"/>
        <v>1.491E-2</v>
      </c>
      <c r="E9" t="s">
        <v>96</v>
      </c>
      <c r="F9" t="s">
        <v>97</v>
      </c>
    </row>
  </sheetData>
  <sortState ref="A2:G9">
    <sortCondition ref="E2:E9"/>
  </sortState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A1DED-0975-4639-B2A1-52C863D6782C}">
  <dimension ref="A1:D79"/>
  <sheetViews>
    <sheetView workbookViewId="0">
      <selection activeCell="C54" activeCellId="2" sqref="C2 C28 C54"/>
    </sheetView>
  </sheetViews>
  <sheetFormatPr defaultRowHeight="15" x14ac:dyDescent="0.25"/>
  <cols>
    <col min="2" max="2" width="12" bestFit="1" customWidth="1"/>
    <col min="3" max="3" width="23.85546875" bestFit="1" customWidth="1"/>
  </cols>
  <sheetData>
    <row r="1" spans="1:4" x14ac:dyDescent="0.25">
      <c r="A1" t="s">
        <v>17</v>
      </c>
      <c r="B1" t="s">
        <v>88</v>
      </c>
      <c r="C1" t="s">
        <v>18</v>
      </c>
      <c r="D1" t="s">
        <v>68</v>
      </c>
    </row>
    <row r="2" spans="1:4" x14ac:dyDescent="0.25">
      <c r="A2">
        <v>0.5</v>
      </c>
      <c r="B2">
        <f>0.0023*A2^2.2</f>
        <v>5.005665738952714E-4</v>
      </c>
      <c r="C2" t="s">
        <v>90</v>
      </c>
      <c r="D2" t="s">
        <v>2</v>
      </c>
    </row>
    <row r="3" spans="1:4" x14ac:dyDescent="0.25">
      <c r="A3">
        <v>0.6</v>
      </c>
      <c r="B3">
        <f t="shared" ref="B3:B27" si="0">0.0023*A3^2.2</f>
        <v>7.4758501379847543E-4</v>
      </c>
      <c r="C3" t="s">
        <v>90</v>
      </c>
      <c r="D3" t="s">
        <v>2</v>
      </c>
    </row>
    <row r="4" spans="1:4" x14ac:dyDescent="0.25">
      <c r="A4">
        <v>0.7</v>
      </c>
      <c r="B4">
        <f t="shared" si="0"/>
        <v>1.0494059543118819E-3</v>
      </c>
      <c r="C4" t="s">
        <v>90</v>
      </c>
      <c r="D4" t="s">
        <v>2</v>
      </c>
    </row>
    <row r="5" spans="1:4" x14ac:dyDescent="0.25">
      <c r="A5">
        <v>0.8</v>
      </c>
      <c r="B5">
        <f t="shared" si="0"/>
        <v>1.4077508796909344E-3</v>
      </c>
      <c r="C5" t="s">
        <v>90</v>
      </c>
      <c r="D5" t="s">
        <v>2</v>
      </c>
    </row>
    <row r="6" spans="1:4" x14ac:dyDescent="0.25">
      <c r="A6">
        <v>0.9</v>
      </c>
      <c r="B6">
        <f t="shared" si="0"/>
        <v>1.8241533990784999E-3</v>
      </c>
      <c r="C6" t="s">
        <v>90</v>
      </c>
      <c r="D6" t="s">
        <v>2</v>
      </c>
    </row>
    <row r="7" spans="1:4" x14ac:dyDescent="0.25">
      <c r="A7">
        <v>1</v>
      </c>
      <c r="B7">
        <f t="shared" si="0"/>
        <v>2.3E-3</v>
      </c>
      <c r="C7" t="s">
        <v>90</v>
      </c>
      <c r="D7" t="s">
        <v>2</v>
      </c>
    </row>
    <row r="8" spans="1:4" x14ac:dyDescent="0.25">
      <c r="A8">
        <v>1.1000000000000001</v>
      </c>
      <c r="B8">
        <f t="shared" si="0"/>
        <v>2.8365584912757244E-3</v>
      </c>
      <c r="C8" t="s">
        <v>90</v>
      </c>
      <c r="D8" t="s">
        <v>2</v>
      </c>
    </row>
    <row r="9" spans="1:4" x14ac:dyDescent="0.25">
      <c r="A9">
        <v>1.2</v>
      </c>
      <c r="B9">
        <f t="shared" si="0"/>
        <v>3.4349987022829782E-3</v>
      </c>
      <c r="C9" t="s">
        <v>90</v>
      </c>
      <c r="D9" t="s">
        <v>2</v>
      </c>
    </row>
    <row r="10" spans="1:4" x14ac:dyDescent="0.25">
      <c r="A10">
        <v>1.3</v>
      </c>
      <c r="B10">
        <f t="shared" si="0"/>
        <v>4.0964080516641523E-3</v>
      </c>
      <c r="C10" t="s">
        <v>90</v>
      </c>
      <c r="D10" t="s">
        <v>2</v>
      </c>
    </row>
    <row r="11" spans="1:4" x14ac:dyDescent="0.25">
      <c r="A11">
        <v>1.4</v>
      </c>
      <c r="B11">
        <f t="shared" si="0"/>
        <v>4.8218035737686094E-3</v>
      </c>
      <c r="C11" t="s">
        <v>90</v>
      </c>
      <c r="D11" t="s">
        <v>2</v>
      </c>
    </row>
    <row r="12" spans="1:4" x14ac:dyDescent="0.25">
      <c r="A12">
        <v>1.5</v>
      </c>
      <c r="B12">
        <f t="shared" si="0"/>
        <v>5.6121414159480904E-3</v>
      </c>
      <c r="C12" t="s">
        <v>90</v>
      </c>
      <c r="D12" t="s">
        <v>2</v>
      </c>
    </row>
    <row r="13" spans="1:4" x14ac:dyDescent="0.25">
      <c r="A13">
        <v>1.6</v>
      </c>
      <c r="B13">
        <f t="shared" si="0"/>
        <v>6.4683244789864227E-3</v>
      </c>
      <c r="C13" t="s">
        <v>90</v>
      </c>
      <c r="D13" t="s">
        <v>2</v>
      </c>
    </row>
    <row r="14" spans="1:4" x14ac:dyDescent="0.25">
      <c r="A14">
        <v>1.7</v>
      </c>
      <c r="B14">
        <f t="shared" si="0"/>
        <v>7.3912086617337336E-3</v>
      </c>
      <c r="C14" t="s">
        <v>90</v>
      </c>
      <c r="D14" t="s">
        <v>2</v>
      </c>
    </row>
    <row r="15" spans="1:4" x14ac:dyDescent="0.25">
      <c r="A15">
        <v>1.8</v>
      </c>
      <c r="B15">
        <f t="shared" si="0"/>
        <v>8.381608035134892E-3</v>
      </c>
      <c r="C15" t="s">
        <v>90</v>
      </c>
      <c r="D15" t="s">
        <v>2</v>
      </c>
    </row>
    <row r="16" spans="1:4" x14ac:dyDescent="0.25">
      <c r="A16">
        <v>1.9</v>
      </c>
      <c r="B16">
        <f t="shared" si="0"/>
        <v>9.4402991805905764E-3</v>
      </c>
      <c r="C16" t="s">
        <v>90</v>
      </c>
      <c r="D16" t="s">
        <v>2</v>
      </c>
    </row>
    <row r="17" spans="1:4" x14ac:dyDescent="0.25">
      <c r="A17">
        <v>2</v>
      </c>
      <c r="B17">
        <f t="shared" si="0"/>
        <v>1.0568024865972721E-2</v>
      </c>
      <c r="C17" t="s">
        <v>90</v>
      </c>
      <c r="D17" t="s">
        <v>2</v>
      </c>
    </row>
    <row r="18" spans="1:4" x14ac:dyDescent="0.25">
      <c r="A18">
        <v>2.1</v>
      </c>
      <c r="B18">
        <f t="shared" si="0"/>
        <v>1.1765497189527538E-2</v>
      </c>
      <c r="C18" t="s">
        <v>90</v>
      </c>
      <c r="D18" t="s">
        <v>2</v>
      </c>
    </row>
    <row r="19" spans="1:4" x14ac:dyDescent="0.25">
      <c r="A19">
        <v>2.2000000000000002</v>
      </c>
      <c r="B19">
        <f t="shared" si="0"/>
        <v>1.3033400291125187E-2</v>
      </c>
      <c r="C19" t="s">
        <v>90</v>
      </c>
      <c r="D19" t="s">
        <v>2</v>
      </c>
    </row>
    <row r="20" spans="1:4" x14ac:dyDescent="0.25">
      <c r="A20">
        <v>2.2999999999999998</v>
      </c>
      <c r="B20">
        <f t="shared" si="0"/>
        <v>1.4372392707920499E-2</v>
      </c>
      <c r="C20" t="s">
        <v>90</v>
      </c>
      <c r="D20" t="s">
        <v>2</v>
      </c>
    </row>
    <row r="21" spans="1:4" x14ac:dyDescent="0.25">
      <c r="A21">
        <v>2.4</v>
      </c>
      <c r="B21">
        <f t="shared" si="0"/>
        <v>1.578310943491763E-2</v>
      </c>
      <c r="C21" t="s">
        <v>90</v>
      </c>
      <c r="D21" t="s">
        <v>2</v>
      </c>
    </row>
    <row r="22" spans="1:4" x14ac:dyDescent="0.25">
      <c r="A22">
        <v>2.5</v>
      </c>
      <c r="B22">
        <f t="shared" si="0"/>
        <v>1.7266163738483081E-2</v>
      </c>
      <c r="C22" t="s">
        <v>90</v>
      </c>
      <c r="D22" t="s">
        <v>2</v>
      </c>
    </row>
    <row r="23" spans="1:4" x14ac:dyDescent="0.25">
      <c r="A23">
        <v>2.6</v>
      </c>
      <c r="B23">
        <f t="shared" si="0"/>
        <v>1.8822148761372892E-2</v>
      </c>
      <c r="C23" t="s">
        <v>90</v>
      </c>
      <c r="D23" t="s">
        <v>2</v>
      </c>
    </row>
    <row r="24" spans="1:4" x14ac:dyDescent="0.25">
      <c r="A24">
        <v>2.7</v>
      </c>
      <c r="B24">
        <f t="shared" si="0"/>
        <v>2.0451638950532099E-2</v>
      </c>
      <c r="C24" t="s">
        <v>90</v>
      </c>
      <c r="D24" t="s">
        <v>2</v>
      </c>
    </row>
    <row r="25" spans="1:4" x14ac:dyDescent="0.25">
      <c r="A25">
        <v>2.8</v>
      </c>
      <c r="B25">
        <f t="shared" si="0"/>
        <v>2.2155191333227311E-2</v>
      </c>
      <c r="C25" t="s">
        <v>90</v>
      </c>
      <c r="D25" t="s">
        <v>2</v>
      </c>
    </row>
    <row r="26" spans="1:4" x14ac:dyDescent="0.25">
      <c r="A26">
        <v>2.9</v>
      </c>
      <c r="B26">
        <f t="shared" si="0"/>
        <v>2.3933346662585279E-2</v>
      </c>
      <c r="C26" t="s">
        <v>90</v>
      </c>
      <c r="D26" t="s">
        <v>2</v>
      </c>
    </row>
    <row r="27" spans="1:4" x14ac:dyDescent="0.25">
      <c r="A27">
        <v>3</v>
      </c>
      <c r="B27">
        <f t="shared" si="0"/>
        <v>2.5786630450041214E-2</v>
      </c>
      <c r="C27" t="s">
        <v>90</v>
      </c>
      <c r="D27" t="s">
        <v>2</v>
      </c>
    </row>
    <row r="28" spans="1:4" x14ac:dyDescent="0.25">
      <c r="A28">
        <v>0.5</v>
      </c>
      <c r="B28">
        <f>0.0101*A28^1.61</f>
        <v>3.3087433447423673E-3</v>
      </c>
      <c r="C28" t="s">
        <v>91</v>
      </c>
      <c r="D28" t="s">
        <v>2</v>
      </c>
    </row>
    <row r="29" spans="1:4" x14ac:dyDescent="0.25">
      <c r="A29">
        <v>0.6</v>
      </c>
      <c r="B29">
        <f t="shared" ref="B29:B53" si="1">0.0101*A29^1.61</f>
        <v>4.4375666285972589E-3</v>
      </c>
      <c r="C29" t="s">
        <v>91</v>
      </c>
      <c r="D29" t="s">
        <v>2</v>
      </c>
    </row>
    <row r="30" spans="1:4" x14ac:dyDescent="0.25">
      <c r="A30">
        <v>0.7</v>
      </c>
      <c r="B30">
        <f t="shared" si="1"/>
        <v>5.6876022611955356E-3</v>
      </c>
      <c r="C30" t="s">
        <v>91</v>
      </c>
      <c r="D30" t="s">
        <v>2</v>
      </c>
    </row>
    <row r="31" spans="1:4" x14ac:dyDescent="0.25">
      <c r="A31">
        <v>0.8</v>
      </c>
      <c r="B31">
        <f t="shared" si="1"/>
        <v>7.0517393748543242E-3</v>
      </c>
      <c r="C31" t="s">
        <v>91</v>
      </c>
      <c r="D31" t="s">
        <v>2</v>
      </c>
    </row>
    <row r="32" spans="1:4" x14ac:dyDescent="0.25">
      <c r="A32">
        <v>0.9</v>
      </c>
      <c r="B32">
        <f t="shared" si="1"/>
        <v>8.5241643392046304E-3</v>
      </c>
      <c r="C32" t="s">
        <v>91</v>
      </c>
      <c r="D32" t="s">
        <v>2</v>
      </c>
    </row>
    <row r="33" spans="1:4" x14ac:dyDescent="0.25">
      <c r="A33">
        <v>1</v>
      </c>
      <c r="B33">
        <f t="shared" si="1"/>
        <v>1.01E-2</v>
      </c>
      <c r="C33" t="s">
        <v>91</v>
      </c>
      <c r="D33" t="s">
        <v>2</v>
      </c>
    </row>
    <row r="34" spans="1:4" x14ac:dyDescent="0.25">
      <c r="A34">
        <v>1.1000000000000001</v>
      </c>
      <c r="B34">
        <f t="shared" si="1"/>
        <v>1.1775072692359044E-2</v>
      </c>
      <c r="C34" t="s">
        <v>91</v>
      </c>
      <c r="D34" t="s">
        <v>2</v>
      </c>
    </row>
    <row r="35" spans="1:4" x14ac:dyDescent="0.25">
      <c r="A35">
        <v>1.2</v>
      </c>
      <c r="B35">
        <f t="shared" si="1"/>
        <v>1.3545753864545255E-2</v>
      </c>
      <c r="C35" t="s">
        <v>91</v>
      </c>
      <c r="D35" t="s">
        <v>2</v>
      </c>
    </row>
    <row r="36" spans="1:4" x14ac:dyDescent="0.25">
      <c r="A36">
        <v>1.3</v>
      </c>
      <c r="B36">
        <f t="shared" si="1"/>
        <v>1.5408847996206228E-2</v>
      </c>
      <c r="C36" t="s">
        <v>91</v>
      </c>
      <c r="D36" t="s">
        <v>2</v>
      </c>
    </row>
    <row r="37" spans="1:4" x14ac:dyDescent="0.25">
      <c r="A37">
        <v>1.4</v>
      </c>
      <c r="B37">
        <f t="shared" si="1"/>
        <v>1.7361510656109171E-2</v>
      </c>
      <c r="C37" t="s">
        <v>91</v>
      </c>
      <c r="D37" t="s">
        <v>2</v>
      </c>
    </row>
    <row r="38" spans="1:4" x14ac:dyDescent="0.25">
      <c r="A38">
        <v>1.5</v>
      </c>
      <c r="B38">
        <f t="shared" si="1"/>
        <v>1.9401186963852214E-2</v>
      </c>
      <c r="C38" t="s">
        <v>91</v>
      </c>
      <c r="D38" t="s">
        <v>2</v>
      </c>
    </row>
    <row r="39" spans="1:4" x14ac:dyDescent="0.25">
      <c r="A39">
        <v>1.6</v>
      </c>
      <c r="B39">
        <f t="shared" si="1"/>
        <v>2.1525564320122377E-2</v>
      </c>
      <c r="C39" t="s">
        <v>91</v>
      </c>
      <c r="D39" t="s">
        <v>2</v>
      </c>
    </row>
    <row r="40" spans="1:4" x14ac:dyDescent="0.25">
      <c r="A40">
        <v>1.7</v>
      </c>
      <c r="B40">
        <f t="shared" si="1"/>
        <v>2.3732535391911856E-2</v>
      </c>
      <c r="C40" t="s">
        <v>91</v>
      </c>
      <c r="D40" t="s">
        <v>2</v>
      </c>
    </row>
    <row r="41" spans="1:4" x14ac:dyDescent="0.25">
      <c r="A41">
        <v>1.8</v>
      </c>
      <c r="B41">
        <f t="shared" si="1"/>
        <v>2.6020168642808539E-2</v>
      </c>
      <c r="C41" t="s">
        <v>91</v>
      </c>
      <c r="D41" t="s">
        <v>2</v>
      </c>
    </row>
    <row r="42" spans="1:4" x14ac:dyDescent="0.25">
      <c r="A42">
        <v>1.9</v>
      </c>
      <c r="B42">
        <f t="shared" si="1"/>
        <v>2.8386684528346435E-2</v>
      </c>
      <c r="C42" t="s">
        <v>91</v>
      </c>
      <c r="D42" t="s">
        <v>2</v>
      </c>
    </row>
    <row r="43" spans="1:4" x14ac:dyDescent="0.25">
      <c r="A43">
        <v>2</v>
      </c>
      <c r="B43">
        <f t="shared" si="1"/>
        <v>3.0830436021003292E-2</v>
      </c>
      <c r="C43" t="s">
        <v>91</v>
      </c>
      <c r="D43" t="s">
        <v>2</v>
      </c>
    </row>
    <row r="44" spans="1:4" x14ac:dyDescent="0.25">
      <c r="A44">
        <v>2.1</v>
      </c>
      <c r="B44">
        <f t="shared" si="1"/>
        <v>3.3349892496444225E-2</v>
      </c>
      <c r="C44" t="s">
        <v>91</v>
      </c>
      <c r="D44" t="s">
        <v>2</v>
      </c>
    </row>
    <row r="45" spans="1:4" x14ac:dyDescent="0.25">
      <c r="A45">
        <v>2.2000000000000002</v>
      </c>
      <c r="B45">
        <f t="shared" si="1"/>
        <v>3.5943626265785997E-2</v>
      </c>
      <c r="C45" t="s">
        <v>91</v>
      </c>
      <c r="D45" t="s">
        <v>2</v>
      </c>
    </row>
    <row r="46" spans="1:4" x14ac:dyDescent="0.25">
      <c r="A46">
        <v>2.2999999999999998</v>
      </c>
      <c r="B46">
        <f t="shared" si="1"/>
        <v>3.8610301216958152E-2</v>
      </c>
      <c r="C46" t="s">
        <v>91</v>
      </c>
      <c r="D46" t="s">
        <v>2</v>
      </c>
    </row>
    <row r="47" spans="1:4" x14ac:dyDescent="0.25">
      <c r="A47">
        <v>2.4</v>
      </c>
      <c r="B47">
        <f t="shared" si="1"/>
        <v>4.1348663156150552E-2</v>
      </c>
      <c r="C47" t="s">
        <v>91</v>
      </c>
      <c r="D47" t="s">
        <v>2</v>
      </c>
    </row>
    <row r="48" spans="1:4" x14ac:dyDescent="0.25">
      <c r="A48">
        <v>2.5</v>
      </c>
      <c r="B48">
        <f t="shared" si="1"/>
        <v>4.4157531533638966E-2</v>
      </c>
      <c r="C48" t="s">
        <v>91</v>
      </c>
      <c r="D48" t="s">
        <v>2</v>
      </c>
    </row>
    <row r="49" spans="1:4" x14ac:dyDescent="0.25">
      <c r="A49">
        <v>2.6</v>
      </c>
      <c r="B49">
        <f t="shared" si="1"/>
        <v>4.7035792307366431E-2</v>
      </c>
      <c r="C49" t="s">
        <v>91</v>
      </c>
      <c r="D49" t="s">
        <v>2</v>
      </c>
    </row>
    <row r="50" spans="1:4" x14ac:dyDescent="0.25">
      <c r="A50">
        <v>2.7</v>
      </c>
      <c r="B50">
        <f t="shared" si="1"/>
        <v>4.9982391749514174E-2</v>
      </c>
      <c r="C50" t="s">
        <v>91</v>
      </c>
      <c r="D50" t="s">
        <v>2</v>
      </c>
    </row>
    <row r="51" spans="1:4" x14ac:dyDescent="0.25">
      <c r="A51">
        <v>2.8</v>
      </c>
      <c r="B51">
        <f t="shared" si="1"/>
        <v>5.2996331040707001E-2</v>
      </c>
      <c r="C51" t="s">
        <v>91</v>
      </c>
      <c r="D51" t="s">
        <v>2</v>
      </c>
    </row>
    <row r="52" spans="1:4" x14ac:dyDescent="0.25">
      <c r="A52">
        <v>2.9</v>
      </c>
      <c r="B52">
        <f t="shared" si="1"/>
        <v>5.6076661526795378E-2</v>
      </c>
      <c r="C52" t="s">
        <v>91</v>
      </c>
      <c r="D52" t="s">
        <v>2</v>
      </c>
    </row>
    <row r="53" spans="1:4" x14ac:dyDescent="0.25">
      <c r="A53">
        <v>3</v>
      </c>
      <c r="B53">
        <f t="shared" si="1"/>
        <v>5.9222480536689999E-2</v>
      </c>
      <c r="C53" t="s">
        <v>91</v>
      </c>
      <c r="D53" t="s">
        <v>2</v>
      </c>
    </row>
    <row r="54" spans="1:4" x14ac:dyDescent="0.25">
      <c r="A54">
        <v>0.5</v>
      </c>
      <c r="B54">
        <f>0.0841*A54^1.11</f>
        <v>3.8963028002490088E-2</v>
      </c>
      <c r="C54" t="s">
        <v>92</v>
      </c>
      <c r="D54" t="s">
        <v>2</v>
      </c>
    </row>
    <row r="55" spans="1:4" x14ac:dyDescent="0.25">
      <c r="A55">
        <v>0.6</v>
      </c>
      <c r="B55">
        <f t="shared" ref="B55:B79" si="2">0.0841*A55^1.11</f>
        <v>4.7702801346053932E-2</v>
      </c>
      <c r="C55" t="s">
        <v>92</v>
      </c>
      <c r="D55" t="s">
        <v>2</v>
      </c>
    </row>
    <row r="56" spans="1:4" x14ac:dyDescent="0.25">
      <c r="A56">
        <v>0.7</v>
      </c>
      <c r="B56">
        <f t="shared" si="2"/>
        <v>5.6605003321402426E-2</v>
      </c>
      <c r="C56" t="s">
        <v>92</v>
      </c>
      <c r="D56" t="s">
        <v>2</v>
      </c>
    </row>
    <row r="57" spans="1:4" x14ac:dyDescent="0.25">
      <c r="A57">
        <v>0.8</v>
      </c>
      <c r="B57">
        <f t="shared" si="2"/>
        <v>6.564866234704031E-2</v>
      </c>
      <c r="C57" t="s">
        <v>92</v>
      </c>
      <c r="D57" t="s">
        <v>2</v>
      </c>
    </row>
    <row r="58" spans="1:4" x14ac:dyDescent="0.25">
      <c r="A58">
        <v>0.9</v>
      </c>
      <c r="B58">
        <f t="shared" si="2"/>
        <v>7.481784264718451E-2</v>
      </c>
      <c r="C58" t="s">
        <v>92</v>
      </c>
      <c r="D58" t="s">
        <v>2</v>
      </c>
    </row>
    <row r="59" spans="1:4" x14ac:dyDescent="0.25">
      <c r="A59">
        <v>1</v>
      </c>
      <c r="B59">
        <f t="shared" si="2"/>
        <v>8.4099999999999994E-2</v>
      </c>
      <c r="C59" t="s">
        <v>92</v>
      </c>
      <c r="D59" t="s">
        <v>2</v>
      </c>
    </row>
    <row r="60" spans="1:4" x14ac:dyDescent="0.25">
      <c r="A60">
        <v>1.1000000000000001</v>
      </c>
      <c r="B60">
        <f t="shared" si="2"/>
        <v>9.3484987935244138E-2</v>
      </c>
      <c r="C60" t="s">
        <v>92</v>
      </c>
      <c r="D60" t="s">
        <v>2</v>
      </c>
    </row>
    <row r="61" spans="1:4" x14ac:dyDescent="0.25">
      <c r="A61">
        <v>1.2</v>
      </c>
      <c r="B61">
        <f t="shared" si="2"/>
        <v>0.10296442034604562</v>
      </c>
      <c r="C61" t="s">
        <v>92</v>
      </c>
      <c r="D61" t="s">
        <v>2</v>
      </c>
    </row>
    <row r="62" spans="1:4" x14ac:dyDescent="0.25">
      <c r="A62">
        <v>1.3</v>
      </c>
      <c r="B62">
        <f t="shared" si="2"/>
        <v>0.1125312432130907</v>
      </c>
      <c r="C62" t="s">
        <v>92</v>
      </c>
      <c r="D62" t="s">
        <v>2</v>
      </c>
    </row>
    <row r="63" spans="1:4" x14ac:dyDescent="0.25">
      <c r="A63">
        <v>1.4</v>
      </c>
      <c r="B63">
        <f t="shared" si="2"/>
        <v>0.12217943582376878</v>
      </c>
      <c r="C63" t="s">
        <v>92</v>
      </c>
      <c r="D63" t="s">
        <v>2</v>
      </c>
    </row>
    <row r="64" spans="1:4" x14ac:dyDescent="0.25">
      <c r="A64">
        <v>1.5</v>
      </c>
      <c r="B64">
        <f t="shared" si="2"/>
        <v>0.13190379577464201</v>
      </c>
      <c r="C64" t="s">
        <v>92</v>
      </c>
      <c r="D64" t="s">
        <v>2</v>
      </c>
    </row>
    <row r="65" spans="1:4" x14ac:dyDescent="0.25">
      <c r="A65">
        <v>1.6</v>
      </c>
      <c r="B65">
        <f t="shared" si="2"/>
        <v>0.14169978018734183</v>
      </c>
      <c r="C65" t="s">
        <v>92</v>
      </c>
      <c r="D65" t="s">
        <v>2</v>
      </c>
    </row>
    <row r="66" spans="1:4" x14ac:dyDescent="0.25">
      <c r="A66">
        <v>1.7</v>
      </c>
      <c r="B66">
        <f t="shared" si="2"/>
        <v>0.15156338581357698</v>
      </c>
      <c r="C66" t="s">
        <v>92</v>
      </c>
      <c r="D66" t="s">
        <v>2</v>
      </c>
    </row>
    <row r="67" spans="1:4" x14ac:dyDescent="0.25">
      <c r="A67">
        <v>1.8</v>
      </c>
      <c r="B67">
        <f t="shared" si="2"/>
        <v>0.16149105675837336</v>
      </c>
      <c r="C67" t="s">
        <v>92</v>
      </c>
      <c r="D67" t="s">
        <v>2</v>
      </c>
    </row>
    <row r="68" spans="1:4" x14ac:dyDescent="0.25">
      <c r="A68">
        <v>1.9</v>
      </c>
      <c r="B68">
        <f t="shared" si="2"/>
        <v>0.17147961226709338</v>
      </c>
      <c r="C68" t="s">
        <v>92</v>
      </c>
      <c r="D68" t="s">
        <v>2</v>
      </c>
    </row>
    <row r="69" spans="1:4" x14ac:dyDescent="0.25">
      <c r="A69">
        <v>2</v>
      </c>
      <c r="B69">
        <f t="shared" si="2"/>
        <v>0.18152618938004464</v>
      </c>
      <c r="C69" t="s">
        <v>92</v>
      </c>
      <c r="D69" t="s">
        <v>2</v>
      </c>
    </row>
    <row r="70" spans="1:4" x14ac:dyDescent="0.25">
      <c r="A70">
        <v>2.1</v>
      </c>
      <c r="B70">
        <f t="shared" si="2"/>
        <v>0.19162819679856574</v>
      </c>
      <c r="C70" t="s">
        <v>92</v>
      </c>
      <c r="D70" t="s">
        <v>2</v>
      </c>
    </row>
    <row r="71" spans="1:4" x14ac:dyDescent="0.25">
      <c r="A71">
        <v>2.2000000000000002</v>
      </c>
      <c r="B71">
        <f t="shared" si="2"/>
        <v>0.20178327733798238</v>
      </c>
      <c r="C71" t="s">
        <v>92</v>
      </c>
      <c r="D71" t="s">
        <v>2</v>
      </c>
    </row>
    <row r="72" spans="1:4" x14ac:dyDescent="0.25">
      <c r="A72">
        <v>2.2999999999999998</v>
      </c>
      <c r="B72">
        <f t="shared" si="2"/>
        <v>0.21198927704934162</v>
      </c>
      <c r="C72" t="s">
        <v>92</v>
      </c>
      <c r="D72" t="s">
        <v>2</v>
      </c>
    </row>
    <row r="73" spans="1:4" x14ac:dyDescent="0.25">
      <c r="A73">
        <v>2.4</v>
      </c>
      <c r="B73">
        <f t="shared" si="2"/>
        <v>0.22224421958552676</v>
      </c>
      <c r="C73" t="s">
        <v>92</v>
      </c>
      <c r="D73" t="s">
        <v>2</v>
      </c>
    </row>
    <row r="74" spans="1:4" x14ac:dyDescent="0.25">
      <c r="A74">
        <v>2.5</v>
      </c>
      <c r="B74">
        <f t="shared" si="2"/>
        <v>0.23254628473858036</v>
      </c>
      <c r="C74" t="s">
        <v>92</v>
      </c>
      <c r="D74" t="s">
        <v>2</v>
      </c>
    </row>
    <row r="75" spans="1:4" x14ac:dyDescent="0.25">
      <c r="A75">
        <v>2.6</v>
      </c>
      <c r="B75">
        <f t="shared" si="2"/>
        <v>0.24289379032902939</v>
      </c>
      <c r="C75" t="s">
        <v>92</v>
      </c>
      <c r="D75" t="s">
        <v>2</v>
      </c>
    </row>
    <row r="76" spans="1:4" x14ac:dyDescent="0.25">
      <c r="A76">
        <v>2.7</v>
      </c>
      <c r="B76">
        <f t="shared" si="2"/>
        <v>0.25328517681435914</v>
      </c>
      <c r="C76" t="s">
        <v>92</v>
      </c>
      <c r="D76" t="s">
        <v>2</v>
      </c>
    </row>
    <row r="77" spans="1:4" x14ac:dyDescent="0.25">
      <c r="A77">
        <v>2.8</v>
      </c>
      <c r="B77">
        <f t="shared" si="2"/>
        <v>0.26371899412238364</v>
      </c>
      <c r="C77" t="s">
        <v>92</v>
      </c>
      <c r="D77" t="s">
        <v>2</v>
      </c>
    </row>
    <row r="78" spans="1:4" x14ac:dyDescent="0.25">
      <c r="A78">
        <v>2.9</v>
      </c>
      <c r="B78">
        <f t="shared" si="2"/>
        <v>0.27419389031961666</v>
      </c>
      <c r="C78" t="s">
        <v>92</v>
      </c>
      <c r="D78" t="s">
        <v>2</v>
      </c>
    </row>
    <row r="79" spans="1:4" x14ac:dyDescent="0.25">
      <c r="A79">
        <v>3</v>
      </c>
      <c r="B79">
        <f t="shared" si="2"/>
        <v>0.28470860180421409</v>
      </c>
      <c r="C79" t="s">
        <v>92</v>
      </c>
      <c r="D79" t="s">
        <v>2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F61D4-0663-4851-9EC3-43869FE8F304}">
  <dimension ref="A1:D105"/>
  <sheetViews>
    <sheetView workbookViewId="0">
      <selection activeCell="D2" sqref="D2"/>
    </sheetView>
  </sheetViews>
  <sheetFormatPr defaultRowHeight="15" x14ac:dyDescent="0.25"/>
  <cols>
    <col min="2" max="2" width="16.5703125" bestFit="1" customWidth="1"/>
    <col min="3" max="3" width="15.85546875" bestFit="1" customWidth="1"/>
  </cols>
  <sheetData>
    <row r="1" spans="1:4" x14ac:dyDescent="0.25">
      <c r="A1" t="s">
        <v>31</v>
      </c>
      <c r="B1" t="s">
        <v>84</v>
      </c>
      <c r="C1" t="s">
        <v>18</v>
      </c>
      <c r="D1" t="s">
        <v>68</v>
      </c>
    </row>
    <row r="2" spans="1:4" x14ac:dyDescent="0.25">
      <c r="A2">
        <v>0.5</v>
      </c>
      <c r="B2">
        <f>0.0067*A2^2.8</f>
        <v>9.6203487231001715E-4</v>
      </c>
      <c r="C2" t="s">
        <v>25</v>
      </c>
      <c r="D2" t="s">
        <v>2</v>
      </c>
    </row>
    <row r="3" spans="1:4" x14ac:dyDescent="0.25">
      <c r="A3">
        <v>0.6</v>
      </c>
      <c r="B3">
        <f t="shared" ref="B3:B27" si="0">0.0067*A3^2.8</f>
        <v>1.6028700119489253E-3</v>
      </c>
      <c r="C3" t="s">
        <v>25</v>
      </c>
      <c r="D3" t="s">
        <v>2</v>
      </c>
    </row>
    <row r="4" spans="1:4" x14ac:dyDescent="0.25">
      <c r="A4">
        <v>0.7</v>
      </c>
      <c r="B4">
        <f t="shared" si="0"/>
        <v>2.4680236369520993E-3</v>
      </c>
      <c r="C4" t="s">
        <v>25</v>
      </c>
      <c r="D4" t="s">
        <v>2</v>
      </c>
    </row>
    <row r="5" spans="1:4" x14ac:dyDescent="0.25">
      <c r="A5">
        <v>0.8</v>
      </c>
      <c r="B5">
        <f t="shared" si="0"/>
        <v>3.5869619212091043E-3</v>
      </c>
      <c r="C5" t="s">
        <v>25</v>
      </c>
      <c r="D5" t="s">
        <v>2</v>
      </c>
    </row>
    <row r="6" spans="1:4" x14ac:dyDescent="0.25">
      <c r="A6">
        <v>0.9</v>
      </c>
      <c r="B6">
        <f t="shared" si="0"/>
        <v>4.9883145269453404E-3</v>
      </c>
      <c r="C6" t="s">
        <v>25</v>
      </c>
      <c r="D6" t="s">
        <v>2</v>
      </c>
    </row>
    <row r="7" spans="1:4" x14ac:dyDescent="0.25">
      <c r="A7">
        <v>1</v>
      </c>
      <c r="B7">
        <f t="shared" si="0"/>
        <v>6.7000000000000002E-3</v>
      </c>
      <c r="C7" t="s">
        <v>25</v>
      </c>
      <c r="D7" t="s">
        <v>2</v>
      </c>
    </row>
    <row r="8" spans="1:4" x14ac:dyDescent="0.25">
      <c r="A8">
        <v>1.1000000000000001</v>
      </c>
      <c r="B8">
        <f t="shared" si="0"/>
        <v>8.7493204093381099E-3</v>
      </c>
      <c r="C8" t="s">
        <v>25</v>
      </c>
      <c r="D8" t="s">
        <v>2</v>
      </c>
    </row>
    <row r="9" spans="1:4" x14ac:dyDescent="0.25">
      <c r="A9">
        <v>1.2</v>
      </c>
      <c r="B9">
        <f t="shared" si="0"/>
        <v>1.1163035134340816E-2</v>
      </c>
      <c r="C9" t="s">
        <v>25</v>
      </c>
      <c r="D9" t="s">
        <v>2</v>
      </c>
    </row>
    <row r="10" spans="1:4" x14ac:dyDescent="0.25">
      <c r="A10">
        <v>1.3</v>
      </c>
      <c r="B10">
        <f t="shared" si="0"/>
        <v>1.3967419890397905E-2</v>
      </c>
      <c r="C10" t="s">
        <v>25</v>
      </c>
      <c r="D10" t="s">
        <v>2</v>
      </c>
    </row>
    <row r="11" spans="1:4" x14ac:dyDescent="0.25">
      <c r="A11">
        <v>1.4</v>
      </c>
      <c r="B11">
        <f t="shared" si="0"/>
        <v>1.718831493901439E-2</v>
      </c>
      <c r="C11" t="s">
        <v>25</v>
      </c>
      <c r="D11" t="s">
        <v>2</v>
      </c>
    </row>
    <row r="12" spans="1:4" x14ac:dyDescent="0.25">
      <c r="A12">
        <v>1.5</v>
      </c>
      <c r="B12">
        <f t="shared" si="0"/>
        <v>2.0851165148380566E-2</v>
      </c>
      <c r="C12" t="s">
        <v>25</v>
      </c>
      <c r="D12" t="s">
        <v>2</v>
      </c>
    </row>
    <row r="13" spans="1:4" x14ac:dyDescent="0.25">
      <c r="A13">
        <v>1.6</v>
      </c>
      <c r="B13">
        <f t="shared" si="0"/>
        <v>2.4981053768242667E-2</v>
      </c>
      <c r="C13" t="s">
        <v>25</v>
      </c>
      <c r="D13" t="s">
        <v>2</v>
      </c>
    </row>
    <row r="14" spans="1:4" x14ac:dyDescent="0.25">
      <c r="A14">
        <v>1.7</v>
      </c>
      <c r="B14">
        <f t="shared" si="0"/>
        <v>2.9602731260015152E-2</v>
      </c>
      <c r="C14" t="s">
        <v>25</v>
      </c>
      <c r="D14" t="s">
        <v>2</v>
      </c>
    </row>
    <row r="15" spans="1:4" x14ac:dyDescent="0.25">
      <c r="A15">
        <v>1.8</v>
      </c>
      <c r="B15">
        <f t="shared" si="0"/>
        <v>3.4740640170644044E-2</v>
      </c>
      <c r="C15" t="s">
        <v>25</v>
      </c>
      <c r="D15" t="s">
        <v>2</v>
      </c>
    </row>
    <row r="16" spans="1:4" x14ac:dyDescent="0.25">
      <c r="A16">
        <v>1.9</v>
      </c>
      <c r="B16">
        <f t="shared" si="0"/>
        <v>4.0418936794345266E-2</v>
      </c>
      <c r="C16" t="s">
        <v>25</v>
      </c>
      <c r="D16" t="s">
        <v>2</v>
      </c>
    </row>
    <row r="17" spans="1:4" x14ac:dyDescent="0.25">
      <c r="A17">
        <v>2</v>
      </c>
      <c r="B17">
        <f t="shared" si="0"/>
        <v>4.6661510192672249E-2</v>
      </c>
      <c r="C17" t="s">
        <v>25</v>
      </c>
      <c r="D17" t="s">
        <v>2</v>
      </c>
    </row>
    <row r="18" spans="1:4" x14ac:dyDescent="0.25">
      <c r="A18">
        <v>2.1</v>
      </c>
      <c r="B18">
        <f t="shared" si="0"/>
        <v>5.3491999017278503E-2</v>
      </c>
      <c r="C18" t="s">
        <v>25</v>
      </c>
      <c r="D18" t="s">
        <v>2</v>
      </c>
    </row>
    <row r="19" spans="1:4" x14ac:dyDescent="0.25">
      <c r="A19">
        <v>2.2000000000000002</v>
      </c>
      <c r="B19">
        <f t="shared" si="0"/>
        <v>6.0933806486460525E-2</v>
      </c>
      <c r="C19" t="s">
        <v>25</v>
      </c>
      <c r="D19" t="s">
        <v>2</v>
      </c>
    </row>
    <row r="20" spans="1:4" x14ac:dyDescent="0.25">
      <c r="A20">
        <v>2.2999999999999998</v>
      </c>
      <c r="B20">
        <f t="shared" si="0"/>
        <v>6.9010113796389994E-2</v>
      </c>
      <c r="C20" t="s">
        <v>25</v>
      </c>
      <c r="D20" t="s">
        <v>2</v>
      </c>
    </row>
    <row r="21" spans="1:4" x14ac:dyDescent="0.25">
      <c r="A21">
        <v>2.4</v>
      </c>
      <c r="B21">
        <f t="shared" si="0"/>
        <v>7.7743892194358538E-2</v>
      </c>
      <c r="C21" t="s">
        <v>25</v>
      </c>
      <c r="D21" t="s">
        <v>2</v>
      </c>
    </row>
    <row r="22" spans="1:4" x14ac:dyDescent="0.25">
      <c r="A22">
        <v>2.5</v>
      </c>
      <c r="B22">
        <f t="shared" si="0"/>
        <v>8.7157913899883588E-2</v>
      </c>
      <c r="C22" t="s">
        <v>25</v>
      </c>
      <c r="D22" t="s">
        <v>2</v>
      </c>
    </row>
    <row r="23" spans="1:4" x14ac:dyDescent="0.25">
      <c r="A23">
        <v>2.6</v>
      </c>
      <c r="B23">
        <f t="shared" si="0"/>
        <v>9.7274762027035055E-2</v>
      </c>
      <c r="C23" t="s">
        <v>25</v>
      </c>
      <c r="D23" t="s">
        <v>2</v>
      </c>
    </row>
    <row r="24" spans="1:4" x14ac:dyDescent="0.25">
      <c r="A24">
        <v>2.7</v>
      </c>
      <c r="B24">
        <f t="shared" si="0"/>
        <v>0.10811683963560638</v>
      </c>
      <c r="C24" t="s">
        <v>25</v>
      </c>
      <c r="D24" t="s">
        <v>2</v>
      </c>
    </row>
    <row r="25" spans="1:4" x14ac:dyDescent="0.25">
      <c r="A25">
        <v>2.8</v>
      </c>
      <c r="B25">
        <f t="shared" si="0"/>
        <v>0.11970637801816128</v>
      </c>
      <c r="C25" t="s">
        <v>25</v>
      </c>
      <c r="D25" t="s">
        <v>2</v>
      </c>
    </row>
    <row r="26" spans="1:4" x14ac:dyDescent="0.25">
      <c r="A26">
        <v>2.9</v>
      </c>
      <c r="B26">
        <f t="shared" si="0"/>
        <v>0.13206544431336006</v>
      </c>
      <c r="C26" t="s">
        <v>25</v>
      </c>
      <c r="D26" t="s">
        <v>2</v>
      </c>
    </row>
    <row r="27" spans="1:4" x14ac:dyDescent="0.25">
      <c r="A27">
        <v>3</v>
      </c>
      <c r="B27">
        <f t="shared" si="0"/>
        <v>0.1452159485224257</v>
      </c>
      <c r="C27" t="s">
        <v>25</v>
      </c>
      <c r="D27" t="s">
        <v>2</v>
      </c>
    </row>
    <row r="28" spans="1:4" x14ac:dyDescent="0.25">
      <c r="A28">
        <v>0.5</v>
      </c>
      <c r="B28">
        <f>0.006*A28^2.84</f>
        <v>8.379653535541652E-4</v>
      </c>
      <c r="C28" t="s">
        <v>85</v>
      </c>
      <c r="D28" t="s">
        <v>78</v>
      </c>
    </row>
    <row r="29" spans="1:4" x14ac:dyDescent="0.25">
      <c r="A29">
        <v>0.6</v>
      </c>
      <c r="B29">
        <f t="shared" ref="B29:B53" si="1">0.006*A29^2.84</f>
        <v>1.406373911218006E-3</v>
      </c>
      <c r="C29" t="s">
        <v>85</v>
      </c>
      <c r="D29" t="s">
        <v>78</v>
      </c>
    </row>
    <row r="30" spans="1:4" x14ac:dyDescent="0.25">
      <c r="A30">
        <v>0.7</v>
      </c>
      <c r="B30">
        <f t="shared" si="1"/>
        <v>2.1788617958160084E-3</v>
      </c>
      <c r="C30" t="s">
        <v>85</v>
      </c>
      <c r="D30" t="s">
        <v>78</v>
      </c>
    </row>
    <row r="31" spans="1:4" x14ac:dyDescent="0.25">
      <c r="A31">
        <v>0.8</v>
      </c>
      <c r="B31">
        <f t="shared" si="1"/>
        <v>3.1836609714461458E-3</v>
      </c>
      <c r="C31" t="s">
        <v>85</v>
      </c>
      <c r="D31" t="s">
        <v>78</v>
      </c>
    </row>
    <row r="32" spans="1:4" x14ac:dyDescent="0.25">
      <c r="A32">
        <v>0.9</v>
      </c>
      <c r="B32">
        <f t="shared" si="1"/>
        <v>4.4483605152750511E-3</v>
      </c>
      <c r="C32" t="s">
        <v>85</v>
      </c>
      <c r="D32" t="s">
        <v>78</v>
      </c>
    </row>
    <row r="33" spans="1:4" x14ac:dyDescent="0.25">
      <c r="A33">
        <v>1</v>
      </c>
      <c r="B33">
        <f t="shared" si="1"/>
        <v>6.0000000000000001E-3</v>
      </c>
      <c r="C33" t="s">
        <v>85</v>
      </c>
      <c r="D33" t="s">
        <v>78</v>
      </c>
    </row>
    <row r="34" spans="1:4" x14ac:dyDescent="0.25">
      <c r="A34">
        <v>1.1000000000000001</v>
      </c>
      <c r="B34">
        <f t="shared" si="1"/>
        <v>7.8651403392949494E-3</v>
      </c>
      <c r="C34" t="s">
        <v>85</v>
      </c>
      <c r="D34" t="s">
        <v>78</v>
      </c>
    </row>
    <row r="35" spans="1:4" x14ac:dyDescent="0.25">
      <c r="A35">
        <v>1.2</v>
      </c>
      <c r="B35">
        <f t="shared" si="1"/>
        <v>1.0069919277113166E-2</v>
      </c>
      <c r="C35" t="s">
        <v>85</v>
      </c>
      <c r="D35" t="s">
        <v>78</v>
      </c>
    </row>
    <row r="36" spans="1:4" x14ac:dyDescent="0.25">
      <c r="A36">
        <v>1.3</v>
      </c>
      <c r="B36">
        <f t="shared" si="1"/>
        <v>1.2640095958150547E-2</v>
      </c>
      <c r="C36" t="s">
        <v>85</v>
      </c>
      <c r="D36" t="s">
        <v>78</v>
      </c>
    </row>
    <row r="37" spans="1:4" x14ac:dyDescent="0.25">
      <c r="A37">
        <v>1.4</v>
      </c>
      <c r="B37">
        <f t="shared" si="1"/>
        <v>1.5601087466739775E-2</v>
      </c>
      <c r="C37" t="s">
        <v>85</v>
      </c>
      <c r="D37" t="s">
        <v>78</v>
      </c>
    </row>
    <row r="38" spans="1:4" x14ac:dyDescent="0.25">
      <c r="A38">
        <v>1.5</v>
      </c>
      <c r="B38">
        <f t="shared" si="1"/>
        <v>1.8977999292190358E-2</v>
      </c>
      <c r="C38" t="s">
        <v>85</v>
      </c>
      <c r="D38" t="s">
        <v>78</v>
      </c>
    </row>
    <row r="39" spans="1:4" x14ac:dyDescent="0.25">
      <c r="A39">
        <v>1.6</v>
      </c>
      <c r="B39">
        <f t="shared" si="1"/>
        <v>2.2795651094233631E-2</v>
      </c>
      <c r="C39" t="s">
        <v>85</v>
      </c>
      <c r="D39" t="s">
        <v>78</v>
      </c>
    </row>
    <row r="40" spans="1:4" x14ac:dyDescent="0.25">
      <c r="A40">
        <v>1.7</v>
      </c>
      <c r="B40">
        <f t="shared" si="1"/>
        <v>2.70785987600052E-2</v>
      </c>
      <c r="C40" t="s">
        <v>85</v>
      </c>
      <c r="D40" t="s">
        <v>78</v>
      </c>
    </row>
    <row r="41" spans="1:4" x14ac:dyDescent="0.25">
      <c r="A41">
        <v>1.8</v>
      </c>
      <c r="B41">
        <f t="shared" si="1"/>
        <v>3.185115348557796E-2</v>
      </c>
      <c r="C41" t="s">
        <v>85</v>
      </c>
      <c r="D41" t="s">
        <v>78</v>
      </c>
    </row>
    <row r="42" spans="1:4" x14ac:dyDescent="0.25">
      <c r="A42">
        <v>1.9</v>
      </c>
      <c r="B42">
        <f t="shared" si="1"/>
        <v>3.7137398435350015E-2</v>
      </c>
      <c r="C42" t="s">
        <v>85</v>
      </c>
      <c r="D42" t="s">
        <v>78</v>
      </c>
    </row>
    <row r="43" spans="1:4" x14ac:dyDescent="0.25">
      <c r="A43">
        <v>2</v>
      </c>
      <c r="B43">
        <f t="shared" si="1"/>
        <v>4.2961203404542667E-2</v>
      </c>
      <c r="C43" t="s">
        <v>85</v>
      </c>
      <c r="D43" t="s">
        <v>78</v>
      </c>
    </row>
    <row r="44" spans="1:4" x14ac:dyDescent="0.25">
      <c r="A44">
        <v>2.1</v>
      </c>
      <c r="B44">
        <f t="shared" si="1"/>
        <v>4.9346237816864563E-2</v>
      </c>
      <c r="C44" t="s">
        <v>85</v>
      </c>
      <c r="D44" t="s">
        <v>78</v>
      </c>
    </row>
    <row r="45" spans="1:4" x14ac:dyDescent="0.25">
      <c r="A45">
        <v>2.2000000000000002</v>
      </c>
      <c r="B45">
        <f t="shared" si="1"/>
        <v>5.6315982320287346E-2</v>
      </c>
      <c r="C45" t="s">
        <v>85</v>
      </c>
      <c r="D45" t="s">
        <v>78</v>
      </c>
    </row>
    <row r="46" spans="1:4" x14ac:dyDescent="0.25">
      <c r="A46">
        <v>2.2999999999999998</v>
      </c>
      <c r="B46">
        <f t="shared" si="1"/>
        <v>6.3893739191770119E-2</v>
      </c>
      <c r="C46" t="s">
        <v>85</v>
      </c>
      <c r="D46" t="s">
        <v>78</v>
      </c>
    </row>
    <row r="47" spans="1:4" x14ac:dyDescent="0.25">
      <c r="A47">
        <v>2.4</v>
      </c>
      <c r="B47">
        <f t="shared" si="1"/>
        <v>7.2102641721897315E-2</v>
      </c>
      <c r="C47" t="s">
        <v>85</v>
      </c>
      <c r="D47" t="s">
        <v>78</v>
      </c>
    </row>
    <row r="48" spans="1:4" x14ac:dyDescent="0.25">
      <c r="A48">
        <v>2.5</v>
      </c>
      <c r="B48">
        <f t="shared" si="1"/>
        <v>8.0965662719472295E-2</v>
      </c>
      <c r="C48" t="s">
        <v>85</v>
      </c>
      <c r="D48" t="s">
        <v>78</v>
      </c>
    </row>
    <row r="49" spans="1:4" x14ac:dyDescent="0.25">
      <c r="A49">
        <v>2.6</v>
      </c>
      <c r="B49">
        <f t="shared" si="1"/>
        <v>9.0505622251840556E-2</v>
      </c>
      <c r="C49" t="s">
        <v>85</v>
      </c>
      <c r="D49" t="s">
        <v>78</v>
      </c>
    </row>
    <row r="50" spans="1:4" x14ac:dyDescent="0.25">
      <c r="A50">
        <v>2.7</v>
      </c>
      <c r="B50">
        <f t="shared" si="1"/>
        <v>0.10074519471745746</v>
      </c>
      <c r="C50" t="s">
        <v>85</v>
      </c>
      <c r="D50" t="s">
        <v>78</v>
      </c>
    </row>
    <row r="51" spans="1:4" x14ac:dyDescent="0.25">
      <c r="A51">
        <v>2.8</v>
      </c>
      <c r="B51">
        <f t="shared" si="1"/>
        <v>0.11170691533177812</v>
      </c>
      <c r="C51" t="s">
        <v>85</v>
      </c>
      <c r="D51" t="s">
        <v>78</v>
      </c>
    </row>
    <row r="52" spans="1:4" x14ac:dyDescent="0.25">
      <c r="A52">
        <v>2.9</v>
      </c>
      <c r="B52">
        <f t="shared" si="1"/>
        <v>0.12341318609506347</v>
      </c>
      <c r="C52" t="s">
        <v>85</v>
      </c>
      <c r="D52" t="s">
        <v>78</v>
      </c>
    </row>
    <row r="53" spans="1:4" x14ac:dyDescent="0.25">
      <c r="A53">
        <v>3</v>
      </c>
      <c r="B53">
        <f t="shared" si="1"/>
        <v>0.13588628130050948</v>
      </c>
      <c r="C53" t="s">
        <v>85</v>
      </c>
      <c r="D53" t="s">
        <v>78</v>
      </c>
    </row>
    <row r="54" spans="1:4" x14ac:dyDescent="0.25">
      <c r="A54">
        <v>0.5</v>
      </c>
      <c r="B54">
        <f>0.001*A54^3.479</f>
        <v>8.9684345912918959E-5</v>
      </c>
      <c r="C54" t="s">
        <v>86</v>
      </c>
      <c r="D54" t="s">
        <v>78</v>
      </c>
    </row>
    <row r="55" spans="1:4" x14ac:dyDescent="0.25">
      <c r="A55">
        <v>0.6</v>
      </c>
      <c r="B55">
        <f t="shared" ref="B55:B79" si="2">0.001*A55^3.479</f>
        <v>1.6911736374049813E-4</v>
      </c>
      <c r="C55" t="s">
        <v>86</v>
      </c>
      <c r="D55" t="s">
        <v>78</v>
      </c>
    </row>
    <row r="56" spans="1:4" x14ac:dyDescent="0.25">
      <c r="A56">
        <v>0.7</v>
      </c>
      <c r="B56">
        <f t="shared" si="2"/>
        <v>2.8913194731418535E-4</v>
      </c>
      <c r="C56" t="s">
        <v>86</v>
      </c>
      <c r="D56" t="s">
        <v>78</v>
      </c>
    </row>
    <row r="57" spans="1:4" x14ac:dyDescent="0.25">
      <c r="A57">
        <v>0.8</v>
      </c>
      <c r="B57">
        <f t="shared" si="2"/>
        <v>4.6009770263376158E-4</v>
      </c>
      <c r="C57" t="s">
        <v>86</v>
      </c>
      <c r="D57" t="s">
        <v>78</v>
      </c>
    </row>
    <row r="58" spans="1:4" x14ac:dyDescent="0.25">
      <c r="A58">
        <v>0.9</v>
      </c>
      <c r="B58">
        <f t="shared" si="2"/>
        <v>6.9312201049173206E-4</v>
      </c>
      <c r="C58" t="s">
        <v>86</v>
      </c>
      <c r="D58" t="s">
        <v>78</v>
      </c>
    </row>
    <row r="59" spans="1:4" x14ac:dyDescent="0.25">
      <c r="A59">
        <v>1</v>
      </c>
      <c r="B59">
        <f t="shared" si="2"/>
        <v>1E-3</v>
      </c>
      <c r="C59" t="s">
        <v>86</v>
      </c>
      <c r="D59" t="s">
        <v>78</v>
      </c>
    </row>
    <row r="60" spans="1:4" x14ac:dyDescent="0.25">
      <c r="A60">
        <v>1.1000000000000001</v>
      </c>
      <c r="B60">
        <f t="shared" si="2"/>
        <v>1.3931733288756478E-3</v>
      </c>
      <c r="C60" t="s">
        <v>86</v>
      </c>
      <c r="D60" t="s">
        <v>78</v>
      </c>
    </row>
    <row r="61" spans="1:4" x14ac:dyDescent="0.25">
      <c r="A61">
        <v>1.2</v>
      </c>
      <c r="B61">
        <f t="shared" si="2"/>
        <v>1.8856954579866869E-3</v>
      </c>
      <c r="C61" t="s">
        <v>86</v>
      </c>
      <c r="D61" t="s">
        <v>78</v>
      </c>
    </row>
    <row r="62" spans="1:4" x14ac:dyDescent="0.25">
      <c r="A62">
        <v>1.3</v>
      </c>
      <c r="B62">
        <f t="shared" si="2"/>
        <v>2.4912018783276534E-3</v>
      </c>
      <c r="C62" t="s">
        <v>86</v>
      </c>
      <c r="D62" t="s">
        <v>78</v>
      </c>
    </row>
    <row r="63" spans="1:4" x14ac:dyDescent="0.25">
      <c r="A63">
        <v>1.4</v>
      </c>
      <c r="B63">
        <f t="shared" si="2"/>
        <v>3.2238842171511692E-3</v>
      </c>
      <c r="C63" t="s">
        <v>86</v>
      </c>
      <c r="D63" t="s">
        <v>78</v>
      </c>
    </row>
    <row r="64" spans="1:4" x14ac:dyDescent="0.25">
      <c r="A64">
        <v>1.5</v>
      </c>
      <c r="B64">
        <f t="shared" si="2"/>
        <v>4.0984674498314192E-3</v>
      </c>
      <c r="C64" t="s">
        <v>86</v>
      </c>
      <c r="D64" t="s">
        <v>78</v>
      </c>
    </row>
    <row r="65" spans="1:4" x14ac:dyDescent="0.25">
      <c r="A65">
        <v>1.6</v>
      </c>
      <c r="B65">
        <f t="shared" si="2"/>
        <v>5.1301896440266621E-3</v>
      </c>
      <c r="C65" t="s">
        <v>86</v>
      </c>
      <c r="D65" t="s">
        <v>78</v>
      </c>
    </row>
    <row r="66" spans="1:4" x14ac:dyDescent="0.25">
      <c r="A66">
        <v>1.7</v>
      </c>
      <c r="B66">
        <f t="shared" si="2"/>
        <v>6.334783800732594E-3</v>
      </c>
      <c r="C66" t="s">
        <v>86</v>
      </c>
      <c r="D66" t="s">
        <v>78</v>
      </c>
    </row>
    <row r="67" spans="1:4" x14ac:dyDescent="0.25">
      <c r="A67">
        <v>1.8</v>
      </c>
      <c r="B67">
        <f t="shared" si="2"/>
        <v>7.7284614548533892E-3</v>
      </c>
      <c r="C67" t="s">
        <v>86</v>
      </c>
      <c r="D67" t="s">
        <v>78</v>
      </c>
    </row>
    <row r="68" spans="1:4" x14ac:dyDescent="0.25">
      <c r="A68">
        <v>1.9</v>
      </c>
      <c r="B68">
        <f t="shared" si="2"/>
        <v>9.3278977692773136E-3</v>
      </c>
      <c r="C68" t="s">
        <v>86</v>
      </c>
      <c r="D68" t="s">
        <v>78</v>
      </c>
    </row>
    <row r="69" spans="1:4" x14ac:dyDescent="0.25">
      <c r="A69">
        <v>2</v>
      </c>
      <c r="B69">
        <f t="shared" si="2"/>
        <v>1.1150217909499754E-2</v>
      </c>
      <c r="C69" t="s">
        <v>86</v>
      </c>
      <c r="D69" t="s">
        <v>78</v>
      </c>
    </row>
    <row r="70" spans="1:4" x14ac:dyDescent="0.25">
      <c r="A70">
        <v>2.1</v>
      </c>
      <c r="B70">
        <f t="shared" si="2"/>
        <v>1.3212984526019317E-2</v>
      </c>
      <c r="C70" t="s">
        <v>86</v>
      </c>
      <c r="D70" t="s">
        <v>78</v>
      </c>
    </row>
    <row r="71" spans="1:4" x14ac:dyDescent="0.25">
      <c r="A71">
        <v>2.2000000000000002</v>
      </c>
      <c r="B71">
        <f t="shared" si="2"/>
        <v>1.5534186202666639E-2</v>
      </c>
      <c r="C71" t="s">
        <v>86</v>
      </c>
      <c r="D71" t="s">
        <v>78</v>
      </c>
    </row>
    <row r="72" spans="1:4" x14ac:dyDescent="0.25">
      <c r="A72">
        <v>2.2999999999999998</v>
      </c>
      <c r="B72">
        <f t="shared" si="2"/>
        <v>1.8132226753185935E-2</v>
      </c>
      <c r="C72" t="s">
        <v>86</v>
      </c>
      <c r="D72" t="s">
        <v>78</v>
      </c>
    </row>
    <row r="73" spans="1:4" x14ac:dyDescent="0.25">
      <c r="A73">
        <v>2.4</v>
      </c>
      <c r="B73">
        <f t="shared" si="2"/>
        <v>2.1025915267505489E-2</v>
      </c>
      <c r="C73" t="s">
        <v>86</v>
      </c>
      <c r="D73" t="s">
        <v>78</v>
      </c>
    </row>
    <row r="74" spans="1:4" x14ac:dyDescent="0.25">
      <c r="A74">
        <v>2.5</v>
      </c>
      <c r="B74">
        <f t="shared" si="2"/>
        <v>2.4234456824435285E-2</v>
      </c>
      <c r="C74" t="s">
        <v>86</v>
      </c>
      <c r="D74" t="s">
        <v>78</v>
      </c>
    </row>
    <row r="75" spans="1:4" x14ac:dyDescent="0.25">
      <c r="A75">
        <v>2.6</v>
      </c>
      <c r="B75">
        <f t="shared" si="2"/>
        <v>2.7777443799908434E-2</v>
      </c>
      <c r="C75" t="s">
        <v>86</v>
      </c>
      <c r="D75" t="s">
        <v>78</v>
      </c>
    </row>
    <row r="76" spans="1:4" x14ac:dyDescent="0.25">
      <c r="A76">
        <v>2.7</v>
      </c>
      <c r="B76">
        <f t="shared" si="2"/>
        <v>3.1674847709993389E-2</v>
      </c>
      <c r="C76" t="s">
        <v>86</v>
      </c>
      <c r="D76" t="s">
        <v>78</v>
      </c>
    </row>
    <row r="77" spans="1:4" x14ac:dyDescent="0.25">
      <c r="A77">
        <v>2.8</v>
      </c>
      <c r="B77">
        <f t="shared" si="2"/>
        <v>3.5947011536232552E-2</v>
      </c>
      <c r="C77" t="s">
        <v>86</v>
      </c>
      <c r="D77" t="s">
        <v>78</v>
      </c>
    </row>
    <row r="78" spans="1:4" x14ac:dyDescent="0.25">
      <c r="A78">
        <v>2.9</v>
      </c>
      <c r="B78">
        <f t="shared" si="2"/>
        <v>4.0614642487781787E-2</v>
      </c>
      <c r="C78" t="s">
        <v>86</v>
      </c>
      <c r="D78" t="s">
        <v>78</v>
      </c>
    </row>
    <row r="79" spans="1:4" x14ac:dyDescent="0.25">
      <c r="A79">
        <v>3</v>
      </c>
      <c r="B79">
        <f t="shared" si="2"/>
        <v>4.5698805160612095E-2</v>
      </c>
      <c r="C79" t="s">
        <v>86</v>
      </c>
      <c r="D79" t="s">
        <v>78</v>
      </c>
    </row>
    <row r="80" spans="1:4" x14ac:dyDescent="0.25">
      <c r="A80">
        <v>0.5</v>
      </c>
      <c r="B80">
        <f>0.014*A80^2.806</f>
        <v>2.0018792031066632E-3</v>
      </c>
      <c r="C80" t="s">
        <v>89</v>
      </c>
      <c r="D80" t="s">
        <v>78</v>
      </c>
    </row>
    <row r="81" spans="1:4" x14ac:dyDescent="0.25">
      <c r="A81">
        <v>0.6</v>
      </c>
      <c r="B81">
        <f t="shared" ref="B81:B105" si="3">0.014*A81^2.806</f>
        <v>3.3390309472187281E-3</v>
      </c>
      <c r="C81" t="s">
        <v>89</v>
      </c>
      <c r="D81" t="s">
        <v>78</v>
      </c>
    </row>
    <row r="82" spans="1:4" x14ac:dyDescent="0.25">
      <c r="A82">
        <v>0.7</v>
      </c>
      <c r="B82">
        <f t="shared" si="3"/>
        <v>5.1460397430388724E-3</v>
      </c>
      <c r="C82" t="s">
        <v>89</v>
      </c>
      <c r="D82" t="s">
        <v>78</v>
      </c>
    </row>
    <row r="83" spans="1:4" x14ac:dyDescent="0.25">
      <c r="A83">
        <v>0.8</v>
      </c>
      <c r="B83">
        <f t="shared" si="3"/>
        <v>7.4851160689685427E-3</v>
      </c>
      <c r="C83" t="s">
        <v>89</v>
      </c>
      <c r="D83" t="s">
        <v>78</v>
      </c>
    </row>
    <row r="84" spans="1:4" x14ac:dyDescent="0.25">
      <c r="A84">
        <v>0.9</v>
      </c>
      <c r="B84">
        <f t="shared" si="3"/>
        <v>1.0416756616691463E-2</v>
      </c>
      <c r="C84" t="s">
        <v>89</v>
      </c>
      <c r="D84" t="s">
        <v>78</v>
      </c>
    </row>
    <row r="85" spans="1:4" x14ac:dyDescent="0.25">
      <c r="A85">
        <v>1</v>
      </c>
      <c r="B85">
        <f t="shared" si="3"/>
        <v>1.4E-2</v>
      </c>
      <c r="C85" t="s">
        <v>89</v>
      </c>
      <c r="D85" t="s">
        <v>78</v>
      </c>
    </row>
    <row r="86" spans="1:4" x14ac:dyDescent="0.25">
      <c r="A86">
        <v>1.1000000000000001</v>
      </c>
      <c r="B86">
        <f t="shared" si="3"/>
        <v>1.8292619896208825E-2</v>
      </c>
      <c r="C86" t="s">
        <v>89</v>
      </c>
      <c r="D86" t="s">
        <v>78</v>
      </c>
    </row>
    <row r="87" spans="1:4" x14ac:dyDescent="0.25">
      <c r="A87">
        <v>1.2</v>
      </c>
      <c r="B87">
        <f t="shared" si="3"/>
        <v>2.3351275735577673E-2</v>
      </c>
      <c r="C87" t="s">
        <v>89</v>
      </c>
      <c r="D87" t="s">
        <v>78</v>
      </c>
    </row>
    <row r="88" spans="1:4" x14ac:dyDescent="0.25">
      <c r="A88">
        <v>1.3</v>
      </c>
      <c r="B88">
        <f t="shared" si="3"/>
        <v>2.923163331829555E-2</v>
      </c>
      <c r="C88" t="s">
        <v>89</v>
      </c>
      <c r="D88" t="s">
        <v>78</v>
      </c>
    </row>
    <row r="89" spans="1:4" x14ac:dyDescent="0.25">
      <c r="A89">
        <v>1.4</v>
      </c>
      <c r="B89">
        <f t="shared" si="3"/>
        <v>3.5988463385173385E-2</v>
      </c>
      <c r="C89" t="s">
        <v>89</v>
      </c>
      <c r="D89" t="s">
        <v>78</v>
      </c>
    </row>
    <row r="90" spans="1:4" x14ac:dyDescent="0.25">
      <c r="A90">
        <v>1.5</v>
      </c>
      <c r="B90">
        <f t="shared" si="3"/>
        <v>4.3675723567388469E-2</v>
      </c>
      <c r="C90" t="s">
        <v>89</v>
      </c>
      <c r="D90" t="s">
        <v>78</v>
      </c>
    </row>
    <row r="91" spans="1:4" x14ac:dyDescent="0.25">
      <c r="A91">
        <v>1.6</v>
      </c>
      <c r="B91">
        <f t="shared" si="3"/>
        <v>5.2346627510259494E-2</v>
      </c>
      <c r="C91" t="s">
        <v>89</v>
      </c>
      <c r="D91" t="s">
        <v>78</v>
      </c>
    </row>
    <row r="92" spans="1:4" x14ac:dyDescent="0.25">
      <c r="A92">
        <v>1.7</v>
      </c>
      <c r="B92">
        <f t="shared" si="3"/>
        <v>6.2053703902660691E-2</v>
      </c>
      <c r="C92" t="s">
        <v>89</v>
      </c>
      <c r="D92" t="s">
        <v>78</v>
      </c>
    </row>
    <row r="93" spans="1:4" x14ac:dyDescent="0.25">
      <c r="A93">
        <v>1.8</v>
      </c>
      <c r="B93">
        <f t="shared" si="3"/>
        <v>7.2848847426639746E-2</v>
      </c>
      <c r="C93" t="s">
        <v>89</v>
      </c>
      <c r="D93" t="s">
        <v>78</v>
      </c>
    </row>
    <row r="94" spans="1:4" x14ac:dyDescent="0.25">
      <c r="A94">
        <v>1.9</v>
      </c>
      <c r="B94">
        <f t="shared" si="3"/>
        <v>8.4783363144373847E-2</v>
      </c>
      <c r="C94" t="s">
        <v>89</v>
      </c>
      <c r="D94" t="s">
        <v>78</v>
      </c>
    </row>
    <row r="95" spans="1:4" x14ac:dyDescent="0.25">
      <c r="A95">
        <v>2</v>
      </c>
      <c r="B95">
        <f t="shared" si="3"/>
        <v>9.7908005485961805E-2</v>
      </c>
      <c r="C95" t="s">
        <v>89</v>
      </c>
      <c r="D95" t="s">
        <v>78</v>
      </c>
    </row>
    <row r="96" spans="1:4" x14ac:dyDescent="0.25">
      <c r="A96">
        <v>2.1</v>
      </c>
      <c r="B96">
        <f t="shared" si="3"/>
        <v>0.11227301274470818</v>
      </c>
      <c r="C96" t="s">
        <v>89</v>
      </c>
      <c r="D96" t="s">
        <v>78</v>
      </c>
    </row>
    <row r="97" spans="1:4" x14ac:dyDescent="0.25">
      <c r="A97">
        <v>2.2000000000000002</v>
      </c>
      <c r="B97">
        <f t="shared" si="3"/>
        <v>0.12792813779647341</v>
      </c>
      <c r="C97" t="s">
        <v>89</v>
      </c>
      <c r="D97" t="s">
        <v>78</v>
      </c>
    </row>
    <row r="98" spans="1:4" x14ac:dyDescent="0.25">
      <c r="A98">
        <v>2.2999999999999998</v>
      </c>
      <c r="B98">
        <f t="shared" si="3"/>
        <v>0.14492267561661687</v>
      </c>
      <c r="C98" t="s">
        <v>89</v>
      </c>
      <c r="D98" t="s">
        <v>78</v>
      </c>
    </row>
    <row r="99" spans="1:4" x14ac:dyDescent="0.25">
      <c r="A99">
        <v>2.4</v>
      </c>
      <c r="B99">
        <f t="shared" si="3"/>
        <v>0.16330548805879613</v>
      </c>
      <c r="C99" t="s">
        <v>89</v>
      </c>
      <c r="D99" t="s">
        <v>78</v>
      </c>
    </row>
    <row r="100" spans="1:4" x14ac:dyDescent="0.25">
      <c r="A100">
        <v>2.5</v>
      </c>
      <c r="B100">
        <f t="shared" si="3"/>
        <v>0.18312502627529076</v>
      </c>
      <c r="C100" t="s">
        <v>89</v>
      </c>
      <c r="D100" t="s">
        <v>78</v>
      </c>
    </row>
    <row r="101" spans="1:4" x14ac:dyDescent="0.25">
      <c r="A101">
        <v>2.6</v>
      </c>
      <c r="B101">
        <f t="shared" si="3"/>
        <v>0.20442935109223606</v>
      </c>
      <c r="C101" t="s">
        <v>89</v>
      </c>
      <c r="D101" t="s">
        <v>78</v>
      </c>
    </row>
    <row r="102" spans="1:4" x14ac:dyDescent="0.25">
      <c r="A102">
        <v>2.7</v>
      </c>
      <c r="B102">
        <f t="shared" si="3"/>
        <v>0.22726615160062702</v>
      </c>
      <c r="C102" t="s">
        <v>89</v>
      </c>
      <c r="D102" t="s">
        <v>78</v>
      </c>
    </row>
    <row r="103" spans="1:4" x14ac:dyDescent="0.25">
      <c r="A103">
        <v>2.8</v>
      </c>
      <c r="B103">
        <f t="shared" si="3"/>
        <v>0.25168276218192076</v>
      </c>
      <c r="C103" t="s">
        <v>89</v>
      </c>
      <c r="D103" t="s">
        <v>78</v>
      </c>
    </row>
    <row r="104" spans="1:4" x14ac:dyDescent="0.25">
      <c r="A104">
        <v>2.9</v>
      </c>
      <c r="B104">
        <f t="shared" si="3"/>
        <v>0.27772617815311507</v>
      </c>
      <c r="C104" t="s">
        <v>89</v>
      </c>
      <c r="D104" t="s">
        <v>78</v>
      </c>
    </row>
    <row r="105" spans="1:4" x14ac:dyDescent="0.25">
      <c r="A105">
        <v>3</v>
      </c>
      <c r="B105">
        <f t="shared" si="3"/>
        <v>0.30544307018851591</v>
      </c>
      <c r="C105" t="s">
        <v>89</v>
      </c>
      <c r="D105" t="s">
        <v>78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79"/>
  <sheetViews>
    <sheetView topLeftCell="A31" workbookViewId="0">
      <selection activeCell="D53" sqref="D53:D54"/>
    </sheetView>
  </sheetViews>
  <sheetFormatPr defaultRowHeight="15" x14ac:dyDescent="0.25"/>
  <sheetData>
    <row r="1" spans="1:4" x14ac:dyDescent="0.25">
      <c r="A1" t="s">
        <v>17</v>
      </c>
      <c r="B1" t="s">
        <v>72</v>
      </c>
      <c r="C1" t="s">
        <v>73</v>
      </c>
      <c r="D1" t="s">
        <v>74</v>
      </c>
    </row>
    <row r="2" spans="1:4" x14ac:dyDescent="0.25">
      <c r="A2">
        <v>0.5</v>
      </c>
      <c r="B2">
        <f>0.0031*A2^2.66</f>
        <v>4.9048068016348343E-4</v>
      </c>
      <c r="C2" t="s">
        <v>75</v>
      </c>
      <c r="D2" t="s">
        <v>2</v>
      </c>
    </row>
    <row r="3" spans="1:4" x14ac:dyDescent="0.25">
      <c r="A3">
        <v>0.6</v>
      </c>
      <c r="B3">
        <f t="shared" ref="B3:B27" si="0">0.0031*A3^2.66</f>
        <v>7.9660681932998726E-4</v>
      </c>
      <c r="C3" t="s">
        <v>75</v>
      </c>
      <c r="D3" t="s">
        <v>2</v>
      </c>
    </row>
    <row r="4" spans="1:4" x14ac:dyDescent="0.25">
      <c r="A4">
        <v>0.7</v>
      </c>
      <c r="B4">
        <f t="shared" si="0"/>
        <v>1.200390308045535E-3</v>
      </c>
      <c r="C4" t="s">
        <v>75</v>
      </c>
      <c r="D4" t="s">
        <v>2</v>
      </c>
    </row>
    <row r="5" spans="1:4" x14ac:dyDescent="0.25">
      <c r="A5">
        <v>0.8</v>
      </c>
      <c r="B5">
        <f t="shared" si="0"/>
        <v>1.7123047413353234E-3</v>
      </c>
      <c r="C5" t="s">
        <v>75</v>
      </c>
      <c r="D5" t="s">
        <v>2</v>
      </c>
    </row>
    <row r="6" spans="1:4" x14ac:dyDescent="0.25">
      <c r="A6">
        <v>0.9</v>
      </c>
      <c r="B6">
        <f t="shared" si="0"/>
        <v>2.342322924728261E-3</v>
      </c>
      <c r="C6" t="s">
        <v>75</v>
      </c>
      <c r="D6" t="s">
        <v>2</v>
      </c>
    </row>
    <row r="7" spans="1:4" x14ac:dyDescent="0.25">
      <c r="A7">
        <v>1</v>
      </c>
      <c r="B7">
        <f t="shared" si="0"/>
        <v>3.0999999999999999E-3</v>
      </c>
      <c r="C7" t="s">
        <v>75</v>
      </c>
      <c r="D7" t="s">
        <v>2</v>
      </c>
    </row>
    <row r="8" spans="1:4" x14ac:dyDescent="0.25">
      <c r="A8">
        <v>1.1000000000000001</v>
      </c>
      <c r="B8">
        <f t="shared" si="0"/>
        <v>3.9945350512147967E-3</v>
      </c>
      <c r="C8" t="s">
        <v>75</v>
      </c>
      <c r="D8" t="s">
        <v>2</v>
      </c>
    </row>
    <row r="9" spans="1:4" x14ac:dyDescent="0.25">
      <c r="A9">
        <v>1.2</v>
      </c>
      <c r="B9">
        <f t="shared" si="0"/>
        <v>5.0348183726622048E-3</v>
      </c>
      <c r="C9" t="s">
        <v>75</v>
      </c>
      <c r="D9" t="s">
        <v>2</v>
      </c>
    </row>
    <row r="10" spans="1:4" x14ac:dyDescent="0.25">
      <c r="A10">
        <v>1.3</v>
      </c>
      <c r="B10">
        <f t="shared" si="0"/>
        <v>6.2294687418044947E-3</v>
      </c>
      <c r="C10" t="s">
        <v>75</v>
      </c>
      <c r="D10" t="s">
        <v>2</v>
      </c>
    </row>
    <row r="11" spans="1:4" x14ac:dyDescent="0.25">
      <c r="A11">
        <v>1.4</v>
      </c>
      <c r="B11">
        <f t="shared" si="0"/>
        <v>7.5868634697310242E-3</v>
      </c>
      <c r="C11" t="s">
        <v>75</v>
      </c>
      <c r="D11" t="s">
        <v>2</v>
      </c>
    </row>
    <row r="12" spans="1:4" x14ac:dyDescent="0.25">
      <c r="A12">
        <v>1.5</v>
      </c>
      <c r="B12">
        <f t="shared" si="0"/>
        <v>9.1151630772692629E-3</v>
      </c>
      <c r="C12" t="s">
        <v>75</v>
      </c>
      <c r="D12" t="s">
        <v>2</v>
      </c>
    </row>
    <row r="13" spans="1:4" x14ac:dyDescent="0.25">
      <c r="A13">
        <v>1.6</v>
      </c>
      <c r="B13">
        <f t="shared" si="0"/>
        <v>1.082233187323552E-2</v>
      </c>
      <c r="C13" t="s">
        <v>75</v>
      </c>
      <c r="D13" t="s">
        <v>2</v>
      </c>
    </row>
    <row r="14" spans="1:4" x14ac:dyDescent="0.25">
      <c r="A14">
        <v>1.7</v>
      </c>
      <c r="B14">
        <f t="shared" si="0"/>
        <v>1.2716155343011692E-2</v>
      </c>
      <c r="C14" t="s">
        <v>75</v>
      </c>
      <c r="D14" t="s">
        <v>2</v>
      </c>
    </row>
    <row r="15" spans="1:4" x14ac:dyDescent="0.25">
      <c r="A15">
        <v>1.8</v>
      </c>
      <c r="B15">
        <f t="shared" si="0"/>
        <v>1.4804255010079821E-2</v>
      </c>
      <c r="C15" t="s">
        <v>75</v>
      </c>
      <c r="D15" t="s">
        <v>2</v>
      </c>
    </row>
    <row r="16" spans="1:4" x14ac:dyDescent="0.25">
      <c r="A16">
        <v>1.9</v>
      </c>
      <c r="B16">
        <f t="shared" si="0"/>
        <v>1.7094101264572083E-2</v>
      </c>
      <c r="C16" t="s">
        <v>75</v>
      </c>
      <c r="D16" t="s">
        <v>2</v>
      </c>
    </row>
    <row r="17" spans="1:4" x14ac:dyDescent="0.25">
      <c r="A17">
        <v>2</v>
      </c>
      <c r="B17">
        <f t="shared" si="0"/>
        <v>1.9593024534211755E-2</v>
      </c>
      <c r="C17" t="s">
        <v>75</v>
      </c>
      <c r="D17" t="s">
        <v>2</v>
      </c>
    </row>
    <row r="18" spans="1:4" x14ac:dyDescent="0.25">
      <c r="A18">
        <v>2.1</v>
      </c>
      <c r="B18">
        <f t="shared" si="0"/>
        <v>2.230822508760491E-2</v>
      </c>
      <c r="C18" t="s">
        <v>75</v>
      </c>
      <c r="D18" t="s">
        <v>2</v>
      </c>
    </row>
    <row r="19" spans="1:4" x14ac:dyDescent="0.25">
      <c r="A19">
        <v>2.2000000000000002</v>
      </c>
      <c r="B19">
        <f t="shared" si="0"/>
        <v>2.5246781697167847E-2</v>
      </c>
      <c r="C19" t="s">
        <v>75</v>
      </c>
      <c r="D19" t="s">
        <v>2</v>
      </c>
    </row>
    <row r="20" spans="1:4" x14ac:dyDescent="0.25">
      <c r="A20">
        <v>2.2999999999999998</v>
      </c>
      <c r="B20">
        <f t="shared" si="0"/>
        <v>2.8415659342188562E-2</v>
      </c>
      <c r="C20" t="s">
        <v>75</v>
      </c>
      <c r="D20" t="s">
        <v>2</v>
      </c>
    </row>
    <row r="21" spans="1:4" x14ac:dyDescent="0.25">
      <c r="A21">
        <v>2.4</v>
      </c>
      <c r="B21">
        <f t="shared" si="0"/>
        <v>3.1821716097055051E-2</v>
      </c>
      <c r="C21" t="s">
        <v>75</v>
      </c>
      <c r="D21" t="s">
        <v>2</v>
      </c>
    </row>
    <row r="22" spans="1:4" x14ac:dyDescent="0.25">
      <c r="A22">
        <v>2.5</v>
      </c>
      <c r="B22">
        <f t="shared" si="0"/>
        <v>3.5471709322424841E-2</v>
      </c>
      <c r="C22" t="s">
        <v>75</v>
      </c>
      <c r="D22" t="s">
        <v>2</v>
      </c>
    </row>
    <row r="23" spans="1:4" x14ac:dyDescent="0.25">
      <c r="A23">
        <v>2.6</v>
      </c>
      <c r="B23">
        <f t="shared" si="0"/>
        <v>3.9372301255896996E-2</v>
      </c>
      <c r="C23" t="s">
        <v>75</v>
      </c>
      <c r="D23" t="s">
        <v>2</v>
      </c>
    </row>
    <row r="24" spans="1:4" x14ac:dyDescent="0.25">
      <c r="A24">
        <v>2.7</v>
      </c>
      <c r="B24">
        <f t="shared" si="0"/>
        <v>4.3530064082050998E-2</v>
      </c>
      <c r="C24" t="s">
        <v>75</v>
      </c>
      <c r="D24" t="s">
        <v>2</v>
      </c>
    </row>
    <row r="25" spans="1:4" x14ac:dyDescent="0.25">
      <c r="A25">
        <v>2.8</v>
      </c>
      <c r="B25">
        <f t="shared" si="0"/>
        <v>4.7951484548437034E-2</v>
      </c>
      <c r="C25" t="s">
        <v>75</v>
      </c>
      <c r="D25" t="s">
        <v>2</v>
      </c>
    </row>
    <row r="26" spans="1:4" x14ac:dyDescent="0.25">
      <c r="A26">
        <v>2.9</v>
      </c>
      <c r="B26">
        <f t="shared" si="0"/>
        <v>5.2642968183441524E-2</v>
      </c>
      <c r="C26" t="s">
        <v>75</v>
      </c>
      <c r="D26" t="s">
        <v>2</v>
      </c>
    </row>
    <row r="27" spans="1:4" x14ac:dyDescent="0.25">
      <c r="A27">
        <v>3</v>
      </c>
      <c r="B27">
        <f t="shared" si="0"/>
        <v>5.7610843163315439E-2</v>
      </c>
      <c r="C27" t="s">
        <v>75</v>
      </c>
      <c r="D27" t="s">
        <v>2</v>
      </c>
    </row>
    <row r="28" spans="1:4" x14ac:dyDescent="0.25">
      <c r="A28">
        <v>0.5</v>
      </c>
      <c r="B28">
        <f>0.0017*A28^2.65</f>
        <v>2.7084413330534323E-4</v>
      </c>
      <c r="C28" t="s">
        <v>76</v>
      </c>
      <c r="D28" t="s">
        <v>2</v>
      </c>
    </row>
    <row r="29" spans="1:4" x14ac:dyDescent="0.25">
      <c r="A29">
        <v>0.6</v>
      </c>
      <c r="B29">
        <f t="shared" ref="B29:B53" si="1">0.0017*A29^2.65</f>
        <v>4.390861463925727E-4</v>
      </c>
      <c r="C29" t="s">
        <v>76</v>
      </c>
      <c r="D29" t="s">
        <v>2</v>
      </c>
    </row>
    <row r="30" spans="1:4" x14ac:dyDescent="0.25">
      <c r="A30">
        <v>0.7</v>
      </c>
      <c r="B30">
        <f t="shared" si="1"/>
        <v>6.6063066288998839E-4</v>
      </c>
      <c r="C30" t="s">
        <v>76</v>
      </c>
      <c r="D30" t="s">
        <v>2</v>
      </c>
    </row>
    <row r="31" spans="1:4" x14ac:dyDescent="0.25">
      <c r="A31">
        <v>0.8</v>
      </c>
      <c r="B31">
        <f t="shared" si="1"/>
        <v>9.411034963783064E-4</v>
      </c>
      <c r="C31" t="s">
        <v>76</v>
      </c>
      <c r="D31" t="s">
        <v>2</v>
      </c>
    </row>
    <row r="32" spans="1:4" x14ac:dyDescent="0.25">
      <c r="A32">
        <v>0.9</v>
      </c>
      <c r="B32">
        <f t="shared" si="1"/>
        <v>1.2858537370752264E-3</v>
      </c>
      <c r="C32" t="s">
        <v>76</v>
      </c>
      <c r="D32" t="s">
        <v>2</v>
      </c>
    </row>
    <row r="33" spans="1:4" x14ac:dyDescent="0.25">
      <c r="A33">
        <v>1</v>
      </c>
      <c r="B33">
        <f t="shared" si="1"/>
        <v>1.6999999999999999E-3</v>
      </c>
      <c r="C33" t="s">
        <v>76</v>
      </c>
      <c r="D33" t="s">
        <v>2</v>
      </c>
    </row>
    <row r="34" spans="1:4" x14ac:dyDescent="0.25">
      <c r="A34">
        <v>1.1000000000000001</v>
      </c>
      <c r="B34">
        <f t="shared" si="1"/>
        <v>2.1884646557802172E-3</v>
      </c>
      <c r="C34" t="s">
        <v>76</v>
      </c>
      <c r="D34" t="s">
        <v>2</v>
      </c>
    </row>
    <row r="35" spans="1:4" x14ac:dyDescent="0.25">
      <c r="A35">
        <v>1.2</v>
      </c>
      <c r="B35">
        <f t="shared" si="1"/>
        <v>2.7560000645310183E-3</v>
      </c>
      <c r="C35" t="s">
        <v>76</v>
      </c>
      <c r="D35" t="s">
        <v>2</v>
      </c>
    </row>
    <row r="36" spans="1:4" x14ac:dyDescent="0.25">
      <c r="A36">
        <v>1.3</v>
      </c>
      <c r="B36">
        <f t="shared" si="1"/>
        <v>3.4072092412730328E-3</v>
      </c>
      <c r="C36" t="s">
        <v>76</v>
      </c>
      <c r="D36" t="s">
        <v>2</v>
      </c>
    </row>
    <row r="37" spans="1:4" x14ac:dyDescent="0.25">
      <c r="A37">
        <v>1.4</v>
      </c>
      <c r="B37">
        <f t="shared" si="1"/>
        <v>4.146562501491792E-3</v>
      </c>
      <c r="C37" t="s">
        <v>76</v>
      </c>
      <c r="D37" t="s">
        <v>2</v>
      </c>
    </row>
    <row r="38" spans="1:4" x14ac:dyDescent="0.25">
      <c r="A38">
        <v>1.5</v>
      </c>
      <c r="B38">
        <f t="shared" si="1"/>
        <v>4.9784111181533286E-3</v>
      </c>
      <c r="C38" t="s">
        <v>76</v>
      </c>
      <c r="D38" t="s">
        <v>2</v>
      </c>
    </row>
    <row r="39" spans="1:4" x14ac:dyDescent="0.25">
      <c r="A39">
        <v>1.6</v>
      </c>
      <c r="B39">
        <f t="shared" si="1"/>
        <v>5.9069987018676136E-3</v>
      </c>
      <c r="C39" t="s">
        <v>76</v>
      </c>
      <c r="D39" t="s">
        <v>2</v>
      </c>
    </row>
    <row r="40" spans="1:4" x14ac:dyDescent="0.25">
      <c r="A40">
        <v>1.7</v>
      </c>
      <c r="B40">
        <f t="shared" si="1"/>
        <v>6.9364708101476366E-3</v>
      </c>
      <c r="C40" t="s">
        <v>76</v>
      </c>
      <c r="D40" t="s">
        <v>2</v>
      </c>
    </row>
    <row r="41" spans="1:4" x14ac:dyDescent="0.25">
      <c r="A41">
        <v>1.8</v>
      </c>
      <c r="B41">
        <f t="shared" si="1"/>
        <v>8.0708831546426572E-3</v>
      </c>
      <c r="C41" t="s">
        <v>76</v>
      </c>
      <c r="D41" t="s">
        <v>2</v>
      </c>
    </row>
    <row r="42" spans="1:4" x14ac:dyDescent="0.25">
      <c r="A42">
        <v>1.9</v>
      </c>
      <c r="B42">
        <f t="shared" si="1"/>
        <v>9.3142086811928773E-3</v>
      </c>
      <c r="C42" t="s">
        <v>76</v>
      </c>
      <c r="D42" t="s">
        <v>2</v>
      </c>
    </row>
    <row r="43" spans="1:4" x14ac:dyDescent="0.25">
      <c r="A43">
        <v>2</v>
      </c>
      <c r="B43">
        <f t="shared" si="1"/>
        <v>1.0670343731395807E-2</v>
      </c>
      <c r="C43" t="s">
        <v>76</v>
      </c>
      <c r="D43" t="s">
        <v>2</v>
      </c>
    </row>
    <row r="44" spans="1:4" x14ac:dyDescent="0.25">
      <c r="A44">
        <v>2.1</v>
      </c>
      <c r="B44">
        <f t="shared" si="1"/>
        <v>1.2143113446790836E-2</v>
      </c>
      <c r="C44" t="s">
        <v>76</v>
      </c>
      <c r="D44" t="s">
        <v>2</v>
      </c>
    </row>
    <row r="45" spans="1:4" x14ac:dyDescent="0.25">
      <c r="A45">
        <v>2.2000000000000002</v>
      </c>
      <c r="B45">
        <f t="shared" si="1"/>
        <v>1.3736276541873958E-2</v>
      </c>
      <c r="C45" t="s">
        <v>76</v>
      </c>
      <c r="D45" t="s">
        <v>2</v>
      </c>
    </row>
    <row r="46" spans="1:4" x14ac:dyDescent="0.25">
      <c r="A46">
        <v>2.2999999999999998</v>
      </c>
      <c r="B46">
        <f t="shared" si="1"/>
        <v>1.5453529546120301E-2</v>
      </c>
      <c r="C46" t="s">
        <v>76</v>
      </c>
      <c r="D46" t="s">
        <v>2</v>
      </c>
    </row>
    <row r="47" spans="1:4" x14ac:dyDescent="0.25">
      <c r="A47">
        <v>2.4</v>
      </c>
      <c r="B47">
        <f t="shared" si="1"/>
        <v>1.7298510595467644E-2</v>
      </c>
      <c r="C47" t="s">
        <v>76</v>
      </c>
      <c r="D47" t="s">
        <v>2</v>
      </c>
    </row>
    <row r="48" spans="1:4" x14ac:dyDescent="0.25">
      <c r="A48">
        <v>2.5</v>
      </c>
      <c r="B48">
        <f t="shared" si="1"/>
        <v>1.9274802838561655E-2</v>
      </c>
      <c r="C48" t="s">
        <v>76</v>
      </c>
      <c r="D48" t="s">
        <v>2</v>
      </c>
    </row>
    <row r="49" spans="1:4" x14ac:dyDescent="0.25">
      <c r="A49">
        <v>2.6</v>
      </c>
      <c r="B49">
        <f t="shared" si="1"/>
        <v>2.1385937511277393E-2</v>
      </c>
      <c r="C49" t="s">
        <v>76</v>
      </c>
      <c r="D49" t="s">
        <v>2</v>
      </c>
    </row>
    <row r="50" spans="1:4" x14ac:dyDescent="0.25">
      <c r="A50">
        <v>2.7</v>
      </c>
      <c r="B50">
        <f t="shared" si="1"/>
        <v>2.3635396723758483E-2</v>
      </c>
      <c r="C50" t="s">
        <v>76</v>
      </c>
      <c r="D50" t="s">
        <v>2</v>
      </c>
    </row>
    <row r="51" spans="1:4" x14ac:dyDescent="0.25">
      <c r="A51">
        <v>2.8</v>
      </c>
      <c r="B51">
        <f t="shared" si="1"/>
        <v>2.6026615996843444E-2</v>
      </c>
      <c r="C51" t="s">
        <v>76</v>
      </c>
      <c r="D51" t="s">
        <v>2</v>
      </c>
    </row>
    <row r="52" spans="1:4" x14ac:dyDescent="0.25">
      <c r="A52">
        <v>2.9</v>
      </c>
      <c r="B52">
        <f t="shared" si="1"/>
        <v>2.8562986578833306E-2</v>
      </c>
      <c r="C52" t="s">
        <v>76</v>
      </c>
      <c r="D52" t="s">
        <v>2</v>
      </c>
    </row>
    <row r="53" spans="1:4" x14ac:dyDescent="0.25">
      <c r="A53">
        <v>3</v>
      </c>
      <c r="B53">
        <f t="shared" si="1"/>
        <v>3.1247857568763884E-2</v>
      </c>
      <c r="C53" t="s">
        <v>76</v>
      </c>
      <c r="D53" t="s">
        <v>2</v>
      </c>
    </row>
    <row r="54" spans="1:4" x14ac:dyDescent="0.25">
      <c r="A54">
        <v>0.5</v>
      </c>
      <c r="B54">
        <f>0.033*A54^2.05</f>
        <v>7.9689747136299782E-3</v>
      </c>
      <c r="C54" t="s">
        <v>77</v>
      </c>
      <c r="D54" t="s">
        <v>78</v>
      </c>
    </row>
    <row r="55" spans="1:4" x14ac:dyDescent="0.25">
      <c r="A55">
        <v>0.6</v>
      </c>
      <c r="B55">
        <f t="shared" ref="B55:B79" si="2">0.033*A55^2.05</f>
        <v>1.1580411799085505E-2</v>
      </c>
      <c r="C55" t="s">
        <v>77</v>
      </c>
      <c r="D55" t="s">
        <v>78</v>
      </c>
    </row>
    <row r="56" spans="1:4" x14ac:dyDescent="0.25">
      <c r="A56">
        <v>0.7</v>
      </c>
      <c r="B56">
        <f t="shared" si="2"/>
        <v>1.5884184463918004E-2</v>
      </c>
      <c r="C56" t="s">
        <v>77</v>
      </c>
      <c r="D56" t="s">
        <v>78</v>
      </c>
    </row>
    <row r="57" spans="1:4" x14ac:dyDescent="0.25">
      <c r="A57">
        <v>0.8</v>
      </c>
      <c r="B57">
        <f t="shared" si="2"/>
        <v>2.0885670070954272E-2</v>
      </c>
      <c r="C57" t="s">
        <v>77</v>
      </c>
      <c r="D57" t="s">
        <v>78</v>
      </c>
    </row>
    <row r="58" spans="1:4" x14ac:dyDescent="0.25">
      <c r="A58">
        <v>0.9</v>
      </c>
      <c r="B58">
        <f t="shared" si="2"/>
        <v>2.6589555927123098E-2</v>
      </c>
      <c r="C58" t="s">
        <v>77</v>
      </c>
      <c r="D58" t="s">
        <v>78</v>
      </c>
    </row>
    <row r="59" spans="1:4" x14ac:dyDescent="0.25">
      <c r="A59">
        <v>1</v>
      </c>
      <c r="B59">
        <f t="shared" si="2"/>
        <v>3.3000000000000002E-2</v>
      </c>
      <c r="C59" t="s">
        <v>77</v>
      </c>
      <c r="D59" t="s">
        <v>78</v>
      </c>
    </row>
    <row r="60" spans="1:4" x14ac:dyDescent="0.25">
      <c r="A60">
        <v>1.1000000000000001</v>
      </c>
      <c r="B60">
        <f t="shared" si="2"/>
        <v>4.0120740901742148E-2</v>
      </c>
      <c r="C60" t="s">
        <v>77</v>
      </c>
      <c r="D60" t="s">
        <v>78</v>
      </c>
    </row>
    <row r="61" spans="1:4" x14ac:dyDescent="0.25">
      <c r="A61">
        <v>1.2</v>
      </c>
      <c r="B61">
        <f t="shared" si="2"/>
        <v>4.7955176556928165E-2</v>
      </c>
      <c r="C61" t="s">
        <v>77</v>
      </c>
      <c r="D61" t="s">
        <v>78</v>
      </c>
    </row>
    <row r="62" spans="1:4" x14ac:dyDescent="0.25">
      <c r="A62">
        <v>1.3</v>
      </c>
      <c r="B62">
        <f t="shared" si="2"/>
        <v>5.6506422464192248E-2</v>
      </c>
      <c r="C62" t="s">
        <v>77</v>
      </c>
      <c r="D62" t="s">
        <v>78</v>
      </c>
    </row>
    <row r="63" spans="1:4" x14ac:dyDescent="0.25">
      <c r="A63">
        <v>1.4</v>
      </c>
      <c r="B63">
        <f t="shared" si="2"/>
        <v>6.5777356077281857E-2</v>
      </c>
      <c r="C63" t="s">
        <v>77</v>
      </c>
      <c r="D63" t="s">
        <v>78</v>
      </c>
    </row>
    <row r="64" spans="1:4" x14ac:dyDescent="0.25">
      <c r="A64">
        <v>1.5</v>
      </c>
      <c r="B64">
        <f t="shared" si="2"/>
        <v>7.5770651408471862E-2</v>
      </c>
      <c r="C64" t="s">
        <v>77</v>
      </c>
      <c r="D64" t="s">
        <v>78</v>
      </c>
    </row>
    <row r="65" spans="1:4" x14ac:dyDescent="0.25">
      <c r="A65">
        <v>1.6</v>
      </c>
      <c r="B65">
        <f t="shared" si="2"/>
        <v>8.6488806541530447E-2</v>
      </c>
      <c r="C65" t="s">
        <v>77</v>
      </c>
      <c r="D65" t="s">
        <v>78</v>
      </c>
    </row>
    <row r="66" spans="1:4" x14ac:dyDescent="0.25">
      <c r="A66">
        <v>1.7</v>
      </c>
      <c r="B66">
        <f t="shared" si="2"/>
        <v>9.7934165875215626E-2</v>
      </c>
      <c r="C66" t="s">
        <v>77</v>
      </c>
      <c r="D66" t="s">
        <v>78</v>
      </c>
    </row>
    <row r="67" spans="1:4" x14ac:dyDescent="0.25">
      <c r="A67">
        <v>1.8</v>
      </c>
      <c r="B67">
        <f t="shared" si="2"/>
        <v>0.11010893836747655</v>
      </c>
      <c r="C67" t="s">
        <v>77</v>
      </c>
      <c r="D67" t="s">
        <v>78</v>
      </c>
    </row>
    <row r="68" spans="1:4" x14ac:dyDescent="0.25">
      <c r="A68">
        <v>1.9</v>
      </c>
      <c r="B68">
        <f t="shared" si="2"/>
        <v>0.12301521268861715</v>
      </c>
      <c r="C68" t="s">
        <v>77</v>
      </c>
      <c r="D68" t="s">
        <v>78</v>
      </c>
    </row>
    <row r="69" spans="1:4" x14ac:dyDescent="0.25">
      <c r="A69">
        <v>2</v>
      </c>
      <c r="B69">
        <f t="shared" si="2"/>
        <v>0.13665496994706178</v>
      </c>
      <c r="C69" t="s">
        <v>77</v>
      </c>
      <c r="D69" t="s">
        <v>78</v>
      </c>
    </row>
    <row r="70" spans="1:4" x14ac:dyDescent="0.25">
      <c r="A70">
        <v>2.1</v>
      </c>
      <c r="B70">
        <f t="shared" si="2"/>
        <v>0.15103009448189852</v>
      </c>
      <c r="C70" t="s">
        <v>77</v>
      </c>
      <c r="D70" t="s">
        <v>78</v>
      </c>
    </row>
    <row r="71" spans="1:4" x14ac:dyDescent="0.25">
      <c r="A71">
        <v>2.2000000000000002</v>
      </c>
      <c r="B71">
        <f t="shared" si="2"/>
        <v>0.16614238309640686</v>
      </c>
      <c r="C71" t="s">
        <v>77</v>
      </c>
      <c r="D71" t="s">
        <v>78</v>
      </c>
    </row>
    <row r="72" spans="1:4" x14ac:dyDescent="0.25">
      <c r="A72">
        <v>2.2999999999999998</v>
      </c>
      <c r="B72">
        <f t="shared" si="2"/>
        <v>0.18199355302019815</v>
      </c>
      <c r="C72" t="s">
        <v>77</v>
      </c>
      <c r="D72" t="s">
        <v>78</v>
      </c>
    </row>
    <row r="73" spans="1:4" x14ac:dyDescent="0.25">
      <c r="A73">
        <v>2.4</v>
      </c>
      <c r="B73">
        <f t="shared" si="2"/>
        <v>0.19858524882403214</v>
      </c>
      <c r="C73" t="s">
        <v>77</v>
      </c>
      <c r="D73" t="s">
        <v>78</v>
      </c>
    </row>
    <row r="74" spans="1:4" x14ac:dyDescent="0.25">
      <c r="A74">
        <v>2.5</v>
      </c>
      <c r="B74">
        <f t="shared" si="2"/>
        <v>0.2159190484639785</v>
      </c>
      <c r="C74" t="s">
        <v>77</v>
      </c>
      <c r="D74" t="s">
        <v>78</v>
      </c>
    </row>
    <row r="75" spans="1:4" x14ac:dyDescent="0.25">
      <c r="A75">
        <v>2.6</v>
      </c>
      <c r="B75">
        <f t="shared" si="2"/>
        <v>0.23399646859576276</v>
      </c>
      <c r="C75" t="s">
        <v>77</v>
      </c>
      <c r="D75" t="s">
        <v>78</v>
      </c>
    </row>
    <row r="76" spans="1:4" x14ac:dyDescent="0.25">
      <c r="A76">
        <v>2.7</v>
      </c>
      <c r="B76">
        <f t="shared" si="2"/>
        <v>0.25281896927269637</v>
      </c>
      <c r="C76" t="s">
        <v>77</v>
      </c>
      <c r="D76" t="s">
        <v>78</v>
      </c>
    </row>
    <row r="77" spans="1:4" x14ac:dyDescent="0.25">
      <c r="A77">
        <v>2.8</v>
      </c>
      <c r="B77">
        <f t="shared" si="2"/>
        <v>0.27238795811933741</v>
      </c>
      <c r="C77" t="s">
        <v>77</v>
      </c>
      <c r="D77" t="s">
        <v>78</v>
      </c>
    </row>
    <row r="78" spans="1:4" x14ac:dyDescent="0.25">
      <c r="A78">
        <v>2.9</v>
      </c>
      <c r="B78">
        <f t="shared" si="2"/>
        <v>0.29270479405639244</v>
      </c>
      <c r="C78" t="s">
        <v>77</v>
      </c>
      <c r="D78" t="s">
        <v>78</v>
      </c>
    </row>
    <row r="79" spans="1:4" x14ac:dyDescent="0.25">
      <c r="A79">
        <v>3</v>
      </c>
      <c r="B79">
        <f t="shared" si="2"/>
        <v>0.3137707906392127</v>
      </c>
      <c r="C79" t="s">
        <v>77</v>
      </c>
      <c r="D79" t="s">
        <v>78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0F41C-7C80-4D86-BC14-76666B23B193}">
  <dimension ref="A1:D53"/>
  <sheetViews>
    <sheetView workbookViewId="0">
      <selection activeCell="D9" sqref="D9"/>
    </sheetView>
  </sheetViews>
  <sheetFormatPr defaultRowHeight="15" x14ac:dyDescent="0.25"/>
  <cols>
    <col min="1" max="1" width="13.140625" bestFit="1" customWidth="1"/>
    <col min="2" max="2" width="9.5703125" bestFit="1" customWidth="1"/>
  </cols>
  <sheetData>
    <row r="1" spans="1:4" x14ac:dyDescent="0.25">
      <c r="A1" t="s">
        <v>81</v>
      </c>
      <c r="B1" t="s">
        <v>6</v>
      </c>
      <c r="C1" t="s">
        <v>18</v>
      </c>
      <c r="D1" t="s">
        <v>68</v>
      </c>
    </row>
    <row r="2" spans="1:4" x14ac:dyDescent="0.25">
      <c r="A2">
        <v>0.5</v>
      </c>
      <c r="B2">
        <f>0.026*A2^2.09</f>
        <v>6.1068978698910767E-3</v>
      </c>
      <c r="C2" t="s">
        <v>82</v>
      </c>
      <c r="D2" t="s">
        <v>2</v>
      </c>
    </row>
    <row r="3" spans="1:4" x14ac:dyDescent="0.25">
      <c r="A3">
        <v>0.6</v>
      </c>
      <c r="B3">
        <f t="shared" ref="B3:B27" si="0">0.026*A3^2.09</f>
        <v>8.9394224514327564E-3</v>
      </c>
      <c r="C3" t="s">
        <v>82</v>
      </c>
      <c r="D3" t="s">
        <v>2</v>
      </c>
    </row>
    <row r="4" spans="1:4" x14ac:dyDescent="0.25">
      <c r="A4">
        <v>0.7</v>
      </c>
      <c r="B4">
        <f t="shared" si="0"/>
        <v>1.2337530849092846E-2</v>
      </c>
      <c r="C4" t="s">
        <v>82</v>
      </c>
      <c r="D4" t="s">
        <v>2</v>
      </c>
    </row>
    <row r="5" spans="1:4" x14ac:dyDescent="0.25">
      <c r="A5">
        <v>0.8</v>
      </c>
      <c r="B5">
        <f t="shared" si="0"/>
        <v>1.6309153518970495E-2</v>
      </c>
      <c r="C5" t="s">
        <v>82</v>
      </c>
      <c r="D5" t="s">
        <v>2</v>
      </c>
    </row>
    <row r="6" spans="1:4" x14ac:dyDescent="0.25">
      <c r="A6">
        <v>0.9</v>
      </c>
      <c r="B6">
        <f t="shared" si="0"/>
        <v>2.0861243516765712E-2</v>
      </c>
      <c r="C6" t="s">
        <v>82</v>
      </c>
      <c r="D6" t="s">
        <v>2</v>
      </c>
    </row>
    <row r="7" spans="1:4" x14ac:dyDescent="0.25">
      <c r="A7">
        <v>1</v>
      </c>
      <c r="B7">
        <f t="shared" si="0"/>
        <v>2.5999999999999999E-2</v>
      </c>
      <c r="C7" t="s">
        <v>82</v>
      </c>
      <c r="D7" t="s">
        <v>2</v>
      </c>
    </row>
    <row r="8" spans="1:4" x14ac:dyDescent="0.25">
      <c r="A8">
        <v>1.1000000000000001</v>
      </c>
      <c r="B8">
        <f t="shared" si="0"/>
        <v>3.1731021983196675E-2</v>
      </c>
      <c r="C8" t="s">
        <v>82</v>
      </c>
      <c r="D8" t="s">
        <v>2</v>
      </c>
    </row>
    <row r="9" spans="1:4" x14ac:dyDescent="0.25">
      <c r="A9">
        <v>1.2</v>
      </c>
      <c r="B9">
        <f t="shared" si="0"/>
        <v>3.8059418822636575E-2</v>
      </c>
      <c r="C9" t="s">
        <v>82</v>
      </c>
      <c r="D9" t="s">
        <v>2</v>
      </c>
    </row>
    <row r="10" spans="1:4" x14ac:dyDescent="0.25">
      <c r="A10">
        <v>1.3</v>
      </c>
      <c r="B10">
        <f t="shared" si="0"/>
        <v>4.4989892379795247E-2</v>
      </c>
      <c r="C10" t="s">
        <v>82</v>
      </c>
      <c r="D10" t="s">
        <v>2</v>
      </c>
    </row>
    <row r="11" spans="1:4" x14ac:dyDescent="0.25">
      <c r="A11">
        <v>1.4</v>
      </c>
      <c r="B11">
        <f t="shared" si="0"/>
        <v>5.2526799843491623E-2</v>
      </c>
      <c r="C11" t="s">
        <v>82</v>
      </c>
      <c r="D11" t="s">
        <v>2</v>
      </c>
    </row>
    <row r="12" spans="1:4" x14ac:dyDescent="0.25">
      <c r="A12">
        <v>1.5</v>
      </c>
      <c r="B12">
        <f t="shared" si="0"/>
        <v>6.0674202878618536E-2</v>
      </c>
      <c r="C12" t="s">
        <v>82</v>
      </c>
      <c r="D12" t="s">
        <v>2</v>
      </c>
    </row>
    <row r="13" spans="1:4" x14ac:dyDescent="0.25">
      <c r="A13">
        <v>1.6</v>
      </c>
      <c r="B13">
        <f t="shared" si="0"/>
        <v>6.9435906826585916E-2</v>
      </c>
      <c r="C13" t="s">
        <v>82</v>
      </c>
      <c r="D13" t="s">
        <v>2</v>
      </c>
    </row>
    <row r="14" spans="1:4" x14ac:dyDescent="0.25">
      <c r="A14">
        <v>1.7</v>
      </c>
      <c r="B14">
        <f t="shared" si="0"/>
        <v>7.881549248990613E-2</v>
      </c>
      <c r="C14" t="s">
        <v>82</v>
      </c>
      <c r="D14" t="s">
        <v>2</v>
      </c>
    </row>
    <row r="15" spans="1:4" x14ac:dyDescent="0.25">
      <c r="A15">
        <v>1.8</v>
      </c>
      <c r="B15">
        <f t="shared" si="0"/>
        <v>8.8816342272575552E-2</v>
      </c>
      <c r="C15" t="s">
        <v>82</v>
      </c>
      <c r="D15" t="s">
        <v>2</v>
      </c>
    </row>
    <row r="16" spans="1:4" x14ac:dyDescent="0.25">
      <c r="A16">
        <v>1.9</v>
      </c>
      <c r="B16">
        <f t="shared" si="0"/>
        <v>9.9441661946586254E-2</v>
      </c>
      <c r="C16" t="s">
        <v>82</v>
      </c>
      <c r="D16" t="s">
        <v>2</v>
      </c>
    </row>
    <row r="17" spans="1:4" x14ac:dyDescent="0.25">
      <c r="A17">
        <v>2</v>
      </c>
      <c r="B17">
        <f t="shared" si="0"/>
        <v>0.11069449897514941</v>
      </c>
      <c r="C17" t="s">
        <v>82</v>
      </c>
      <c r="D17" t="s">
        <v>2</v>
      </c>
    </row>
    <row r="18" spans="1:4" x14ac:dyDescent="0.25">
      <c r="A18">
        <v>2.1</v>
      </c>
      <c r="B18">
        <f t="shared" si="0"/>
        <v>0.12257775808725384</v>
      </c>
      <c r="C18" t="s">
        <v>82</v>
      </c>
      <c r="D18" t="s">
        <v>2</v>
      </c>
    </row>
    <row r="19" spans="1:4" x14ac:dyDescent="0.25">
      <c r="A19">
        <v>2.2000000000000002</v>
      </c>
      <c r="B19">
        <f t="shared" si="0"/>
        <v>0.13509421463074647</v>
      </c>
      <c r="C19" t="s">
        <v>82</v>
      </c>
      <c r="D19" t="s">
        <v>2</v>
      </c>
    </row>
    <row r="20" spans="1:4" x14ac:dyDescent="0.25">
      <c r="A20">
        <v>2.2999999999999998</v>
      </c>
      <c r="B20">
        <f t="shared" si="0"/>
        <v>0.14824652611001746</v>
      </c>
      <c r="C20" t="s">
        <v>82</v>
      </c>
      <c r="D20" t="s">
        <v>2</v>
      </c>
    </row>
    <row r="21" spans="1:4" x14ac:dyDescent="0.25">
      <c r="A21">
        <v>2.4</v>
      </c>
      <c r="B21">
        <f t="shared" si="0"/>
        <v>0.16203724222527405</v>
      </c>
      <c r="C21" t="s">
        <v>82</v>
      </c>
      <c r="D21" t="s">
        <v>2</v>
      </c>
    </row>
    <row r="22" spans="1:4" x14ac:dyDescent="0.25">
      <c r="A22">
        <v>2.5</v>
      </c>
      <c r="B22">
        <f t="shared" si="0"/>
        <v>0.17646881366382289</v>
      </c>
      <c r="C22" t="s">
        <v>82</v>
      </c>
      <c r="D22" t="s">
        <v>2</v>
      </c>
    </row>
    <row r="23" spans="1:4" x14ac:dyDescent="0.25">
      <c r="A23">
        <v>2.6</v>
      </c>
      <c r="B23">
        <f t="shared" si="0"/>
        <v>0.19154359984335873</v>
      </c>
      <c r="C23" t="s">
        <v>82</v>
      </c>
      <c r="D23" t="s">
        <v>2</v>
      </c>
    </row>
    <row r="24" spans="1:4" x14ac:dyDescent="0.25">
      <c r="A24">
        <v>2.7</v>
      </c>
      <c r="B24">
        <f t="shared" si="0"/>
        <v>0.2072638757685798</v>
      </c>
      <c r="C24" t="s">
        <v>82</v>
      </c>
      <c r="D24" t="s">
        <v>2</v>
      </c>
    </row>
    <row r="25" spans="1:4" x14ac:dyDescent="0.25">
      <c r="A25">
        <v>2.8</v>
      </c>
      <c r="B25">
        <f t="shared" si="0"/>
        <v>0.22363183813243317</v>
      </c>
      <c r="C25" t="s">
        <v>82</v>
      </c>
      <c r="D25" t="s">
        <v>2</v>
      </c>
    </row>
    <row r="26" spans="1:4" x14ac:dyDescent="0.25">
      <c r="A26">
        <v>2.9</v>
      </c>
      <c r="B26">
        <f t="shared" si="0"/>
        <v>0.24064961076976529</v>
      </c>
      <c r="C26" t="s">
        <v>82</v>
      </c>
      <c r="D26" t="s">
        <v>2</v>
      </c>
    </row>
    <row r="27" spans="1:4" x14ac:dyDescent="0.25">
      <c r="A27">
        <v>3</v>
      </c>
      <c r="B27">
        <f t="shared" si="0"/>
        <v>0.25831924955250951</v>
      </c>
      <c r="C27" t="s">
        <v>82</v>
      </c>
      <c r="D27" t="s">
        <v>2</v>
      </c>
    </row>
    <row r="28" spans="1:4" x14ac:dyDescent="0.25">
      <c r="A28">
        <v>0.5</v>
      </c>
      <c r="B28">
        <f>0.0269*A28^2.5</f>
        <v>4.7552931034795321E-3</v>
      </c>
      <c r="C28" t="s">
        <v>82</v>
      </c>
      <c r="D28" t="s">
        <v>2</v>
      </c>
    </row>
    <row r="29" spans="1:4" x14ac:dyDescent="0.25">
      <c r="A29">
        <v>0.6</v>
      </c>
      <c r="B29">
        <f t="shared" ref="B29:B53" si="1">0.0269*A29^2.5</f>
        <v>7.5011941449345263E-3</v>
      </c>
      <c r="C29" t="s">
        <v>82</v>
      </c>
      <c r="D29" t="s">
        <v>2</v>
      </c>
    </row>
    <row r="30" spans="1:4" x14ac:dyDescent="0.25">
      <c r="A30">
        <v>0.7</v>
      </c>
      <c r="B30">
        <f t="shared" si="1"/>
        <v>1.1028015809745649E-2</v>
      </c>
      <c r="C30" t="s">
        <v>82</v>
      </c>
      <c r="D30" t="s">
        <v>2</v>
      </c>
    </row>
    <row r="31" spans="1:4" x14ac:dyDescent="0.25">
      <c r="A31">
        <v>0.8</v>
      </c>
      <c r="B31">
        <f t="shared" si="1"/>
        <v>1.5398458520254553E-2</v>
      </c>
      <c r="C31" t="s">
        <v>82</v>
      </c>
      <c r="D31" t="s">
        <v>2</v>
      </c>
    </row>
    <row r="32" spans="1:4" x14ac:dyDescent="0.25">
      <c r="A32">
        <v>0.9</v>
      </c>
      <c r="B32">
        <f t="shared" si="1"/>
        <v>2.0670860381222646E-2</v>
      </c>
      <c r="C32" t="s">
        <v>82</v>
      </c>
      <c r="D32" t="s">
        <v>2</v>
      </c>
    </row>
    <row r="33" spans="1:4" x14ac:dyDescent="0.25">
      <c r="A33">
        <v>1</v>
      </c>
      <c r="B33">
        <f t="shared" si="1"/>
        <v>2.69E-2</v>
      </c>
      <c r="C33" t="s">
        <v>83</v>
      </c>
      <c r="D33" t="s">
        <v>2</v>
      </c>
    </row>
    <row r="34" spans="1:4" x14ac:dyDescent="0.25">
      <c r="A34">
        <v>1.1000000000000001</v>
      </c>
      <c r="B34">
        <f t="shared" si="1"/>
        <v>3.4137679199090269E-2</v>
      </c>
      <c r="C34" t="s">
        <v>83</v>
      </c>
      <c r="D34" t="s">
        <v>2</v>
      </c>
    </row>
    <row r="35" spans="1:4" x14ac:dyDescent="0.25">
      <c r="A35">
        <v>1.2</v>
      </c>
      <c r="B35">
        <f t="shared" si="1"/>
        <v>4.2433161975040226E-2</v>
      </c>
      <c r="C35" t="s">
        <v>83</v>
      </c>
      <c r="D35" t="s">
        <v>2</v>
      </c>
    </row>
    <row r="36" spans="1:4" x14ac:dyDescent="0.25">
      <c r="A36">
        <v>1.3</v>
      </c>
      <c r="B36">
        <f t="shared" si="1"/>
        <v>5.1833515000431908E-2</v>
      </c>
      <c r="C36" t="s">
        <v>83</v>
      </c>
      <c r="D36" t="s">
        <v>2</v>
      </c>
    </row>
    <row r="37" spans="1:4" x14ac:dyDescent="0.25">
      <c r="A37">
        <v>1.4</v>
      </c>
      <c r="B37">
        <f t="shared" si="1"/>
        <v>6.2383878096828833E-2</v>
      </c>
      <c r="C37" t="s">
        <v>83</v>
      </c>
      <c r="D37" t="s">
        <v>2</v>
      </c>
    </row>
    <row r="38" spans="1:4" x14ac:dyDescent="0.25">
      <c r="A38">
        <v>1.5</v>
      </c>
      <c r="B38">
        <f t="shared" si="1"/>
        <v>7.4127683340975942E-2</v>
      </c>
      <c r="C38" t="s">
        <v>83</v>
      </c>
      <c r="D38" t="s">
        <v>2</v>
      </c>
    </row>
    <row r="39" spans="1:4" x14ac:dyDescent="0.25">
      <c r="A39">
        <v>1.6</v>
      </c>
      <c r="B39">
        <f t="shared" si="1"/>
        <v>8.7106835515934122E-2</v>
      </c>
      <c r="C39" t="s">
        <v>83</v>
      </c>
      <c r="D39" t="s">
        <v>2</v>
      </c>
    </row>
    <row r="40" spans="1:4" x14ac:dyDescent="0.25">
      <c r="A40">
        <v>1.7</v>
      </c>
      <c r="B40">
        <f t="shared" si="1"/>
        <v>0.10136186283657182</v>
      </c>
      <c r="C40" t="s">
        <v>83</v>
      </c>
      <c r="D40" t="s">
        <v>2</v>
      </c>
    </row>
    <row r="41" spans="1:4" x14ac:dyDescent="0.25">
      <c r="A41">
        <v>1.8</v>
      </c>
      <c r="B41">
        <f t="shared" si="1"/>
        <v>0.11693204438818301</v>
      </c>
      <c r="C41" t="s">
        <v>83</v>
      </c>
      <c r="D41" t="s">
        <v>2</v>
      </c>
    </row>
    <row r="42" spans="1:4" x14ac:dyDescent="0.25">
      <c r="A42">
        <v>1.9</v>
      </c>
      <c r="B42">
        <f t="shared" si="1"/>
        <v>0.13385551902667292</v>
      </c>
      <c r="C42" t="s">
        <v>83</v>
      </c>
      <c r="D42" t="s">
        <v>2</v>
      </c>
    </row>
    <row r="43" spans="1:4" x14ac:dyDescent="0.25">
      <c r="A43">
        <v>2</v>
      </c>
      <c r="B43">
        <f t="shared" si="1"/>
        <v>0.15216937931134503</v>
      </c>
      <c r="C43" t="s">
        <v>83</v>
      </c>
      <c r="D43" t="s">
        <v>2</v>
      </c>
    </row>
    <row r="44" spans="1:4" x14ac:dyDescent="0.25">
      <c r="A44">
        <v>2.1</v>
      </c>
      <c r="B44">
        <f t="shared" si="1"/>
        <v>0.17190975320237073</v>
      </c>
      <c r="C44" t="s">
        <v>83</v>
      </c>
      <c r="D44" t="s">
        <v>2</v>
      </c>
    </row>
    <row r="45" spans="1:4" x14ac:dyDescent="0.25">
      <c r="A45">
        <v>2.2000000000000002</v>
      </c>
      <c r="B45">
        <f t="shared" si="1"/>
        <v>0.19311187564518142</v>
      </c>
      <c r="C45" t="s">
        <v>83</v>
      </c>
      <c r="D45" t="s">
        <v>2</v>
      </c>
    </row>
    <row r="46" spans="1:4" x14ac:dyDescent="0.25">
      <c r="A46">
        <v>2.2999999999999998</v>
      </c>
      <c r="B46">
        <f t="shared" si="1"/>
        <v>0.21581015171279588</v>
      </c>
      <c r="C46" t="s">
        <v>83</v>
      </c>
      <c r="D46" t="s">
        <v>2</v>
      </c>
    </row>
    <row r="47" spans="1:4" x14ac:dyDescent="0.25">
      <c r="A47">
        <v>2.4</v>
      </c>
      <c r="B47">
        <f t="shared" si="1"/>
        <v>0.24003821263790484</v>
      </c>
      <c r="C47" t="s">
        <v>83</v>
      </c>
      <c r="D47" t="s">
        <v>2</v>
      </c>
    </row>
    <row r="48" spans="1:4" x14ac:dyDescent="0.25">
      <c r="A48">
        <v>2.5</v>
      </c>
      <c r="B48">
        <f t="shared" si="1"/>
        <v>0.26582896580790444</v>
      </c>
      <c r="C48" t="s">
        <v>83</v>
      </c>
      <c r="D48" t="s">
        <v>2</v>
      </c>
    </row>
    <row r="49" spans="1:4" x14ac:dyDescent="0.25">
      <c r="A49">
        <v>2.6</v>
      </c>
      <c r="B49">
        <f t="shared" si="1"/>
        <v>0.29321463959632027</v>
      </c>
      <c r="C49" t="s">
        <v>83</v>
      </c>
      <c r="D49" t="s">
        <v>2</v>
      </c>
    </row>
    <row r="50" spans="1:4" x14ac:dyDescent="0.25">
      <c r="A50">
        <v>2.7</v>
      </c>
      <c r="B50">
        <f t="shared" si="1"/>
        <v>0.32222682374796174</v>
      </c>
      <c r="C50" t="s">
        <v>83</v>
      </c>
      <c r="D50" t="s">
        <v>2</v>
      </c>
    </row>
    <row r="51" spans="1:4" x14ac:dyDescent="0.25">
      <c r="A51">
        <v>2.8</v>
      </c>
      <c r="B51">
        <f t="shared" si="1"/>
        <v>0.35289650591186073</v>
      </c>
      <c r="C51" t="s">
        <v>83</v>
      </c>
      <c r="D51" t="s">
        <v>2</v>
      </c>
    </row>
    <row r="52" spans="1:4" x14ac:dyDescent="0.25">
      <c r="A52">
        <v>2.9</v>
      </c>
      <c r="B52">
        <f t="shared" si="1"/>
        <v>0.38525410481771621</v>
      </c>
      <c r="C52" t="s">
        <v>83</v>
      </c>
      <c r="D52" t="s">
        <v>2</v>
      </c>
    </row>
    <row r="53" spans="1:4" x14ac:dyDescent="0.25">
      <c r="A53">
        <v>3</v>
      </c>
      <c r="B53">
        <f t="shared" si="1"/>
        <v>0.41932950051242535</v>
      </c>
      <c r="C53" t="s">
        <v>83</v>
      </c>
      <c r="D53" t="s">
        <v>2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BE644-0960-416C-B3B5-CA5BA72A86D5}">
  <dimension ref="A1:D28"/>
  <sheetViews>
    <sheetView workbookViewId="0">
      <selection activeCell="T15" sqref="T15"/>
    </sheetView>
  </sheetViews>
  <sheetFormatPr defaultRowHeight="15" x14ac:dyDescent="0.25"/>
  <cols>
    <col min="3" max="3" width="12" bestFit="1" customWidth="1"/>
  </cols>
  <sheetData>
    <row r="1" spans="1:4" x14ac:dyDescent="0.25">
      <c r="A1" t="s">
        <v>31</v>
      </c>
      <c r="B1" t="s">
        <v>69</v>
      </c>
      <c r="C1" t="s">
        <v>16</v>
      </c>
      <c r="D1" t="s">
        <v>68</v>
      </c>
    </row>
    <row r="2" spans="1:4" x14ac:dyDescent="0.25">
      <c r="A2">
        <v>0.33735853505187002</v>
      </c>
      <c r="B2">
        <v>0.65337649324111802</v>
      </c>
      <c r="C2">
        <f>B2/1000*0.71</f>
        <v>4.6389731020119373E-4</v>
      </c>
      <c r="D2" t="s">
        <v>29</v>
      </c>
    </row>
    <row r="3" spans="1:4" x14ac:dyDescent="0.25">
      <c r="A3">
        <v>0.36608770826783998</v>
      </c>
      <c r="B3">
        <v>0.67252829298962502</v>
      </c>
      <c r="C3">
        <f t="shared" ref="C3:C20" si="0">B3/1000*0.71</f>
        <v>4.7749508802263371E-4</v>
      </c>
      <c r="D3" t="s">
        <v>29</v>
      </c>
    </row>
    <row r="4" spans="1:4" x14ac:dyDescent="0.25">
      <c r="A4">
        <v>0.33761788745677401</v>
      </c>
      <c r="B4">
        <v>1.0958965341087601</v>
      </c>
      <c r="C4">
        <f t="shared" si="0"/>
        <v>7.7808653921721958E-4</v>
      </c>
      <c r="D4" t="s">
        <v>29</v>
      </c>
    </row>
    <row r="5" spans="1:4" x14ac:dyDescent="0.25">
      <c r="A5">
        <v>0.36431939641622102</v>
      </c>
      <c r="B5">
        <v>1.15534619616472</v>
      </c>
      <c r="C5">
        <f t="shared" si="0"/>
        <v>8.2029579927695112E-4</v>
      </c>
      <c r="D5" t="s">
        <v>29</v>
      </c>
    </row>
    <row r="6" spans="1:4" x14ac:dyDescent="0.25">
      <c r="A6">
        <v>0.37466991512103098</v>
      </c>
      <c r="B6">
        <v>1.3159187362464599</v>
      </c>
      <c r="C6">
        <f t="shared" si="0"/>
        <v>9.3430230273498652E-4</v>
      </c>
      <c r="D6" t="s">
        <v>29</v>
      </c>
    </row>
    <row r="7" spans="1:4" x14ac:dyDescent="0.25">
      <c r="A7">
        <v>0.36891700723043003</v>
      </c>
      <c r="B7">
        <v>2.0000196479094599</v>
      </c>
      <c r="C7">
        <f t="shared" si="0"/>
        <v>1.4200139500157166E-3</v>
      </c>
      <c r="D7" t="s">
        <v>29</v>
      </c>
    </row>
    <row r="8" spans="1:4" x14ac:dyDescent="0.25">
      <c r="A8">
        <v>0.47079534737503898</v>
      </c>
      <c r="B8">
        <v>0.82993751964790896</v>
      </c>
      <c r="C8">
        <f t="shared" si="0"/>
        <v>5.8925563895001541E-4</v>
      </c>
      <c r="D8" t="s">
        <v>29</v>
      </c>
    </row>
    <row r="9" spans="1:4" x14ac:dyDescent="0.25">
      <c r="A9">
        <v>0.47266975793775501</v>
      </c>
      <c r="B9">
        <v>0.52815054228230096</v>
      </c>
      <c r="C9">
        <f t="shared" si="0"/>
        <v>3.7498688502043368E-4</v>
      </c>
      <c r="D9" t="s">
        <v>29</v>
      </c>
    </row>
    <row r="10" spans="1:4" x14ac:dyDescent="0.25">
      <c r="A10">
        <v>0.557701980509273</v>
      </c>
      <c r="B10">
        <v>2.1143803049355498</v>
      </c>
      <c r="C10">
        <f t="shared" si="0"/>
        <v>1.5012100165042402E-3</v>
      </c>
      <c r="D10" t="s">
        <v>29</v>
      </c>
    </row>
    <row r="11" spans="1:4" x14ac:dyDescent="0.25">
      <c r="A11">
        <v>0.55800848789688695</v>
      </c>
      <c r="B11">
        <v>2.6373585350518698</v>
      </c>
      <c r="C11">
        <f t="shared" si="0"/>
        <v>1.8725245598868274E-3</v>
      </c>
      <c r="D11" t="s">
        <v>29</v>
      </c>
    </row>
    <row r="12" spans="1:4" x14ac:dyDescent="0.25">
      <c r="A12">
        <v>0.58863564916692801</v>
      </c>
      <c r="B12">
        <v>2.3949524520590999</v>
      </c>
      <c r="C12">
        <f t="shared" si="0"/>
        <v>1.7004162409619608E-3</v>
      </c>
      <c r="D12" t="s">
        <v>29</v>
      </c>
    </row>
    <row r="13" spans="1:4" x14ac:dyDescent="0.25">
      <c r="A13">
        <v>0.58690270355234198</v>
      </c>
      <c r="B13">
        <v>2.9381139971707002</v>
      </c>
      <c r="C13">
        <f t="shared" si="0"/>
        <v>2.0860609379911971E-3</v>
      </c>
      <c r="D13" t="s">
        <v>29</v>
      </c>
    </row>
    <row r="14" spans="1:4" x14ac:dyDescent="0.25">
      <c r="A14">
        <v>0.68967698836843705</v>
      </c>
      <c r="B14">
        <v>3.2967374646337602</v>
      </c>
      <c r="C14">
        <f t="shared" si="0"/>
        <v>2.3406835998899694E-3</v>
      </c>
      <c r="D14" t="s">
        <v>29</v>
      </c>
    </row>
    <row r="15" spans="1:4" x14ac:dyDescent="0.25">
      <c r="A15">
        <v>0.74093445457403295</v>
      </c>
      <c r="B15">
        <v>3.2547891779314599</v>
      </c>
      <c r="C15">
        <f t="shared" si="0"/>
        <v>2.3109003163313364E-3</v>
      </c>
      <c r="D15" t="s">
        <v>29</v>
      </c>
    </row>
    <row r="16" spans="1:4" x14ac:dyDescent="0.25">
      <c r="A16">
        <v>0.694333542911034</v>
      </c>
      <c r="B16">
        <v>4.2419836529393198</v>
      </c>
      <c r="C16">
        <f t="shared" si="0"/>
        <v>3.0118083935869173E-3</v>
      </c>
      <c r="D16" t="s">
        <v>29</v>
      </c>
    </row>
    <row r="17" spans="1:4" x14ac:dyDescent="0.25">
      <c r="A17">
        <v>0.74411741590694702</v>
      </c>
      <c r="B17">
        <v>5.1857169522162803</v>
      </c>
      <c r="C17">
        <f t="shared" si="0"/>
        <v>3.6818590360735591E-3</v>
      </c>
      <c r="D17" t="s">
        <v>29</v>
      </c>
    </row>
    <row r="18" spans="1:4" x14ac:dyDescent="0.25">
      <c r="A18">
        <v>1.0056978937440999</v>
      </c>
      <c r="B18">
        <v>7.0074072618673302</v>
      </c>
      <c r="C18">
        <f t="shared" si="0"/>
        <v>4.9752591559258045E-3</v>
      </c>
      <c r="D18" t="s">
        <v>29</v>
      </c>
    </row>
    <row r="19" spans="1:4" x14ac:dyDescent="0.25">
      <c r="A19">
        <v>1.00354055328513</v>
      </c>
      <c r="B19">
        <v>10.3264451037409</v>
      </c>
      <c r="C19">
        <f t="shared" si="0"/>
        <v>7.331776023656038E-3</v>
      </c>
      <c r="D19" t="s">
        <v>29</v>
      </c>
    </row>
    <row r="20" spans="1:4" x14ac:dyDescent="0.25">
      <c r="A20">
        <v>1.2599221942785199</v>
      </c>
      <c r="B20">
        <v>13.777620048726799</v>
      </c>
      <c r="C20">
        <f t="shared" si="0"/>
        <v>9.7821102345960267E-3</v>
      </c>
      <c r="D20" t="s">
        <v>29</v>
      </c>
    </row>
    <row r="21" spans="1:4" x14ac:dyDescent="0.25">
      <c r="A21">
        <v>0.48020986912490998</v>
      </c>
      <c r="B21">
        <v>0.84627452942169701</v>
      </c>
      <c r="C21">
        <f>B21/1000*0.71</f>
        <v>6.0085491588940485E-4</v>
      </c>
      <c r="D21" t="s">
        <v>28</v>
      </c>
    </row>
    <row r="22" spans="1:4" x14ac:dyDescent="0.25">
      <c r="A22">
        <v>0.50012515938035795</v>
      </c>
      <c r="B22">
        <v>0.95181877110706603</v>
      </c>
      <c r="C22">
        <f t="shared" ref="C22:C28" si="1">B22/1000*0.71</f>
        <v>6.7579132748601684E-4</v>
      </c>
      <c r="D22" t="s">
        <v>28</v>
      </c>
    </row>
    <row r="23" spans="1:4" x14ac:dyDescent="0.25">
      <c r="A23">
        <v>0.52032887312590603</v>
      </c>
      <c r="B23">
        <v>0.99259153285067803</v>
      </c>
      <c r="C23">
        <f t="shared" si="1"/>
        <v>7.0473998832398137E-4</v>
      </c>
      <c r="D23" t="s">
        <v>28</v>
      </c>
    </row>
    <row r="24" spans="1:4" x14ac:dyDescent="0.25">
      <c r="A24">
        <v>0.52020576553866804</v>
      </c>
      <c r="B24">
        <v>1.06039177459724</v>
      </c>
      <c r="C24">
        <f t="shared" si="1"/>
        <v>7.528781599640404E-4</v>
      </c>
      <c r="D24" t="s">
        <v>28</v>
      </c>
    </row>
    <row r="25" spans="1:4" x14ac:dyDescent="0.25">
      <c r="A25">
        <v>0.54058886462562095</v>
      </c>
      <c r="B25">
        <v>1.1161948944709601</v>
      </c>
      <c r="C25">
        <f t="shared" si="1"/>
        <v>7.9249837507438159E-4</v>
      </c>
      <c r="D25" t="s">
        <v>28</v>
      </c>
    </row>
    <row r="26" spans="1:4" x14ac:dyDescent="0.25">
      <c r="A26">
        <v>0.55666671551888303</v>
      </c>
      <c r="B26">
        <v>1.18298683031966</v>
      </c>
      <c r="C26">
        <f t="shared" si="1"/>
        <v>8.3992064952695855E-4</v>
      </c>
      <c r="D26" t="s">
        <v>28</v>
      </c>
    </row>
    <row r="27" spans="1:4" x14ac:dyDescent="0.25">
      <c r="A27">
        <v>0.57867483475737502</v>
      </c>
      <c r="B27">
        <v>1.3737611657759099</v>
      </c>
      <c r="C27">
        <f t="shared" si="1"/>
        <v>9.75370427700896E-4</v>
      </c>
      <c r="D27" t="s">
        <v>28</v>
      </c>
    </row>
    <row r="28" spans="1:4" x14ac:dyDescent="0.25">
      <c r="A28">
        <v>0.59681737575659799</v>
      </c>
      <c r="B28">
        <v>1.4476476217660099</v>
      </c>
      <c r="C28">
        <f t="shared" si="1"/>
        <v>1.0278298114538668E-3</v>
      </c>
      <c r="D28" t="s">
        <v>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5C7DA-BF5A-44F9-A8BA-8F3B1E2C8DC9}">
  <dimension ref="A1:E29"/>
  <sheetViews>
    <sheetView topLeftCell="A2" workbookViewId="0">
      <selection activeCell="D15" sqref="D15"/>
    </sheetView>
  </sheetViews>
  <sheetFormatPr defaultRowHeight="15" x14ac:dyDescent="0.25"/>
  <cols>
    <col min="1" max="1" width="11.5703125" bestFit="1" customWidth="1"/>
  </cols>
  <sheetData>
    <row r="1" spans="1:5" x14ac:dyDescent="0.25">
      <c r="A1" t="s">
        <v>15</v>
      </c>
      <c r="B1" t="s">
        <v>189</v>
      </c>
      <c r="C1" t="s">
        <v>16</v>
      </c>
      <c r="D1" t="s">
        <v>18</v>
      </c>
      <c r="E1" t="s">
        <v>68</v>
      </c>
    </row>
    <row r="2" spans="1:5" x14ac:dyDescent="0.25">
      <c r="A2">
        <v>0.6</v>
      </c>
      <c r="B2">
        <f>0.0024*A2^3.0298</f>
        <v>5.1056836248983078E-4</v>
      </c>
      <c r="C2">
        <f>B2*0.825</f>
        <v>4.2121889905411035E-4</v>
      </c>
      <c r="D2" t="s">
        <v>9</v>
      </c>
      <c r="E2" t="s">
        <v>190</v>
      </c>
    </row>
    <row r="3" spans="1:5" x14ac:dyDescent="0.25">
      <c r="A3">
        <v>0.7</v>
      </c>
      <c r="B3">
        <f t="shared" ref="B3:B29" si="0">0.0024*A3^3.0298</f>
        <v>8.1449661425138083E-4</v>
      </c>
      <c r="C3">
        <f t="shared" ref="C3:C29" si="1">B3*0.825</f>
        <v>6.7195970675738913E-4</v>
      </c>
      <c r="D3" t="s">
        <v>9</v>
      </c>
      <c r="E3" t="s">
        <v>190</v>
      </c>
    </row>
    <row r="4" spans="1:5" x14ac:dyDescent="0.25">
      <c r="A4">
        <v>0.8</v>
      </c>
      <c r="B4">
        <f t="shared" si="0"/>
        <v>1.2206559834361842E-3</v>
      </c>
      <c r="C4">
        <f t="shared" si="1"/>
        <v>1.007041186334852E-3</v>
      </c>
      <c r="D4" t="s">
        <v>9</v>
      </c>
      <c r="E4" t="s">
        <v>190</v>
      </c>
    </row>
    <row r="5" spans="1:5" x14ac:dyDescent="0.25">
      <c r="A5">
        <v>0.9</v>
      </c>
      <c r="B5">
        <f t="shared" si="0"/>
        <v>1.7441153197556574E-3</v>
      </c>
      <c r="C5">
        <f t="shared" si="1"/>
        <v>1.4388951387984171E-3</v>
      </c>
      <c r="D5" t="s">
        <v>9</v>
      </c>
      <c r="E5" t="s">
        <v>190</v>
      </c>
    </row>
    <row r="6" spans="1:5" x14ac:dyDescent="0.25">
      <c r="A6">
        <v>1</v>
      </c>
      <c r="B6">
        <f t="shared" si="0"/>
        <v>2.3999999999999998E-3</v>
      </c>
      <c r="C6">
        <f t="shared" si="1"/>
        <v>1.9799999999999996E-3</v>
      </c>
      <c r="D6" t="s">
        <v>9</v>
      </c>
      <c r="E6" t="s">
        <v>190</v>
      </c>
    </row>
    <row r="7" spans="1:5" x14ac:dyDescent="0.25">
      <c r="A7">
        <v>1.1000000000000001</v>
      </c>
      <c r="B7">
        <f t="shared" si="0"/>
        <v>3.2034857701746361E-3</v>
      </c>
      <c r="C7">
        <f t="shared" si="1"/>
        <v>2.6428757603940748E-3</v>
      </c>
      <c r="D7" t="s">
        <v>9</v>
      </c>
      <c r="E7" t="s">
        <v>190</v>
      </c>
    </row>
    <row r="8" spans="1:5" x14ac:dyDescent="0.25">
      <c r="A8">
        <v>1.2</v>
      </c>
      <c r="B8">
        <f t="shared" si="0"/>
        <v>4.1697938166015127E-3</v>
      </c>
      <c r="C8">
        <f t="shared" si="1"/>
        <v>3.440079898696248E-3</v>
      </c>
      <c r="D8" t="s">
        <v>9</v>
      </c>
      <c r="E8" t="s">
        <v>190</v>
      </c>
    </row>
    <row r="9" spans="1:5" x14ac:dyDescent="0.25">
      <c r="A9">
        <v>1.3</v>
      </c>
      <c r="B9">
        <f t="shared" si="0"/>
        <v>5.3141867292690499E-3</v>
      </c>
      <c r="C9">
        <f t="shared" si="1"/>
        <v>4.3842040516469663E-3</v>
      </c>
      <c r="D9" t="s">
        <v>9</v>
      </c>
      <c r="E9" t="s">
        <v>190</v>
      </c>
    </row>
    <row r="10" spans="1:5" x14ac:dyDescent="0.25">
      <c r="A10">
        <v>1.4</v>
      </c>
      <c r="B10">
        <f t="shared" si="0"/>
        <v>6.6519651338872781E-3</v>
      </c>
      <c r="C10">
        <f t="shared" si="1"/>
        <v>5.4878712354570038E-3</v>
      </c>
      <c r="D10" t="s">
        <v>9</v>
      </c>
      <c r="E10" t="s">
        <v>190</v>
      </c>
    </row>
    <row r="11" spans="1:5" x14ac:dyDescent="0.25">
      <c r="A11">
        <v>1.5</v>
      </c>
      <c r="B11">
        <f t="shared" si="0"/>
        <v>8.1984648382849006E-3</v>
      </c>
      <c r="C11">
        <f t="shared" si="1"/>
        <v>6.7637334915850427E-3</v>
      </c>
      <c r="D11" t="s">
        <v>9</v>
      </c>
      <c r="E11" t="s">
        <v>190</v>
      </c>
    </row>
    <row r="12" spans="1:5" x14ac:dyDescent="0.25">
      <c r="A12">
        <v>1.6</v>
      </c>
      <c r="B12">
        <f t="shared" si="0"/>
        <v>9.9690543830576964E-3</v>
      </c>
      <c r="C12">
        <f t="shared" si="1"/>
        <v>8.224469866022599E-3</v>
      </c>
      <c r="D12" t="s">
        <v>9</v>
      </c>
      <c r="E12" t="s">
        <v>190</v>
      </c>
    </row>
    <row r="13" spans="1:5" x14ac:dyDescent="0.25">
      <c r="A13">
        <v>1.7</v>
      </c>
      <c r="B13">
        <f t="shared" si="0"/>
        <v>1.1979132915802698E-2</v>
      </c>
      <c r="C13">
        <f t="shared" si="1"/>
        <v>9.8827846555372256E-3</v>
      </c>
      <c r="D13" t="s">
        <v>9</v>
      </c>
      <c r="E13" t="s">
        <v>190</v>
      </c>
    </row>
    <row r="14" spans="1:5" x14ac:dyDescent="0.25">
      <c r="A14">
        <v>1.8</v>
      </c>
      <c r="B14">
        <f t="shared" si="0"/>
        <v>1.4244128328460543E-2</v>
      </c>
      <c r="C14">
        <f t="shared" si="1"/>
        <v>1.1751405870979947E-2</v>
      </c>
      <c r="D14" t="s">
        <v>9</v>
      </c>
      <c r="E14" t="s">
        <v>190</v>
      </c>
    </row>
    <row r="15" spans="1:5" x14ac:dyDescent="0.25">
      <c r="A15">
        <v>1.9</v>
      </c>
      <c r="B15">
        <f t="shared" si="0"/>
        <v>1.6779495611519382E-2</v>
      </c>
      <c r="C15">
        <f t="shared" si="1"/>
        <v>1.384308387950349E-2</v>
      </c>
      <c r="D15" t="s">
        <v>9</v>
      </c>
      <c r="E15" t="s">
        <v>190</v>
      </c>
    </row>
    <row r="16" spans="1:5" x14ac:dyDescent="0.25">
      <c r="A16">
        <v>2</v>
      </c>
      <c r="B16">
        <f t="shared" si="0"/>
        <v>1.9600715389103161E-2</v>
      </c>
      <c r="C16">
        <f t="shared" si="1"/>
        <v>1.6170590196010106E-2</v>
      </c>
      <c r="D16" t="s">
        <v>9</v>
      </c>
      <c r="E16" t="s">
        <v>190</v>
      </c>
    </row>
    <row r="17" spans="1:5" x14ac:dyDescent="0.25">
      <c r="A17">
        <v>3</v>
      </c>
      <c r="B17">
        <f t="shared" si="0"/>
        <v>6.6956573301163363E-2</v>
      </c>
      <c r="C17">
        <f t="shared" si="1"/>
        <v>5.5239172973459774E-2</v>
      </c>
      <c r="D17" t="s">
        <v>9</v>
      </c>
      <c r="E17" t="s">
        <v>190</v>
      </c>
    </row>
    <row r="18" spans="1:5" x14ac:dyDescent="0.25">
      <c r="A18">
        <v>4</v>
      </c>
      <c r="B18">
        <f t="shared" si="0"/>
        <v>0.16007835156859401</v>
      </c>
      <c r="C18">
        <f t="shared" si="1"/>
        <v>0.13206464004409005</v>
      </c>
      <c r="D18" t="s">
        <v>9</v>
      </c>
      <c r="E18" t="s">
        <v>190</v>
      </c>
    </row>
    <row r="19" spans="1:5" x14ac:dyDescent="0.25">
      <c r="A19">
        <v>5</v>
      </c>
      <c r="B19">
        <f t="shared" si="0"/>
        <v>0.31473900015885248</v>
      </c>
      <c r="C19">
        <f t="shared" si="1"/>
        <v>0.25965967513105326</v>
      </c>
      <c r="D19" t="s">
        <v>9</v>
      </c>
      <c r="E19" t="s">
        <v>190</v>
      </c>
    </row>
    <row r="20" spans="1:5" x14ac:dyDescent="0.25">
      <c r="A20">
        <v>6</v>
      </c>
      <c r="B20">
        <f t="shared" si="0"/>
        <v>0.54683197362738589</v>
      </c>
      <c r="C20">
        <f t="shared" si="1"/>
        <v>0.45113637824259334</v>
      </c>
      <c r="D20" t="s">
        <v>9</v>
      </c>
      <c r="E20" t="s">
        <v>190</v>
      </c>
    </row>
    <row r="21" spans="1:5" x14ac:dyDescent="0.25">
      <c r="A21">
        <v>7</v>
      </c>
      <c r="B21">
        <f t="shared" si="0"/>
        <v>0.8723470230546797</v>
      </c>
      <c r="C21">
        <f t="shared" si="1"/>
        <v>0.71968629402011075</v>
      </c>
      <c r="D21" t="s">
        <v>9</v>
      </c>
      <c r="E21" t="s">
        <v>190</v>
      </c>
    </row>
    <row r="22" spans="1:5" x14ac:dyDescent="0.25">
      <c r="A22">
        <v>8</v>
      </c>
      <c r="B22">
        <f t="shared" si="0"/>
        <v>1.3073542537720024</v>
      </c>
      <c r="C22">
        <f t="shared" si="1"/>
        <v>1.078567259361902</v>
      </c>
      <c r="D22" t="s">
        <v>9</v>
      </c>
      <c r="E22" t="s">
        <v>190</v>
      </c>
    </row>
    <row r="23" spans="1:5" x14ac:dyDescent="0.25">
      <c r="A23">
        <v>9</v>
      </c>
      <c r="B23">
        <f t="shared" si="0"/>
        <v>1.8679927950975261</v>
      </c>
      <c r="C23">
        <f t="shared" si="1"/>
        <v>1.5410940559554589</v>
      </c>
      <c r="D23" t="s">
        <v>9</v>
      </c>
      <c r="E23" t="s">
        <v>190</v>
      </c>
    </row>
    <row r="24" spans="1:5" x14ac:dyDescent="0.25">
      <c r="A24">
        <v>10</v>
      </c>
      <c r="B24">
        <f t="shared" si="0"/>
        <v>2.570462318318572</v>
      </c>
      <c r="C24">
        <f t="shared" si="1"/>
        <v>2.1206314126128216</v>
      </c>
      <c r="D24" t="s">
        <v>9</v>
      </c>
      <c r="E24" t="s">
        <v>190</v>
      </c>
    </row>
    <row r="25" spans="1:5" x14ac:dyDescent="0.25">
      <c r="A25">
        <v>11</v>
      </c>
      <c r="B25">
        <f t="shared" si="0"/>
        <v>3.4310164414598541</v>
      </c>
      <c r="C25">
        <f t="shared" si="1"/>
        <v>2.8305885642043793</v>
      </c>
      <c r="D25" t="s">
        <v>9</v>
      </c>
      <c r="E25" t="s">
        <v>190</v>
      </c>
    </row>
    <row r="26" spans="1:5" x14ac:dyDescent="0.25">
      <c r="A26">
        <v>12</v>
      </c>
      <c r="B26">
        <f t="shared" si="0"/>
        <v>4.4659574503049848</v>
      </c>
      <c r="C26">
        <f t="shared" si="1"/>
        <v>3.6844148965016124</v>
      </c>
      <c r="D26" t="s">
        <v>9</v>
      </c>
      <c r="E26" t="s">
        <v>190</v>
      </c>
    </row>
    <row r="27" spans="1:5" x14ac:dyDescent="0.25">
      <c r="A27">
        <v>13</v>
      </c>
      <c r="B27">
        <f t="shared" si="0"/>
        <v>5.6916319750394573</v>
      </c>
      <c r="C27">
        <f t="shared" si="1"/>
        <v>4.6955963794075517</v>
      </c>
      <c r="D27" t="s">
        <v>9</v>
      </c>
      <c r="E27" t="s">
        <v>190</v>
      </c>
    </row>
    <row r="28" spans="1:5" x14ac:dyDescent="0.25">
      <c r="A28">
        <v>14</v>
      </c>
      <c r="B28">
        <f t="shared" si="0"/>
        <v>7.1244273830942442</v>
      </c>
      <c r="C28">
        <f t="shared" si="1"/>
        <v>5.8776525910527511</v>
      </c>
      <c r="D28" t="s">
        <v>9</v>
      </c>
      <c r="E28" t="s">
        <v>190</v>
      </c>
    </row>
    <row r="29" spans="1:5" x14ac:dyDescent="0.25">
      <c r="A29">
        <v>15</v>
      </c>
      <c r="B29">
        <f t="shared" si="0"/>
        <v>8.7807687228629483</v>
      </c>
      <c r="C29">
        <f t="shared" si="1"/>
        <v>7.2441341963619319</v>
      </c>
      <c r="D29" t="s">
        <v>9</v>
      </c>
      <c r="E29" t="s">
        <v>190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3E136-AE82-4973-A248-B4B571A624CF}">
  <dimension ref="A1:E6"/>
  <sheetViews>
    <sheetView workbookViewId="0">
      <selection activeCell="F11" sqref="F11"/>
    </sheetView>
  </sheetViews>
  <sheetFormatPr defaultRowHeight="15" x14ac:dyDescent="0.25"/>
  <cols>
    <col min="1" max="1" width="8.85546875" customWidth="1"/>
  </cols>
  <sheetData>
    <row r="1" spans="1:5" x14ac:dyDescent="0.25">
      <c r="A1" t="s">
        <v>185</v>
      </c>
      <c r="B1" t="s">
        <v>186</v>
      </c>
      <c r="C1" t="s">
        <v>187</v>
      </c>
      <c r="D1" t="s">
        <v>16</v>
      </c>
    </row>
    <row r="2" spans="1:5" x14ac:dyDescent="0.25">
      <c r="A2">
        <v>20</v>
      </c>
      <c r="B2">
        <v>1.389</v>
      </c>
      <c r="C2">
        <f>B2*1000</f>
        <v>1389</v>
      </c>
      <c r="D2">
        <f>C2*0.27</f>
        <v>375.03000000000003</v>
      </c>
      <c r="E2" t="s">
        <v>184</v>
      </c>
    </row>
    <row r="3" spans="1:5" x14ac:dyDescent="0.25">
      <c r="A3">
        <v>44</v>
      </c>
      <c r="B3">
        <v>10.164</v>
      </c>
      <c r="C3">
        <f t="shared" ref="C3:C6" si="0">B3*1000</f>
        <v>10164</v>
      </c>
      <c r="D3">
        <f t="shared" ref="D3:D6" si="1">C3*0.27</f>
        <v>2744.28</v>
      </c>
      <c r="E3" t="s">
        <v>184</v>
      </c>
    </row>
    <row r="4" spans="1:5" x14ac:dyDescent="0.25">
      <c r="A4">
        <v>60</v>
      </c>
      <c r="B4">
        <v>22.238</v>
      </c>
      <c r="C4">
        <f t="shared" si="0"/>
        <v>22238</v>
      </c>
      <c r="D4">
        <f t="shared" si="1"/>
        <v>6004.26</v>
      </c>
      <c r="E4" t="s">
        <v>184</v>
      </c>
    </row>
    <row r="5" spans="1:5" x14ac:dyDescent="0.25">
      <c r="A5">
        <v>73</v>
      </c>
      <c r="B5">
        <v>36.485999999999997</v>
      </c>
      <c r="C5">
        <f t="shared" si="0"/>
        <v>36486</v>
      </c>
      <c r="D5">
        <f t="shared" si="1"/>
        <v>9851.2200000000012</v>
      </c>
      <c r="E5" t="s">
        <v>184</v>
      </c>
    </row>
    <row r="6" spans="1:5" x14ac:dyDescent="0.25">
      <c r="A6">
        <v>82</v>
      </c>
      <c r="B6">
        <v>48.932000000000002</v>
      </c>
      <c r="C6">
        <f t="shared" si="0"/>
        <v>48932</v>
      </c>
      <c r="D6">
        <f t="shared" si="1"/>
        <v>13211.640000000001</v>
      </c>
      <c r="E6" t="s">
        <v>184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4B3B-6A34-47AE-ACCD-69C0D6462FAB}">
  <dimension ref="A1:G29"/>
  <sheetViews>
    <sheetView workbookViewId="0">
      <selection activeCell="F4" sqref="F4"/>
    </sheetView>
  </sheetViews>
  <sheetFormatPr defaultRowHeight="15" x14ac:dyDescent="0.25"/>
  <sheetData>
    <row r="1" spans="1:7" x14ac:dyDescent="0.25">
      <c r="A1" t="s">
        <v>152</v>
      </c>
      <c r="B1" t="s">
        <v>33</v>
      </c>
      <c r="C1" t="s">
        <v>34</v>
      </c>
      <c r="D1" t="s">
        <v>35</v>
      </c>
      <c r="E1" t="s">
        <v>36</v>
      </c>
      <c r="F1" t="s">
        <v>18</v>
      </c>
      <c r="G1" t="s">
        <v>68</v>
      </c>
    </row>
    <row r="2" spans="1:7" x14ac:dyDescent="0.25">
      <c r="A2">
        <v>0.6</v>
      </c>
      <c r="B2">
        <f>-2.699+2.147*LOG10(A2)</f>
        <v>-3.1753092654263169</v>
      </c>
      <c r="C2">
        <f>10^B2</f>
        <v>6.6786815262651219E-4</v>
      </c>
      <c r="D2">
        <f>C2*1000</f>
        <v>0.66786815262651222</v>
      </c>
      <c r="E2">
        <f>D2*0.035</f>
        <v>2.3375385341927929E-2</v>
      </c>
      <c r="F2" t="s">
        <v>182</v>
      </c>
      <c r="G2" t="s">
        <v>142</v>
      </c>
    </row>
    <row r="3" spans="1:7" x14ac:dyDescent="0.25">
      <c r="A3">
        <v>0.7</v>
      </c>
      <c r="B3">
        <f t="shared" ref="B3:B29" si="0">-2.699+2.147*LOG10(A3)</f>
        <v>-3.0315745080893906</v>
      </c>
      <c r="C3">
        <f t="shared" ref="C3:C29" si="1">10^B3</f>
        <v>9.2987697024483776E-4</v>
      </c>
      <c r="D3">
        <f t="shared" ref="D3:D29" si="2">C3*1000</f>
        <v>0.92987697024483773</v>
      </c>
      <c r="E3">
        <f t="shared" ref="E3:E29" si="3">D3*0.035</f>
        <v>3.2545693958569322E-2</v>
      </c>
      <c r="F3" t="s">
        <v>182</v>
      </c>
      <c r="G3" t="s">
        <v>142</v>
      </c>
    </row>
    <row r="4" spans="1:7" x14ac:dyDescent="0.25">
      <c r="A4">
        <v>0.8</v>
      </c>
      <c r="B4">
        <f t="shared" si="0"/>
        <v>-2.907065797928297</v>
      </c>
      <c r="C4">
        <f t="shared" si="1"/>
        <v>1.2386089164630185E-3</v>
      </c>
      <c r="D4">
        <f t="shared" si="2"/>
        <v>1.2386089164630185</v>
      </c>
      <c r="E4">
        <f t="shared" si="3"/>
        <v>4.3351312076205649E-2</v>
      </c>
      <c r="F4" t="s">
        <v>182</v>
      </c>
      <c r="G4" t="s">
        <v>142</v>
      </c>
    </row>
    <row r="5" spans="1:7" x14ac:dyDescent="0.25">
      <c r="A5">
        <v>0.9</v>
      </c>
      <c r="B5">
        <f t="shared" si="0"/>
        <v>-2.7972413322337695</v>
      </c>
      <c r="C5">
        <f t="shared" si="1"/>
        <v>1.5949925826883352E-3</v>
      </c>
      <c r="D5">
        <f t="shared" si="2"/>
        <v>1.5949925826883353</v>
      </c>
      <c r="E5">
        <f t="shared" si="3"/>
        <v>5.5824740394091743E-2</v>
      </c>
      <c r="F5" t="s">
        <v>182</v>
      </c>
      <c r="G5" t="s">
        <v>142</v>
      </c>
    </row>
    <row r="6" spans="1:7" x14ac:dyDescent="0.25">
      <c r="A6">
        <v>1</v>
      </c>
      <c r="B6">
        <f t="shared" si="0"/>
        <v>-2.6989999999999998</v>
      </c>
      <c r="C6">
        <f t="shared" si="1"/>
        <v>1.9998618696327438E-3</v>
      </c>
      <c r="D6">
        <f t="shared" si="2"/>
        <v>1.9998618696327437</v>
      </c>
      <c r="E6">
        <f t="shared" si="3"/>
        <v>6.999516543714604E-2</v>
      </c>
      <c r="F6" t="s">
        <v>182</v>
      </c>
      <c r="G6" t="s">
        <v>142</v>
      </c>
    </row>
    <row r="7" spans="1:7" x14ac:dyDescent="0.25">
      <c r="A7">
        <v>1.1000000000000001</v>
      </c>
      <c r="B7">
        <f t="shared" si="0"/>
        <v>-2.6101299049652904</v>
      </c>
      <c r="C7">
        <f t="shared" si="1"/>
        <v>2.453974779739384E-3</v>
      </c>
      <c r="D7">
        <f t="shared" si="2"/>
        <v>2.4539747797393838</v>
      </c>
      <c r="E7">
        <f t="shared" si="3"/>
        <v>8.5889117290878447E-2</v>
      </c>
      <c r="F7" t="s">
        <v>182</v>
      </c>
      <c r="G7" t="s">
        <v>142</v>
      </c>
    </row>
    <row r="8" spans="1:7" x14ac:dyDescent="0.25">
      <c r="A8">
        <v>1.2</v>
      </c>
      <c r="B8">
        <f t="shared" si="0"/>
        <v>-2.5289978647357492</v>
      </c>
      <c r="C8">
        <f t="shared" si="1"/>
        <v>2.9580270100331299E-3</v>
      </c>
      <c r="D8">
        <f t="shared" si="2"/>
        <v>2.9580270100331298</v>
      </c>
      <c r="E8">
        <f t="shared" si="3"/>
        <v>0.10353094535115956</v>
      </c>
      <c r="F8" t="s">
        <v>182</v>
      </c>
      <c r="G8" t="s">
        <v>142</v>
      </c>
    </row>
    <row r="9" spans="1:7" x14ac:dyDescent="0.25">
      <c r="A9">
        <v>1.3</v>
      </c>
      <c r="B9">
        <f t="shared" si="0"/>
        <v>-2.4543636225972212</v>
      </c>
      <c r="C9">
        <f t="shared" si="1"/>
        <v>3.5126621201686833E-3</v>
      </c>
      <c r="D9">
        <f t="shared" si="2"/>
        <v>3.5126621201686832</v>
      </c>
      <c r="E9">
        <f t="shared" si="3"/>
        <v>0.12294317420590392</v>
      </c>
      <c r="F9" t="s">
        <v>182</v>
      </c>
      <c r="G9" t="s">
        <v>142</v>
      </c>
    </row>
    <row r="10" spans="1:7" x14ac:dyDescent="0.25">
      <c r="A10">
        <v>1.4</v>
      </c>
      <c r="B10">
        <f t="shared" si="0"/>
        <v>-2.3852631073988229</v>
      </c>
      <c r="C10">
        <f t="shared" si="1"/>
        <v>4.118479348318627E-3</v>
      </c>
      <c r="D10">
        <f t="shared" si="2"/>
        <v>4.1184793483186271</v>
      </c>
      <c r="E10">
        <f t="shared" si="3"/>
        <v>0.14414677719115196</v>
      </c>
      <c r="F10" t="s">
        <v>182</v>
      </c>
      <c r="G10" t="s">
        <v>142</v>
      </c>
    </row>
    <row r="11" spans="1:7" x14ac:dyDescent="0.25">
      <c r="A11">
        <v>1.5</v>
      </c>
      <c r="B11">
        <f t="shared" si="0"/>
        <v>-2.3209320668074525</v>
      </c>
      <c r="C11">
        <f t="shared" si="1"/>
        <v>4.7760397556330936E-3</v>
      </c>
      <c r="D11">
        <f t="shared" si="2"/>
        <v>4.7760397556330938</v>
      </c>
      <c r="E11">
        <f t="shared" si="3"/>
        <v>0.1671613914471583</v>
      </c>
      <c r="F11" t="s">
        <v>182</v>
      </c>
      <c r="G11" t="s">
        <v>142</v>
      </c>
    </row>
    <row r="12" spans="1:7" x14ac:dyDescent="0.25">
      <c r="A12">
        <v>1.6</v>
      </c>
      <c r="B12">
        <f t="shared" si="0"/>
        <v>-2.2607543972377293</v>
      </c>
      <c r="C12">
        <f t="shared" si="1"/>
        <v>5.4858711489038222E-3</v>
      </c>
      <c r="D12">
        <f t="shared" si="2"/>
        <v>5.4858711489038221</v>
      </c>
      <c r="E12">
        <f t="shared" si="3"/>
        <v>0.19200549021163379</v>
      </c>
      <c r="F12" t="s">
        <v>182</v>
      </c>
      <c r="G12" t="s">
        <v>142</v>
      </c>
    </row>
    <row r="13" spans="1:7" x14ac:dyDescent="0.25">
      <c r="A13">
        <v>1.7</v>
      </c>
      <c r="B13">
        <f t="shared" si="0"/>
        <v>-2.2042261658008457</v>
      </c>
      <c r="C13">
        <f t="shared" si="1"/>
        <v>6.2484720885001375E-3</v>
      </c>
      <c r="D13">
        <f t="shared" si="2"/>
        <v>6.2484720885001375</v>
      </c>
      <c r="E13">
        <f t="shared" si="3"/>
        <v>0.21869652309750484</v>
      </c>
      <c r="F13" t="s">
        <v>182</v>
      </c>
      <c r="G13" t="s">
        <v>142</v>
      </c>
    </row>
    <row r="14" spans="1:7" x14ac:dyDescent="0.25">
      <c r="A14">
        <v>1.8</v>
      </c>
      <c r="B14">
        <f t="shared" si="0"/>
        <v>-2.1509299315432018</v>
      </c>
      <c r="C14">
        <f t="shared" si="1"/>
        <v>7.0643151973036689E-3</v>
      </c>
      <c r="D14">
        <f t="shared" si="2"/>
        <v>7.0643151973036691</v>
      </c>
      <c r="E14">
        <f t="shared" si="3"/>
        <v>0.24725103190562844</v>
      </c>
      <c r="F14" t="s">
        <v>182</v>
      </c>
      <c r="G14" t="s">
        <v>142</v>
      </c>
    </row>
    <row r="15" spans="1:7" x14ac:dyDescent="0.25">
      <c r="A15">
        <v>1.9</v>
      </c>
      <c r="B15">
        <f t="shared" si="0"/>
        <v>-2.1005160187542762</v>
      </c>
      <c r="C15">
        <f t="shared" si="1"/>
        <v>7.9338499259312325E-3</v>
      </c>
      <c r="D15">
        <f t="shared" si="2"/>
        <v>7.9338499259312325</v>
      </c>
      <c r="E15">
        <f t="shared" si="3"/>
        <v>0.27768474740759319</v>
      </c>
      <c r="F15" t="s">
        <v>182</v>
      </c>
      <c r="G15" t="s">
        <v>142</v>
      </c>
    </row>
    <row r="16" spans="1:7" x14ac:dyDescent="0.25">
      <c r="A16">
        <v>2</v>
      </c>
      <c r="B16">
        <f t="shared" si="0"/>
        <v>-2.0526885993094321</v>
      </c>
      <c r="C16">
        <f t="shared" si="1"/>
        <v>8.8575048884194669E-3</v>
      </c>
      <c r="D16">
        <f t="shared" si="2"/>
        <v>8.8575048884194665</v>
      </c>
      <c r="E16">
        <f t="shared" si="3"/>
        <v>0.31001267109468134</v>
      </c>
      <c r="F16" t="s">
        <v>182</v>
      </c>
      <c r="G16" t="s">
        <v>142</v>
      </c>
    </row>
    <row r="17" spans="1:7" x14ac:dyDescent="0.25">
      <c r="A17">
        <v>3</v>
      </c>
      <c r="B17">
        <f t="shared" si="0"/>
        <v>-1.6746206661168848</v>
      </c>
      <c r="C17">
        <f t="shared" si="1"/>
        <v>2.115335870200602E-2</v>
      </c>
      <c r="D17">
        <f t="shared" si="2"/>
        <v>21.15335870200602</v>
      </c>
      <c r="E17">
        <f t="shared" si="3"/>
        <v>0.74036755457021075</v>
      </c>
      <c r="F17" t="s">
        <v>182</v>
      </c>
      <c r="G17" t="s">
        <v>142</v>
      </c>
    </row>
    <row r="18" spans="1:7" x14ac:dyDescent="0.25">
      <c r="A18">
        <v>4</v>
      </c>
      <c r="B18">
        <f t="shared" si="0"/>
        <v>-1.4063771986188647</v>
      </c>
      <c r="C18">
        <f t="shared" si="1"/>
        <v>3.9230405879373195E-2</v>
      </c>
      <c r="D18">
        <f t="shared" si="2"/>
        <v>39.230405879373194</v>
      </c>
      <c r="E18">
        <f t="shared" si="3"/>
        <v>1.373064205778062</v>
      </c>
      <c r="F18" t="s">
        <v>182</v>
      </c>
      <c r="G18" t="s">
        <v>142</v>
      </c>
    </row>
    <row r="19" spans="1:7" x14ac:dyDescent="0.25">
      <c r="A19">
        <v>5</v>
      </c>
      <c r="B19">
        <f t="shared" si="0"/>
        <v>-1.1983114006905675</v>
      </c>
      <c r="C19">
        <f t="shared" si="1"/>
        <v>6.3341537272646561E-2</v>
      </c>
      <c r="D19">
        <f t="shared" si="2"/>
        <v>63.341537272646562</v>
      </c>
      <c r="E19">
        <f t="shared" si="3"/>
        <v>2.21695380454263</v>
      </c>
      <c r="F19" t="s">
        <v>182</v>
      </c>
      <c r="G19" t="s">
        <v>142</v>
      </c>
    </row>
    <row r="20" spans="1:7" x14ac:dyDescent="0.25">
      <c r="A20">
        <v>6</v>
      </c>
      <c r="B20">
        <f t="shared" si="0"/>
        <v>-1.0283092654263171</v>
      </c>
      <c r="C20">
        <f t="shared" si="1"/>
        <v>9.368945973449494E-2</v>
      </c>
      <c r="D20">
        <f t="shared" si="2"/>
        <v>93.689459734494946</v>
      </c>
      <c r="E20">
        <f t="shared" si="3"/>
        <v>3.2791310907073234</v>
      </c>
      <c r="F20" t="s">
        <v>182</v>
      </c>
      <c r="G20" t="s">
        <v>142</v>
      </c>
    </row>
    <row r="21" spans="1:7" x14ac:dyDescent="0.25">
      <c r="A21">
        <v>7</v>
      </c>
      <c r="B21">
        <f t="shared" si="0"/>
        <v>-0.88457450808939053</v>
      </c>
      <c r="C21">
        <f t="shared" si="1"/>
        <v>0.13044441574160115</v>
      </c>
      <c r="D21">
        <f t="shared" si="2"/>
        <v>130.44441574160115</v>
      </c>
      <c r="E21">
        <f t="shared" si="3"/>
        <v>4.5655545509560405</v>
      </c>
      <c r="F21" t="s">
        <v>182</v>
      </c>
      <c r="G21" t="s">
        <v>142</v>
      </c>
    </row>
    <row r="22" spans="1:7" x14ac:dyDescent="0.25">
      <c r="A22">
        <v>8</v>
      </c>
      <c r="B22">
        <f t="shared" si="0"/>
        <v>-0.7600657979282972</v>
      </c>
      <c r="C22">
        <f t="shared" si="1"/>
        <v>0.173753756260696</v>
      </c>
      <c r="D22">
        <f t="shared" si="2"/>
        <v>173.75375626069601</v>
      </c>
      <c r="E22">
        <f t="shared" si="3"/>
        <v>6.0813814691243611</v>
      </c>
      <c r="F22" t="s">
        <v>182</v>
      </c>
      <c r="G22" t="s">
        <v>142</v>
      </c>
    </row>
    <row r="23" spans="1:7" x14ac:dyDescent="0.25">
      <c r="A23">
        <v>9</v>
      </c>
      <c r="B23">
        <f t="shared" si="0"/>
        <v>-0.65024133223376968</v>
      </c>
      <c r="C23">
        <f t="shared" si="1"/>
        <v>0.22374774536698688</v>
      </c>
      <c r="D23">
        <f t="shared" si="2"/>
        <v>223.74774536698689</v>
      </c>
      <c r="E23">
        <f t="shared" si="3"/>
        <v>7.8311710878445417</v>
      </c>
      <c r="F23" t="s">
        <v>182</v>
      </c>
      <c r="G23" t="s">
        <v>142</v>
      </c>
    </row>
    <row r="24" spans="1:7" x14ac:dyDescent="0.25">
      <c r="A24">
        <v>10</v>
      </c>
      <c r="B24">
        <f t="shared" si="0"/>
        <v>-0.55200000000000005</v>
      </c>
      <c r="C24">
        <f t="shared" si="1"/>
        <v>0.28054336379517131</v>
      </c>
      <c r="D24">
        <f t="shared" si="2"/>
        <v>280.54336379517133</v>
      </c>
      <c r="E24">
        <f t="shared" si="3"/>
        <v>9.8190177328309982</v>
      </c>
      <c r="F24" t="s">
        <v>182</v>
      </c>
      <c r="G24" t="s">
        <v>142</v>
      </c>
    </row>
    <row r="25" spans="1:7" x14ac:dyDescent="0.25">
      <c r="A25">
        <v>11</v>
      </c>
      <c r="B25">
        <f t="shared" si="0"/>
        <v>-0.46312990496529061</v>
      </c>
      <c r="C25">
        <f t="shared" si="1"/>
        <v>0.344246945166782</v>
      </c>
      <c r="D25">
        <f t="shared" si="2"/>
        <v>344.24694516678198</v>
      </c>
      <c r="E25">
        <f t="shared" si="3"/>
        <v>12.048643080837371</v>
      </c>
      <c r="F25" t="s">
        <v>182</v>
      </c>
      <c r="G25" t="s">
        <v>142</v>
      </c>
    </row>
    <row r="26" spans="1:7" x14ac:dyDescent="0.25">
      <c r="A26">
        <v>12</v>
      </c>
      <c r="B26">
        <f t="shared" si="0"/>
        <v>-0.38199786473574937</v>
      </c>
      <c r="C26">
        <f t="shared" si="1"/>
        <v>0.41495608281389079</v>
      </c>
      <c r="D26">
        <f t="shared" si="2"/>
        <v>414.95608281389082</v>
      </c>
      <c r="E26">
        <f t="shared" si="3"/>
        <v>14.52346289848618</v>
      </c>
      <c r="F26" t="s">
        <v>182</v>
      </c>
      <c r="G26" t="s">
        <v>142</v>
      </c>
    </row>
    <row r="27" spans="1:7" x14ac:dyDescent="0.25">
      <c r="A27">
        <v>13</v>
      </c>
      <c r="B27">
        <f t="shared" si="0"/>
        <v>-0.30736362259722183</v>
      </c>
      <c r="C27">
        <f t="shared" si="1"/>
        <v>0.49276105616682869</v>
      </c>
      <c r="D27">
        <f t="shared" si="2"/>
        <v>492.76105616682867</v>
      </c>
      <c r="E27">
        <f t="shared" si="3"/>
        <v>17.246636965839006</v>
      </c>
      <c r="F27" t="s">
        <v>182</v>
      </c>
      <c r="G27" t="s">
        <v>142</v>
      </c>
    </row>
    <row r="28" spans="1:7" x14ac:dyDescent="0.25">
      <c r="A28">
        <v>14</v>
      </c>
      <c r="B28">
        <f t="shared" si="0"/>
        <v>-0.23826310739882306</v>
      </c>
      <c r="C28">
        <f t="shared" si="1"/>
        <v>0.57774592717767714</v>
      </c>
      <c r="D28">
        <f t="shared" si="2"/>
        <v>577.74592717767712</v>
      </c>
      <c r="E28">
        <f t="shared" si="3"/>
        <v>20.2211074512187</v>
      </c>
      <c r="F28" t="s">
        <v>182</v>
      </c>
      <c r="G28" t="s">
        <v>142</v>
      </c>
    </row>
    <row r="29" spans="1:7" x14ac:dyDescent="0.25">
      <c r="A29">
        <v>15</v>
      </c>
      <c r="B29">
        <f t="shared" si="0"/>
        <v>-0.17393206680745221</v>
      </c>
      <c r="C29">
        <f t="shared" si="1"/>
        <v>0.66998940227348536</v>
      </c>
      <c r="D29">
        <f t="shared" si="2"/>
        <v>669.98940227348533</v>
      </c>
      <c r="E29">
        <f t="shared" si="3"/>
        <v>23.449629079571988</v>
      </c>
      <c r="F29" t="s">
        <v>182</v>
      </c>
      <c r="G29" t="s">
        <v>142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1A686-41C0-4B91-990E-8A3157FA756A}">
  <dimension ref="A1:G29"/>
  <sheetViews>
    <sheetView workbookViewId="0">
      <selection sqref="A1:G29"/>
    </sheetView>
  </sheetViews>
  <sheetFormatPr defaultRowHeight="15" x14ac:dyDescent="0.25"/>
  <sheetData>
    <row r="1" spans="1:7" x14ac:dyDescent="0.25">
      <c r="A1" t="s">
        <v>152</v>
      </c>
      <c r="B1" t="s">
        <v>33</v>
      </c>
      <c r="C1" t="s">
        <v>34</v>
      </c>
      <c r="D1" t="s">
        <v>35</v>
      </c>
      <c r="E1" t="s">
        <v>36</v>
      </c>
      <c r="F1" t="s">
        <v>18</v>
      </c>
      <c r="G1" t="s">
        <v>68</v>
      </c>
    </row>
    <row r="2" spans="1:7" x14ac:dyDescent="0.25">
      <c r="A2">
        <v>0.6</v>
      </c>
      <c r="B2">
        <f>-2.722+2.29*LOG10(A2)</f>
        <v>-3.2300336366214562</v>
      </c>
      <c r="C2">
        <f>10^B2</f>
        <v>5.8879805048389297E-4</v>
      </c>
      <c r="D2">
        <f>C2*1000</f>
        <v>0.588798050483893</v>
      </c>
      <c r="E2">
        <f>D2*0.154</f>
        <v>9.0674899774519521E-2</v>
      </c>
      <c r="F2" t="s">
        <v>150</v>
      </c>
      <c r="G2" t="s">
        <v>142</v>
      </c>
    </row>
    <row r="3" spans="1:7" x14ac:dyDescent="0.25">
      <c r="A3">
        <v>0.7</v>
      </c>
      <c r="B3">
        <f t="shared" ref="B3:B29" si="0">-2.722+2.29*LOG10(A3)</f>
        <v>-3.076725488367352</v>
      </c>
      <c r="C3">
        <f t="shared" ref="C3:C29" si="1">10^B3</f>
        <v>8.3805884033564897E-4</v>
      </c>
      <c r="D3">
        <f t="shared" ref="D3:D29" si="2">C3*1000</f>
        <v>0.83805884033564892</v>
      </c>
      <c r="E3">
        <f t="shared" ref="E3:E29" si="3">D3*0.154</f>
        <v>0.12906106141168994</v>
      </c>
      <c r="F3" t="s">
        <v>150</v>
      </c>
      <c r="G3" t="s">
        <v>142</v>
      </c>
    </row>
    <row r="4" spans="1:7" x14ac:dyDescent="0.25">
      <c r="A4">
        <v>0.8</v>
      </c>
      <c r="B4">
        <f t="shared" si="0"/>
        <v>-2.9439239297884492</v>
      </c>
      <c r="C4">
        <f t="shared" si="1"/>
        <v>1.13782656794973E-3</v>
      </c>
      <c r="D4">
        <f t="shared" si="2"/>
        <v>1.1378265679497299</v>
      </c>
      <c r="E4">
        <f t="shared" si="3"/>
        <v>0.17522529146425841</v>
      </c>
      <c r="F4" t="s">
        <v>150</v>
      </c>
      <c r="G4" t="s">
        <v>142</v>
      </c>
    </row>
    <row r="5" spans="1:7" x14ac:dyDescent="0.25">
      <c r="A5">
        <v>0.9</v>
      </c>
      <c r="B5">
        <f t="shared" si="0"/>
        <v>-2.826784653383946</v>
      </c>
      <c r="C5">
        <f t="shared" si="1"/>
        <v>1.4900997663473384E-3</v>
      </c>
      <c r="D5">
        <f t="shared" si="2"/>
        <v>1.4900997663473383</v>
      </c>
      <c r="E5">
        <f t="shared" si="3"/>
        <v>0.22947536401749011</v>
      </c>
      <c r="F5" t="s">
        <v>150</v>
      </c>
      <c r="G5" t="s">
        <v>142</v>
      </c>
    </row>
    <row r="6" spans="1:7" x14ac:dyDescent="0.25">
      <c r="A6">
        <v>1</v>
      </c>
      <c r="B6">
        <f t="shared" si="0"/>
        <v>-2.722</v>
      </c>
      <c r="C6">
        <f t="shared" si="1"/>
        <v>1.8967059212111458E-3</v>
      </c>
      <c r="D6">
        <f t="shared" si="2"/>
        <v>1.8967059212111459</v>
      </c>
      <c r="E6">
        <f t="shared" si="3"/>
        <v>0.29209271186651647</v>
      </c>
      <c r="F6" t="s">
        <v>150</v>
      </c>
      <c r="G6" t="s">
        <v>142</v>
      </c>
    </row>
    <row r="7" spans="1:7" x14ac:dyDescent="0.25">
      <c r="A7">
        <v>1.1000000000000001</v>
      </c>
      <c r="B7">
        <f t="shared" si="0"/>
        <v>-2.6272107509876648</v>
      </c>
      <c r="C7">
        <f t="shared" si="1"/>
        <v>2.3593330368809617E-3</v>
      </c>
      <c r="D7">
        <f t="shared" si="2"/>
        <v>2.3593330368809617</v>
      </c>
      <c r="E7">
        <f t="shared" si="3"/>
        <v>0.36333728767966811</v>
      </c>
      <c r="F7" t="s">
        <v>150</v>
      </c>
      <c r="G7" t="s">
        <v>142</v>
      </c>
    </row>
    <row r="8" spans="1:7" x14ac:dyDescent="0.25">
      <c r="A8">
        <v>1.2</v>
      </c>
      <c r="B8">
        <f t="shared" si="0"/>
        <v>-2.5406749465509391</v>
      </c>
      <c r="C8">
        <f t="shared" si="1"/>
        <v>2.8795528477927042E-3</v>
      </c>
      <c r="D8">
        <f t="shared" si="2"/>
        <v>2.8795528477927044</v>
      </c>
      <c r="E8">
        <f t="shared" si="3"/>
        <v>0.44345113856007645</v>
      </c>
      <c r="F8" t="s">
        <v>150</v>
      </c>
      <c r="G8" t="s">
        <v>142</v>
      </c>
    </row>
    <row r="9" spans="1:7" x14ac:dyDescent="0.25">
      <c r="A9">
        <v>1.3</v>
      </c>
      <c r="B9">
        <f t="shared" si="0"/>
        <v>-2.461069723217344</v>
      </c>
      <c r="C9">
        <f t="shared" si="1"/>
        <v>3.4588384391680484E-3</v>
      </c>
      <c r="D9">
        <f t="shared" si="2"/>
        <v>3.4588384391680482</v>
      </c>
      <c r="E9">
        <f t="shared" si="3"/>
        <v>0.53266111963187945</v>
      </c>
      <c r="F9" t="s">
        <v>150</v>
      </c>
      <c r="G9" t="s">
        <v>142</v>
      </c>
    </row>
    <row r="10" spans="1:7" x14ac:dyDescent="0.25">
      <c r="A10">
        <v>1.4</v>
      </c>
      <c r="B10">
        <f t="shared" si="0"/>
        <v>-2.387366798296835</v>
      </c>
      <c r="C10">
        <f t="shared" si="1"/>
        <v>4.0985779730810861E-3</v>
      </c>
      <c r="D10">
        <f t="shared" si="2"/>
        <v>4.0985779730810865</v>
      </c>
      <c r="E10">
        <f t="shared" si="3"/>
        <v>0.63118100785448727</v>
      </c>
      <c r="F10" t="s">
        <v>150</v>
      </c>
      <c r="G10" t="s">
        <v>142</v>
      </c>
    </row>
    <row r="11" spans="1:7" x14ac:dyDescent="0.25">
      <c r="A11">
        <v>1.5</v>
      </c>
      <c r="B11">
        <f t="shared" si="0"/>
        <v>-2.3187510167624898</v>
      </c>
      <c r="C11">
        <f t="shared" si="1"/>
        <v>4.8000856111931941E-3</v>
      </c>
      <c r="D11">
        <f t="shared" si="2"/>
        <v>4.800085611193194</v>
      </c>
      <c r="E11">
        <f t="shared" si="3"/>
        <v>0.73921318412375181</v>
      </c>
      <c r="F11" t="s">
        <v>150</v>
      </c>
      <c r="G11" t="s">
        <v>142</v>
      </c>
    </row>
    <row r="12" spans="1:7" x14ac:dyDescent="0.25">
      <c r="A12">
        <v>1.6</v>
      </c>
      <c r="B12">
        <f t="shared" si="0"/>
        <v>-2.2545652397179321</v>
      </c>
      <c r="C12">
        <f t="shared" si="1"/>
        <v>5.5646103640138887E-3</v>
      </c>
      <c r="D12">
        <f t="shared" si="2"/>
        <v>5.5646103640138884</v>
      </c>
      <c r="E12">
        <f t="shared" si="3"/>
        <v>0.85694999605813882</v>
      </c>
      <c r="F12" t="s">
        <v>150</v>
      </c>
      <c r="G12" t="s">
        <v>142</v>
      </c>
    </row>
    <row r="13" spans="1:7" x14ac:dyDescent="0.25">
      <c r="A13">
        <v>1.7</v>
      </c>
      <c r="B13">
        <f t="shared" si="0"/>
        <v>-2.1942719700437525</v>
      </c>
      <c r="C13">
        <f t="shared" si="1"/>
        <v>6.3933433708587726E-3</v>
      </c>
      <c r="D13">
        <f t="shared" si="2"/>
        <v>6.3933433708587728</v>
      </c>
      <c r="E13">
        <f t="shared" si="3"/>
        <v>0.98457487911225094</v>
      </c>
      <c r="F13" t="s">
        <v>150</v>
      </c>
      <c r="G13" t="s">
        <v>142</v>
      </c>
    </row>
    <row r="14" spans="1:7" x14ac:dyDescent="0.25">
      <c r="A14">
        <v>1.8</v>
      </c>
      <c r="B14">
        <f t="shared" si="0"/>
        <v>-2.1374259633134289</v>
      </c>
      <c r="C14">
        <f t="shared" si="1"/>
        <v>7.2874239684631911E-3</v>
      </c>
      <c r="D14">
        <f t="shared" si="2"/>
        <v>7.287423968463191</v>
      </c>
      <c r="E14">
        <f t="shared" si="3"/>
        <v>1.1222632911433315</v>
      </c>
      <c r="F14" t="s">
        <v>150</v>
      </c>
      <c r="G14" t="s">
        <v>142</v>
      </c>
    </row>
    <row r="15" spans="1:7" x14ac:dyDescent="0.25">
      <c r="A15">
        <v>1.9</v>
      </c>
      <c r="B15">
        <f t="shared" si="0"/>
        <v>-2.0836542538180218</v>
      </c>
      <c r="C15">
        <f t="shared" si="1"/>
        <v>8.247944808465581E-3</v>
      </c>
      <c r="D15">
        <f t="shared" si="2"/>
        <v>8.2479448084655811</v>
      </c>
      <c r="E15">
        <f t="shared" si="3"/>
        <v>1.2701835005036994</v>
      </c>
      <c r="F15" t="s">
        <v>150</v>
      </c>
      <c r="G15" t="s">
        <v>142</v>
      </c>
    </row>
    <row r="16" spans="1:7" x14ac:dyDescent="0.25">
      <c r="A16">
        <v>2</v>
      </c>
      <c r="B16">
        <f t="shared" si="0"/>
        <v>-2.0326413099294829</v>
      </c>
      <c r="C16">
        <f t="shared" si="1"/>
        <v>9.2759562168391423E-3</v>
      </c>
      <c r="D16">
        <f t="shared" si="2"/>
        <v>9.275956216839143</v>
      </c>
      <c r="E16">
        <f t="shared" si="3"/>
        <v>1.428497257393228</v>
      </c>
      <c r="F16" t="s">
        <v>150</v>
      </c>
      <c r="G16" t="s">
        <v>142</v>
      </c>
    </row>
    <row r="17" spans="1:7" x14ac:dyDescent="0.25">
      <c r="A17">
        <v>3</v>
      </c>
      <c r="B17">
        <f t="shared" si="0"/>
        <v>-1.629392326691973</v>
      </c>
      <c r="C17">
        <f t="shared" si="1"/>
        <v>2.3475112018459806E-2</v>
      </c>
      <c r="D17">
        <f t="shared" si="2"/>
        <v>23.475112018459807</v>
      </c>
      <c r="E17">
        <f t="shared" si="3"/>
        <v>3.6151672508428101</v>
      </c>
      <c r="F17" t="s">
        <v>150</v>
      </c>
      <c r="G17" t="s">
        <v>142</v>
      </c>
    </row>
    <row r="18" spans="1:7" x14ac:dyDescent="0.25">
      <c r="A18">
        <v>4</v>
      </c>
      <c r="B18">
        <f t="shared" si="0"/>
        <v>-1.343282619858966</v>
      </c>
      <c r="C18">
        <f t="shared" si="1"/>
        <v>4.5364630739262737E-2</v>
      </c>
      <c r="D18">
        <f t="shared" si="2"/>
        <v>45.364630739262736</v>
      </c>
      <c r="E18">
        <f t="shared" si="3"/>
        <v>6.9861531338464617</v>
      </c>
      <c r="F18" t="s">
        <v>150</v>
      </c>
      <c r="G18" t="s">
        <v>142</v>
      </c>
    </row>
    <row r="19" spans="1:7" x14ac:dyDescent="0.25">
      <c r="A19">
        <v>5</v>
      </c>
      <c r="B19">
        <f t="shared" si="0"/>
        <v>-1.1213586900705168</v>
      </c>
      <c r="C19">
        <f t="shared" si="1"/>
        <v>7.5620807388739233E-2</v>
      </c>
      <c r="D19">
        <f t="shared" si="2"/>
        <v>75.620807388739237</v>
      </c>
      <c r="E19">
        <f t="shared" si="3"/>
        <v>11.645604337865842</v>
      </c>
      <c r="F19" t="s">
        <v>150</v>
      </c>
      <c r="G19" t="s">
        <v>142</v>
      </c>
    </row>
    <row r="20" spans="1:7" x14ac:dyDescent="0.25">
      <c r="A20">
        <v>6</v>
      </c>
      <c r="B20">
        <f t="shared" si="0"/>
        <v>-0.94003363662145611</v>
      </c>
      <c r="C20">
        <f t="shared" si="1"/>
        <v>0.11480646990840845</v>
      </c>
      <c r="D20">
        <f t="shared" si="2"/>
        <v>114.80646990840846</v>
      </c>
      <c r="E20">
        <f t="shared" si="3"/>
        <v>17.680196365894904</v>
      </c>
      <c r="F20" t="s">
        <v>150</v>
      </c>
      <c r="G20" t="s">
        <v>142</v>
      </c>
    </row>
    <row r="21" spans="1:7" x14ac:dyDescent="0.25">
      <c r="A21">
        <v>7</v>
      </c>
      <c r="B21">
        <f t="shared" si="0"/>
        <v>-0.78672548836735179</v>
      </c>
      <c r="C21">
        <f t="shared" si="1"/>
        <v>0.16340845041079574</v>
      </c>
      <c r="D21">
        <f t="shared" si="2"/>
        <v>163.40845041079575</v>
      </c>
      <c r="E21">
        <f t="shared" si="3"/>
        <v>25.164901363262544</v>
      </c>
      <c r="F21" t="s">
        <v>150</v>
      </c>
      <c r="G21" t="s">
        <v>142</v>
      </c>
    </row>
    <row r="22" spans="1:7" x14ac:dyDescent="0.25">
      <c r="A22">
        <v>8</v>
      </c>
      <c r="B22">
        <f t="shared" si="0"/>
        <v>-0.65392392978844915</v>
      </c>
      <c r="C22">
        <f t="shared" si="1"/>
        <v>0.22185849889780132</v>
      </c>
      <c r="D22">
        <f t="shared" si="2"/>
        <v>221.85849889780133</v>
      </c>
      <c r="E22">
        <f t="shared" si="3"/>
        <v>34.166208830261404</v>
      </c>
      <c r="F22" t="s">
        <v>150</v>
      </c>
      <c r="G22" t="s">
        <v>142</v>
      </c>
    </row>
    <row r="23" spans="1:7" x14ac:dyDescent="0.25">
      <c r="A23">
        <v>9</v>
      </c>
      <c r="B23">
        <f t="shared" si="0"/>
        <v>-0.53678465338394599</v>
      </c>
      <c r="C23">
        <f t="shared" si="1"/>
        <v>0.2905462982513084</v>
      </c>
      <c r="D23">
        <f t="shared" si="2"/>
        <v>290.54629825130837</v>
      </c>
      <c r="E23">
        <f t="shared" si="3"/>
        <v>44.74412993070149</v>
      </c>
      <c r="F23" t="s">
        <v>150</v>
      </c>
      <c r="G23" t="s">
        <v>142</v>
      </c>
    </row>
    <row r="24" spans="1:7" x14ac:dyDescent="0.25">
      <c r="A24">
        <v>10</v>
      </c>
      <c r="B24">
        <f t="shared" si="0"/>
        <v>-0.43199999999999994</v>
      </c>
      <c r="C24">
        <f t="shared" si="1"/>
        <v>0.36982817978026622</v>
      </c>
      <c r="D24">
        <f t="shared" si="2"/>
        <v>369.82817978026623</v>
      </c>
      <c r="E24">
        <f t="shared" si="3"/>
        <v>56.953539686161001</v>
      </c>
      <c r="F24" t="s">
        <v>150</v>
      </c>
      <c r="G24" t="s">
        <v>142</v>
      </c>
    </row>
    <row r="25" spans="1:7" x14ac:dyDescent="0.25">
      <c r="A25">
        <v>11</v>
      </c>
      <c r="B25">
        <f t="shared" si="0"/>
        <v>-0.33721075098766429</v>
      </c>
      <c r="C25">
        <f t="shared" si="1"/>
        <v>0.46003327809930994</v>
      </c>
      <c r="D25">
        <f t="shared" si="2"/>
        <v>460.03327809930994</v>
      </c>
      <c r="E25">
        <f t="shared" si="3"/>
        <v>70.845124827293731</v>
      </c>
      <c r="F25" t="s">
        <v>150</v>
      </c>
      <c r="G25" t="s">
        <v>142</v>
      </c>
    </row>
    <row r="26" spans="1:7" x14ac:dyDescent="0.25">
      <c r="A26">
        <v>12</v>
      </c>
      <c r="B26">
        <f t="shared" si="0"/>
        <v>-0.25067494655093903</v>
      </c>
      <c r="C26">
        <f t="shared" si="1"/>
        <v>0.56146805699865077</v>
      </c>
      <c r="D26">
        <f t="shared" si="2"/>
        <v>561.46805699865081</v>
      </c>
      <c r="E26">
        <f t="shared" si="3"/>
        <v>86.466080777792229</v>
      </c>
      <c r="F26" t="s">
        <v>150</v>
      </c>
      <c r="G26" t="s">
        <v>142</v>
      </c>
    </row>
    <row r="27" spans="1:7" x14ac:dyDescent="0.25">
      <c r="A27">
        <v>13</v>
      </c>
      <c r="B27">
        <f t="shared" si="0"/>
        <v>-0.17106972321734393</v>
      </c>
      <c r="C27">
        <f t="shared" si="1"/>
        <v>0.67441974520473724</v>
      </c>
      <c r="D27">
        <f t="shared" si="2"/>
        <v>674.4197452047373</v>
      </c>
      <c r="E27">
        <f t="shared" si="3"/>
        <v>103.86064076152954</v>
      </c>
      <c r="F27" t="s">
        <v>150</v>
      </c>
      <c r="G27" t="s">
        <v>142</v>
      </c>
    </row>
    <row r="28" spans="1:7" x14ac:dyDescent="0.25">
      <c r="A28">
        <v>14</v>
      </c>
      <c r="B28">
        <f t="shared" si="0"/>
        <v>-9.7366798296834922E-2</v>
      </c>
      <c r="C28">
        <f t="shared" si="1"/>
        <v>0.79915901274994361</v>
      </c>
      <c r="D28">
        <f t="shared" si="2"/>
        <v>799.1590127499436</v>
      </c>
      <c r="E28">
        <f t="shared" si="3"/>
        <v>123.07048796349132</v>
      </c>
      <c r="F28" t="s">
        <v>150</v>
      </c>
      <c r="G28" t="s">
        <v>142</v>
      </c>
    </row>
    <row r="29" spans="1:7" x14ac:dyDescent="0.25">
      <c r="A29">
        <v>15</v>
      </c>
      <c r="B29">
        <f t="shared" si="0"/>
        <v>-2.8751016762489812E-2</v>
      </c>
      <c r="C29">
        <f t="shared" si="1"/>
        <v>0.9359421007361356</v>
      </c>
      <c r="D29">
        <f t="shared" si="2"/>
        <v>935.94210073613556</v>
      </c>
      <c r="E29">
        <f t="shared" si="3"/>
        <v>144.13508351336486</v>
      </c>
      <c r="F29" t="s">
        <v>150</v>
      </c>
      <c r="G29" t="s">
        <v>142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74E34-57B5-4889-A1F4-5534A19C452A}">
  <dimension ref="A1:G29"/>
  <sheetViews>
    <sheetView workbookViewId="0">
      <selection activeCell="E2" sqref="E2:E29"/>
    </sheetView>
  </sheetViews>
  <sheetFormatPr defaultRowHeight="15" x14ac:dyDescent="0.25"/>
  <sheetData>
    <row r="1" spans="1:7" x14ac:dyDescent="0.25">
      <c r="A1" t="s">
        <v>152</v>
      </c>
      <c r="B1" t="s">
        <v>33</v>
      </c>
      <c r="C1" t="s">
        <v>34</v>
      </c>
      <c r="D1" t="s">
        <v>35</v>
      </c>
      <c r="E1" t="s">
        <v>36</v>
      </c>
      <c r="F1" t="s">
        <v>18</v>
      </c>
      <c r="G1" t="s">
        <v>68</v>
      </c>
    </row>
    <row r="2" spans="1:7" x14ac:dyDescent="0.25">
      <c r="A2">
        <v>0.6</v>
      </c>
      <c r="B2">
        <f>-3.427+2.875*LOG10(A2)</f>
        <v>-4.0648151551470244</v>
      </c>
      <c r="C2">
        <f>10^B2</f>
        <v>8.6136028720593046E-5</v>
      </c>
      <c r="D2">
        <f>C2*1000</f>
        <v>8.6136028720593047E-2</v>
      </c>
      <c r="E2">
        <f>D2*0.154</f>
        <v>1.3264948422971328E-2</v>
      </c>
      <c r="F2" t="s">
        <v>180</v>
      </c>
      <c r="G2" t="s">
        <v>142</v>
      </c>
    </row>
    <row r="3" spans="1:7" x14ac:dyDescent="0.25">
      <c r="A3">
        <v>0.7</v>
      </c>
      <c r="B3">
        <f t="shared" ref="B3:B29" si="0">-3.427+2.875*LOG10(A3)</f>
        <v>-3.8723431349590118</v>
      </c>
      <c r="C3">
        <f t="shared" ref="C3:C29" si="1">10^B3</f>
        <v>1.341704464980344E-4</v>
      </c>
      <c r="D3">
        <f t="shared" ref="D3:D29" si="2">C3*1000</f>
        <v>0.13417044649803439</v>
      </c>
      <c r="E3">
        <f t="shared" ref="E3:E29" si="3">D3*0.154</f>
        <v>2.0662248760697294E-2</v>
      </c>
      <c r="F3" t="s">
        <v>180</v>
      </c>
      <c r="G3" t="s">
        <v>142</v>
      </c>
    </row>
    <row r="4" spans="1:7" x14ac:dyDescent="0.25">
      <c r="A4">
        <v>0.8</v>
      </c>
      <c r="B4">
        <f t="shared" si="0"/>
        <v>-3.7056162873981622</v>
      </c>
      <c r="C4">
        <f t="shared" si="1"/>
        <v>1.9696257464036395E-4</v>
      </c>
      <c r="D4">
        <f t="shared" si="2"/>
        <v>0.19696257464036396</v>
      </c>
      <c r="E4">
        <f t="shared" si="3"/>
        <v>3.0332236494616048E-2</v>
      </c>
      <c r="F4" t="s">
        <v>180</v>
      </c>
      <c r="G4" t="s">
        <v>142</v>
      </c>
    </row>
    <row r="5" spans="1:7" x14ac:dyDescent="0.25">
      <c r="A5">
        <v>0.9</v>
      </c>
      <c r="B5">
        <f t="shared" si="0"/>
        <v>-3.558552785361941</v>
      </c>
      <c r="C5">
        <f t="shared" si="1"/>
        <v>2.7634220247419849E-4</v>
      </c>
      <c r="D5">
        <f t="shared" si="2"/>
        <v>0.2763422024741985</v>
      </c>
      <c r="E5">
        <f t="shared" si="3"/>
        <v>4.2556699181026565E-2</v>
      </c>
      <c r="F5" t="s">
        <v>180</v>
      </c>
      <c r="G5" t="s">
        <v>142</v>
      </c>
    </row>
    <row r="6" spans="1:7" x14ac:dyDescent="0.25">
      <c r="A6">
        <v>1</v>
      </c>
      <c r="B6">
        <f t="shared" si="0"/>
        <v>-3.427</v>
      </c>
      <c r="C6">
        <f t="shared" si="1"/>
        <v>3.7411058827205312E-4</v>
      </c>
      <c r="D6">
        <f t="shared" si="2"/>
        <v>0.37411058827205312</v>
      </c>
      <c r="E6">
        <f t="shared" si="3"/>
        <v>5.7613030593896178E-2</v>
      </c>
      <c r="F6" t="s">
        <v>180</v>
      </c>
      <c r="G6" t="s">
        <v>142</v>
      </c>
    </row>
    <row r="7" spans="1:7" x14ac:dyDescent="0.25">
      <c r="A7">
        <v>1.1000000000000001</v>
      </c>
      <c r="B7">
        <f t="shared" si="0"/>
        <v>-3.307996030170103</v>
      </c>
      <c r="C7">
        <f t="shared" si="1"/>
        <v>4.9204403337199968E-4</v>
      </c>
      <c r="D7">
        <f t="shared" si="2"/>
        <v>0.4920440333719997</v>
      </c>
      <c r="E7">
        <f t="shared" si="3"/>
        <v>7.5774781139287956E-2</v>
      </c>
      <c r="F7" t="s">
        <v>180</v>
      </c>
      <c r="G7" t="s">
        <v>142</v>
      </c>
    </row>
    <row r="8" spans="1:7" x14ac:dyDescent="0.25">
      <c r="A8">
        <v>1.2</v>
      </c>
      <c r="B8">
        <f t="shared" si="0"/>
        <v>-3.1993539176130787</v>
      </c>
      <c r="C8">
        <f t="shared" si="1"/>
        <v>6.3189669281902021E-4</v>
      </c>
      <c r="D8">
        <f t="shared" si="2"/>
        <v>0.63189669281902017</v>
      </c>
      <c r="E8">
        <f t="shared" si="3"/>
        <v>9.7312090694129105E-2</v>
      </c>
      <c r="F8" t="s">
        <v>180</v>
      </c>
      <c r="G8" t="s">
        <v>142</v>
      </c>
    </row>
    <row r="9" spans="1:7" x14ac:dyDescent="0.25">
      <c r="A9">
        <v>1.3</v>
      </c>
      <c r="B9">
        <f t="shared" si="0"/>
        <v>-3.0994128621178443</v>
      </c>
      <c r="C9">
        <f t="shared" si="1"/>
        <v>7.9540284104989158E-4</v>
      </c>
      <c r="D9">
        <f t="shared" si="2"/>
        <v>0.79540284104989156</v>
      </c>
      <c r="E9">
        <f t="shared" si="3"/>
        <v>0.12249203752168331</v>
      </c>
      <c r="F9" t="s">
        <v>180</v>
      </c>
      <c r="G9" t="s">
        <v>142</v>
      </c>
    </row>
    <row r="10" spans="1:7" x14ac:dyDescent="0.25">
      <c r="A10">
        <v>1.4</v>
      </c>
      <c r="B10">
        <f t="shared" si="0"/>
        <v>-3.0068818974250657</v>
      </c>
      <c r="C10">
        <f t="shared" si="1"/>
        <v>9.8427873533818845E-4</v>
      </c>
      <c r="D10">
        <f t="shared" si="2"/>
        <v>0.98427873533818844</v>
      </c>
      <c r="E10">
        <f t="shared" si="3"/>
        <v>0.15157892524208103</v>
      </c>
      <c r="F10" t="s">
        <v>180</v>
      </c>
      <c r="G10" t="s">
        <v>142</v>
      </c>
    </row>
    <row r="11" spans="1:7" x14ac:dyDescent="0.25">
      <c r="A11">
        <v>1.5</v>
      </c>
      <c r="B11">
        <f t="shared" si="0"/>
        <v>-2.9207376302149166</v>
      </c>
      <c r="C11">
        <f t="shared" si="1"/>
        <v>1.2002241741068428E-3</v>
      </c>
      <c r="D11">
        <f t="shared" si="2"/>
        <v>1.2002241741068429</v>
      </c>
      <c r="E11">
        <f t="shared" si="3"/>
        <v>0.1848345228124538</v>
      </c>
      <c r="F11" t="s">
        <v>180</v>
      </c>
      <c r="G11" t="s">
        <v>142</v>
      </c>
    </row>
    <row r="12" spans="1:7" x14ac:dyDescent="0.25">
      <c r="A12">
        <v>1.6</v>
      </c>
      <c r="B12">
        <f t="shared" si="0"/>
        <v>-2.8401550498642161</v>
      </c>
      <c r="C12">
        <f t="shared" si="1"/>
        <v>1.4449238184417262E-3</v>
      </c>
      <c r="D12">
        <f t="shared" si="2"/>
        <v>1.4449238184417261</v>
      </c>
      <c r="E12">
        <f t="shared" si="3"/>
        <v>0.22251826804002581</v>
      </c>
      <c r="F12" t="s">
        <v>180</v>
      </c>
      <c r="G12" t="s">
        <v>142</v>
      </c>
    </row>
    <row r="13" spans="1:7" x14ac:dyDescent="0.25">
      <c r="A13">
        <v>1.7</v>
      </c>
      <c r="B13">
        <f t="shared" si="0"/>
        <v>-2.7644593510374627</v>
      </c>
      <c r="C13">
        <f t="shared" si="1"/>
        <v>1.7200483262631528E-3</v>
      </c>
      <c r="D13">
        <f t="shared" si="2"/>
        <v>1.7200483262631527</v>
      </c>
      <c r="E13">
        <f t="shared" si="3"/>
        <v>0.26488744224452554</v>
      </c>
      <c r="F13" t="s">
        <v>180</v>
      </c>
      <c r="G13" t="s">
        <v>142</v>
      </c>
    </row>
    <row r="14" spans="1:7" x14ac:dyDescent="0.25">
      <c r="A14">
        <v>1.8</v>
      </c>
      <c r="B14">
        <f t="shared" si="0"/>
        <v>-2.6930915478279953</v>
      </c>
      <c r="C14">
        <f t="shared" si="1"/>
        <v>2.0272553358153911E-3</v>
      </c>
      <c r="D14">
        <f t="shared" si="2"/>
        <v>2.0272553358153909</v>
      </c>
      <c r="E14">
        <f t="shared" si="3"/>
        <v>0.31219732171557019</v>
      </c>
      <c r="F14" t="s">
        <v>180</v>
      </c>
      <c r="G14" t="s">
        <v>142</v>
      </c>
    </row>
    <row r="15" spans="1:7" x14ac:dyDescent="0.25">
      <c r="A15">
        <v>1.9</v>
      </c>
      <c r="B15">
        <f t="shared" si="0"/>
        <v>-2.6255833972606171</v>
      </c>
      <c r="C15">
        <f t="shared" si="1"/>
        <v>2.36819032621276E-3</v>
      </c>
      <c r="D15">
        <f t="shared" si="2"/>
        <v>2.3681903262127602</v>
      </c>
      <c r="E15">
        <f t="shared" si="3"/>
        <v>0.36470131023676505</v>
      </c>
      <c r="F15" t="s">
        <v>180</v>
      </c>
      <c r="G15" t="s">
        <v>142</v>
      </c>
    </row>
    <row r="16" spans="1:7" x14ac:dyDescent="0.25">
      <c r="A16">
        <v>2</v>
      </c>
      <c r="B16">
        <f t="shared" si="0"/>
        <v>-2.5615387624660539</v>
      </c>
      <c r="C16">
        <f t="shared" si="1"/>
        <v>2.7444873764092062E-3</v>
      </c>
      <c r="D16">
        <f t="shared" si="2"/>
        <v>2.7444873764092064</v>
      </c>
      <c r="E16">
        <f t="shared" si="3"/>
        <v>0.4226510559670178</v>
      </c>
      <c r="F16" t="s">
        <v>180</v>
      </c>
      <c r="G16" t="s">
        <v>142</v>
      </c>
    </row>
    <row r="17" spans="1:7" x14ac:dyDescent="0.25">
      <c r="A17">
        <v>3</v>
      </c>
      <c r="B17">
        <f t="shared" si="0"/>
        <v>-2.0552763926809705</v>
      </c>
      <c r="C17">
        <f t="shared" si="1"/>
        <v>8.8048833632637068E-3</v>
      </c>
      <c r="D17">
        <f t="shared" si="2"/>
        <v>8.8048833632637074</v>
      </c>
      <c r="E17">
        <f t="shared" si="3"/>
        <v>1.3559520379426109</v>
      </c>
      <c r="F17" t="s">
        <v>180</v>
      </c>
      <c r="G17" t="s">
        <v>142</v>
      </c>
    </row>
    <row r="18" spans="1:7" x14ac:dyDescent="0.25">
      <c r="A18">
        <v>4</v>
      </c>
      <c r="B18">
        <f t="shared" si="0"/>
        <v>-1.6960775249321081</v>
      </c>
      <c r="C18">
        <f t="shared" si="1"/>
        <v>2.0133648165531388E-2</v>
      </c>
      <c r="D18">
        <f t="shared" si="2"/>
        <v>20.133648165531387</v>
      </c>
      <c r="E18">
        <f t="shared" si="3"/>
        <v>3.1005818174918334</v>
      </c>
      <c r="F18" t="s">
        <v>180</v>
      </c>
      <c r="G18" t="s">
        <v>142</v>
      </c>
    </row>
    <row r="19" spans="1:7" x14ac:dyDescent="0.25">
      <c r="A19">
        <v>5</v>
      </c>
      <c r="B19">
        <f t="shared" si="0"/>
        <v>-1.4174612375339457</v>
      </c>
      <c r="C19">
        <f t="shared" si="1"/>
        <v>3.8241838445819618E-2</v>
      </c>
      <c r="D19">
        <f t="shared" si="2"/>
        <v>38.241838445819617</v>
      </c>
      <c r="E19">
        <f t="shared" si="3"/>
        <v>5.8892431206562206</v>
      </c>
      <c r="F19" t="s">
        <v>180</v>
      </c>
      <c r="G19" t="s">
        <v>142</v>
      </c>
    </row>
    <row r="20" spans="1:7" x14ac:dyDescent="0.25">
      <c r="A20">
        <v>6</v>
      </c>
      <c r="B20">
        <f t="shared" si="0"/>
        <v>-1.1898151551470244</v>
      </c>
      <c r="C20">
        <f t="shared" si="1"/>
        <v>6.4592909152466932E-2</v>
      </c>
      <c r="D20">
        <f t="shared" si="2"/>
        <v>64.59290915246693</v>
      </c>
      <c r="E20">
        <f t="shared" si="3"/>
        <v>9.947308009479908</v>
      </c>
      <c r="F20" t="s">
        <v>180</v>
      </c>
      <c r="G20" t="s">
        <v>142</v>
      </c>
    </row>
    <row r="21" spans="1:7" x14ac:dyDescent="0.25">
      <c r="A21">
        <v>7</v>
      </c>
      <c r="B21">
        <f t="shared" si="0"/>
        <v>-0.99734313495901183</v>
      </c>
      <c r="C21">
        <f t="shared" si="1"/>
        <v>0.10061364089242601</v>
      </c>
      <c r="D21">
        <f t="shared" si="2"/>
        <v>100.61364089242601</v>
      </c>
      <c r="E21">
        <f t="shared" si="3"/>
        <v>15.494500697433605</v>
      </c>
      <c r="F21" t="s">
        <v>180</v>
      </c>
      <c r="G21" t="s">
        <v>142</v>
      </c>
    </row>
    <row r="22" spans="1:7" x14ac:dyDescent="0.25">
      <c r="A22">
        <v>8</v>
      </c>
      <c r="B22">
        <f t="shared" si="0"/>
        <v>-0.83061628739816218</v>
      </c>
      <c r="C22">
        <f t="shared" si="1"/>
        <v>0.14770109417802077</v>
      </c>
      <c r="D22">
        <f t="shared" si="2"/>
        <v>147.70109417802078</v>
      </c>
      <c r="E22">
        <f t="shared" si="3"/>
        <v>22.745968503415199</v>
      </c>
      <c r="F22" t="s">
        <v>180</v>
      </c>
      <c r="G22" t="s">
        <v>142</v>
      </c>
    </row>
    <row r="23" spans="1:7" x14ac:dyDescent="0.25">
      <c r="A23">
        <v>9</v>
      </c>
      <c r="B23">
        <f t="shared" si="0"/>
        <v>-0.68355278536194097</v>
      </c>
      <c r="C23">
        <f t="shared" si="1"/>
        <v>0.20722741742957865</v>
      </c>
      <c r="D23">
        <f t="shared" si="2"/>
        <v>207.22741742957865</v>
      </c>
      <c r="E23">
        <f t="shared" si="3"/>
        <v>31.913022284155112</v>
      </c>
      <c r="F23" t="s">
        <v>180</v>
      </c>
      <c r="G23" t="s">
        <v>142</v>
      </c>
    </row>
    <row r="24" spans="1:7" x14ac:dyDescent="0.25">
      <c r="A24">
        <v>10</v>
      </c>
      <c r="B24">
        <f t="shared" si="0"/>
        <v>-0.55200000000000005</v>
      </c>
      <c r="C24">
        <f t="shared" si="1"/>
        <v>0.28054336379517131</v>
      </c>
      <c r="D24">
        <f t="shared" si="2"/>
        <v>280.54336379517133</v>
      </c>
      <c r="E24">
        <f t="shared" si="3"/>
        <v>43.203678024456387</v>
      </c>
      <c r="F24" t="s">
        <v>180</v>
      </c>
      <c r="G24" t="s">
        <v>142</v>
      </c>
    </row>
    <row r="25" spans="1:7" x14ac:dyDescent="0.25">
      <c r="A25">
        <v>11</v>
      </c>
      <c r="B25">
        <f t="shared" si="0"/>
        <v>-0.43299603017010257</v>
      </c>
      <c r="C25">
        <f t="shared" si="1"/>
        <v>0.36898097136224883</v>
      </c>
      <c r="D25">
        <f t="shared" si="2"/>
        <v>368.98097136224885</v>
      </c>
      <c r="E25">
        <f t="shared" si="3"/>
        <v>56.823069589786321</v>
      </c>
      <c r="F25" t="s">
        <v>180</v>
      </c>
      <c r="G25" t="s">
        <v>142</v>
      </c>
    </row>
    <row r="26" spans="1:7" x14ac:dyDescent="0.25">
      <c r="A26">
        <v>12</v>
      </c>
      <c r="B26">
        <f t="shared" si="0"/>
        <v>-0.3243539176130783</v>
      </c>
      <c r="C26">
        <f t="shared" si="1"/>
        <v>0.47385567084131375</v>
      </c>
      <c r="D26">
        <f t="shared" si="2"/>
        <v>473.85567084131372</v>
      </c>
      <c r="E26">
        <f t="shared" si="3"/>
        <v>72.973773309562318</v>
      </c>
      <c r="F26" t="s">
        <v>180</v>
      </c>
      <c r="G26" t="s">
        <v>142</v>
      </c>
    </row>
    <row r="27" spans="1:7" x14ac:dyDescent="0.25">
      <c r="A27">
        <v>13</v>
      </c>
      <c r="B27">
        <f t="shared" si="0"/>
        <v>-0.22441286211784428</v>
      </c>
      <c r="C27">
        <f t="shared" si="1"/>
        <v>0.59646798458989769</v>
      </c>
      <c r="D27">
        <f t="shared" si="2"/>
        <v>596.4679845898977</v>
      </c>
      <c r="E27">
        <f t="shared" si="3"/>
        <v>91.856069626844246</v>
      </c>
      <c r="F27" t="s">
        <v>180</v>
      </c>
      <c r="G27" t="s">
        <v>142</v>
      </c>
    </row>
    <row r="28" spans="1:7" x14ac:dyDescent="0.25">
      <c r="A28">
        <v>14</v>
      </c>
      <c r="B28">
        <f t="shared" si="0"/>
        <v>-0.13188189742506573</v>
      </c>
      <c r="C28">
        <f t="shared" si="1"/>
        <v>0.7381049239991806</v>
      </c>
      <c r="D28">
        <f t="shared" si="2"/>
        <v>738.10492399918064</v>
      </c>
      <c r="E28">
        <f t="shared" si="3"/>
        <v>113.66815829587382</v>
      </c>
      <c r="F28" t="s">
        <v>180</v>
      </c>
      <c r="G28" t="s">
        <v>142</v>
      </c>
    </row>
    <row r="29" spans="1:7" x14ac:dyDescent="0.25">
      <c r="A29">
        <v>15</v>
      </c>
      <c r="B29">
        <f t="shared" si="0"/>
        <v>-4.573763021491617E-2</v>
      </c>
      <c r="C29">
        <f t="shared" si="1"/>
        <v>0.90004115806355234</v>
      </c>
      <c r="D29">
        <f t="shared" si="2"/>
        <v>900.0411580635523</v>
      </c>
      <c r="E29">
        <f t="shared" si="3"/>
        <v>138.60633834178705</v>
      </c>
      <c r="F29" t="s">
        <v>180</v>
      </c>
      <c r="G29" t="s">
        <v>142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D7363-B672-4D27-AEDB-F34046091C50}">
  <dimension ref="A1:G29"/>
  <sheetViews>
    <sheetView workbookViewId="0">
      <selection activeCell="E2" sqref="E2"/>
    </sheetView>
  </sheetViews>
  <sheetFormatPr defaultRowHeight="15" x14ac:dyDescent="0.25"/>
  <sheetData>
    <row r="1" spans="1:7" x14ac:dyDescent="0.25">
      <c r="A1" t="s">
        <v>152</v>
      </c>
      <c r="B1" t="s">
        <v>33</v>
      </c>
      <c r="C1" t="s">
        <v>34</v>
      </c>
      <c r="D1" t="s">
        <v>35</v>
      </c>
      <c r="E1" t="s">
        <v>36</v>
      </c>
      <c r="F1" t="s">
        <v>18</v>
      </c>
      <c r="G1" t="s">
        <v>68</v>
      </c>
    </row>
    <row r="2" spans="1:7" x14ac:dyDescent="0.25">
      <c r="A2">
        <v>0.6</v>
      </c>
      <c r="B2">
        <f>-3.124+2.914*LOG10(A2)</f>
        <v>-3.7704672563820627</v>
      </c>
      <c r="C2">
        <f>10^B2</f>
        <v>1.696417498779225E-4</v>
      </c>
      <c r="D2">
        <f>C2*1000</f>
        <v>0.16964174987792249</v>
      </c>
      <c r="E2">
        <f>D2*0.154</f>
        <v>2.6124829481200065E-2</v>
      </c>
      <c r="F2" t="s">
        <v>176</v>
      </c>
      <c r="G2" t="s">
        <v>142</v>
      </c>
    </row>
    <row r="3" spans="1:7" x14ac:dyDescent="0.25">
      <c r="A3">
        <v>0.7</v>
      </c>
      <c r="B3">
        <f t="shared" ref="B3:B29" si="0">-3.124+2.914*LOG10(A3)</f>
        <v>-3.575384311398456</v>
      </c>
      <c r="C3">
        <f t="shared" ref="C3:C29" si="1">10^B3</f>
        <v>2.6583715998452774E-4</v>
      </c>
      <c r="D3">
        <f t="shared" ref="D3:D29" si="2">C3*1000</f>
        <v>0.26583715998452773</v>
      </c>
      <c r="E3">
        <f t="shared" ref="E3:E29" si="3">D3*0.154</f>
        <v>4.0938922637617267E-2</v>
      </c>
      <c r="F3" t="s">
        <v>176</v>
      </c>
      <c r="G3" t="s">
        <v>142</v>
      </c>
    </row>
    <row r="4" spans="1:7" x14ac:dyDescent="0.25">
      <c r="A4">
        <v>0.8</v>
      </c>
      <c r="B4">
        <f t="shared" si="0"/>
        <v>-3.4063957779054763</v>
      </c>
      <c r="C4">
        <f t="shared" si="1"/>
        <v>3.9228727623271423E-4</v>
      </c>
      <c r="D4">
        <f t="shared" si="2"/>
        <v>0.3922872762327142</v>
      </c>
      <c r="E4">
        <f t="shared" si="3"/>
        <v>6.0412240539837986E-2</v>
      </c>
      <c r="F4" t="s">
        <v>176</v>
      </c>
      <c r="G4" t="s">
        <v>142</v>
      </c>
    </row>
    <row r="5" spans="1:7" x14ac:dyDescent="0.25">
      <c r="A5">
        <v>0.9</v>
      </c>
      <c r="B5">
        <f t="shared" si="0"/>
        <v>-3.2573373274938073</v>
      </c>
      <c r="C5">
        <f t="shared" si="1"/>
        <v>5.5292047508444632E-4</v>
      </c>
      <c r="D5">
        <f t="shared" si="2"/>
        <v>0.55292047508444631</v>
      </c>
      <c r="E5">
        <f t="shared" si="3"/>
        <v>8.5149753163004729E-2</v>
      </c>
      <c r="F5" t="s">
        <v>176</v>
      </c>
      <c r="G5" t="s">
        <v>142</v>
      </c>
    </row>
    <row r="6" spans="1:7" x14ac:dyDescent="0.25">
      <c r="A6">
        <v>1</v>
      </c>
      <c r="B6">
        <f t="shared" si="0"/>
        <v>-3.1240000000000001</v>
      </c>
      <c r="C6">
        <f t="shared" si="1"/>
        <v>7.5162289401820503E-4</v>
      </c>
      <c r="D6">
        <f t="shared" si="2"/>
        <v>0.75162289401820503</v>
      </c>
      <c r="E6">
        <f t="shared" si="3"/>
        <v>0.11574992567880357</v>
      </c>
      <c r="F6" t="s">
        <v>176</v>
      </c>
      <c r="G6" t="s">
        <v>142</v>
      </c>
    </row>
    <row r="7" spans="1:7" x14ac:dyDescent="0.25">
      <c r="A7">
        <v>1.1000000000000001</v>
      </c>
      <c r="B7">
        <f t="shared" si="0"/>
        <v>-3.0033817154489322</v>
      </c>
      <c r="C7">
        <f t="shared" si="1"/>
        <v>9.9224355013550016E-4</v>
      </c>
      <c r="D7">
        <f t="shared" si="2"/>
        <v>0.99224355013550014</v>
      </c>
      <c r="E7">
        <f t="shared" si="3"/>
        <v>0.15280550672086701</v>
      </c>
      <c r="F7" t="s">
        <v>176</v>
      </c>
      <c r="G7" t="s">
        <v>142</v>
      </c>
    </row>
    <row r="8" spans="1:7" x14ac:dyDescent="0.25">
      <c r="A8">
        <v>1.2</v>
      </c>
      <c r="B8">
        <f t="shared" si="0"/>
        <v>-2.8932658490172214</v>
      </c>
      <c r="C8">
        <f t="shared" si="1"/>
        <v>1.2785983833594244E-3</v>
      </c>
      <c r="D8">
        <f t="shared" si="2"/>
        <v>1.2785983833594243</v>
      </c>
      <c r="E8">
        <f t="shared" si="3"/>
        <v>0.19690415103735134</v>
      </c>
      <c r="F8" t="s">
        <v>176</v>
      </c>
      <c r="G8" t="s">
        <v>142</v>
      </c>
    </row>
    <row r="9" spans="1:7" x14ac:dyDescent="0.25">
      <c r="A9">
        <v>1.3</v>
      </c>
      <c r="B9">
        <f t="shared" si="0"/>
        <v>-2.7919690713778778</v>
      </c>
      <c r="C9">
        <f t="shared" si="1"/>
        <v>1.6144735287310222E-3</v>
      </c>
      <c r="D9">
        <f t="shared" si="2"/>
        <v>1.6144735287310223</v>
      </c>
      <c r="E9">
        <f t="shared" si="3"/>
        <v>0.24862892342457743</v>
      </c>
      <c r="F9" t="s">
        <v>176</v>
      </c>
      <c r="G9" t="s">
        <v>142</v>
      </c>
    </row>
    <row r="10" spans="1:7" x14ac:dyDescent="0.25">
      <c r="A10">
        <v>1.4</v>
      </c>
      <c r="B10">
        <f t="shared" si="0"/>
        <v>-2.6981829040336147</v>
      </c>
      <c r="C10">
        <f t="shared" si="1"/>
        <v>2.0036280174996778E-3</v>
      </c>
      <c r="D10">
        <f t="shared" si="2"/>
        <v>2.0036280174996777</v>
      </c>
      <c r="E10">
        <f t="shared" si="3"/>
        <v>0.30855871469495033</v>
      </c>
      <c r="F10" t="s">
        <v>176</v>
      </c>
      <c r="G10" t="s">
        <v>142</v>
      </c>
    </row>
    <row r="11" spans="1:7" x14ac:dyDescent="0.25">
      <c r="A11">
        <v>1.5</v>
      </c>
      <c r="B11">
        <f t="shared" si="0"/>
        <v>-2.6108700711117452</v>
      </c>
      <c r="C11">
        <f t="shared" si="1"/>
        <v>2.4497960433911875E-3</v>
      </c>
      <c r="D11">
        <f t="shared" si="2"/>
        <v>2.4497960433911876</v>
      </c>
      <c r="E11">
        <f t="shared" si="3"/>
        <v>0.37726859068224289</v>
      </c>
      <c r="F11" t="s">
        <v>176</v>
      </c>
      <c r="G11" t="s">
        <v>142</v>
      </c>
    </row>
    <row r="12" spans="1:7" x14ac:dyDescent="0.25">
      <c r="A12">
        <v>1.6</v>
      </c>
      <c r="B12">
        <f t="shared" si="0"/>
        <v>-2.529194370540635</v>
      </c>
      <c r="C12">
        <f t="shared" si="1"/>
        <v>2.9566888903501997E-3</v>
      </c>
      <c r="D12">
        <f t="shared" si="2"/>
        <v>2.9566888903501996</v>
      </c>
      <c r="E12">
        <f t="shared" si="3"/>
        <v>0.45533008911393075</v>
      </c>
      <c r="F12" t="s">
        <v>176</v>
      </c>
      <c r="G12" t="s">
        <v>142</v>
      </c>
    </row>
    <row r="13" spans="1:7" x14ac:dyDescent="0.25">
      <c r="A13">
        <v>1.7</v>
      </c>
      <c r="B13">
        <f t="shared" si="0"/>
        <v>-2.45247184310371</v>
      </c>
      <c r="C13">
        <f t="shared" si="1"/>
        <v>3.5279965916691376E-3</v>
      </c>
      <c r="D13">
        <f t="shared" si="2"/>
        <v>3.5279965916691376</v>
      </c>
      <c r="E13">
        <f t="shared" si="3"/>
        <v>0.54331147511704714</v>
      </c>
      <c r="F13" t="s">
        <v>176</v>
      </c>
      <c r="G13" t="s">
        <v>142</v>
      </c>
    </row>
    <row r="14" spans="1:7" x14ac:dyDescent="0.25">
      <c r="A14">
        <v>1.8</v>
      </c>
      <c r="B14">
        <f t="shared" si="0"/>
        <v>-2.380135920128966</v>
      </c>
      <c r="C14">
        <f t="shared" si="1"/>
        <v>4.1673893724748909E-3</v>
      </c>
      <c r="D14">
        <f t="shared" si="2"/>
        <v>4.1673893724748909</v>
      </c>
      <c r="E14">
        <f t="shared" si="3"/>
        <v>0.64177796336113324</v>
      </c>
      <c r="F14" t="s">
        <v>176</v>
      </c>
      <c r="G14" t="s">
        <v>142</v>
      </c>
    </row>
    <row r="15" spans="1:7" x14ac:dyDescent="0.25">
      <c r="A15">
        <v>1.9</v>
      </c>
      <c r="B15">
        <f t="shared" si="0"/>
        <v>-2.3117120068234565</v>
      </c>
      <c r="C15">
        <f t="shared" si="1"/>
        <v>4.8785189150018903E-3</v>
      </c>
      <c r="D15">
        <f t="shared" si="2"/>
        <v>4.8785189150018899</v>
      </c>
      <c r="E15">
        <f t="shared" si="3"/>
        <v>0.75129191291029107</v>
      </c>
      <c r="F15" t="s">
        <v>176</v>
      </c>
      <c r="G15" t="s">
        <v>142</v>
      </c>
    </row>
    <row r="16" spans="1:7" x14ac:dyDescent="0.25">
      <c r="A16">
        <v>2</v>
      </c>
      <c r="B16">
        <f t="shared" si="0"/>
        <v>-2.2467985926351588</v>
      </c>
      <c r="C16">
        <f t="shared" si="1"/>
        <v>5.6650194770991244E-3</v>
      </c>
      <c r="D16">
        <f t="shared" si="2"/>
        <v>5.6650194770991247</v>
      </c>
      <c r="E16">
        <f t="shared" si="3"/>
        <v>0.87241299947326523</v>
      </c>
      <c r="F16" t="s">
        <v>176</v>
      </c>
      <c r="G16" t="s">
        <v>142</v>
      </c>
    </row>
    <row r="17" spans="1:7" x14ac:dyDescent="0.25">
      <c r="A17">
        <v>3</v>
      </c>
      <c r="B17">
        <f t="shared" si="0"/>
        <v>-1.7336686637469036</v>
      </c>
      <c r="C17">
        <f t="shared" si="1"/>
        <v>1.8464235737336802E-2</v>
      </c>
      <c r="D17">
        <f t="shared" si="2"/>
        <v>18.4642357373368</v>
      </c>
      <c r="E17">
        <f t="shared" si="3"/>
        <v>2.8434923035498674</v>
      </c>
      <c r="F17" t="s">
        <v>176</v>
      </c>
      <c r="G17" t="s">
        <v>142</v>
      </c>
    </row>
    <row r="18" spans="1:7" x14ac:dyDescent="0.25">
      <c r="A18">
        <v>4</v>
      </c>
      <c r="B18">
        <f t="shared" si="0"/>
        <v>-1.3695971852703177</v>
      </c>
      <c r="C18">
        <f t="shared" si="1"/>
        <v>4.2697536133239608E-2</v>
      </c>
      <c r="D18">
        <f t="shared" si="2"/>
        <v>42.697536133239609</v>
      </c>
      <c r="E18">
        <f t="shared" si="3"/>
        <v>6.5754205645188994</v>
      </c>
      <c r="F18" t="s">
        <v>176</v>
      </c>
      <c r="G18" t="s">
        <v>142</v>
      </c>
    </row>
    <row r="19" spans="1:7" x14ac:dyDescent="0.25">
      <c r="A19">
        <v>5</v>
      </c>
      <c r="B19">
        <f t="shared" si="0"/>
        <v>-1.0872014073648413</v>
      </c>
      <c r="C19">
        <f t="shared" si="1"/>
        <v>8.1808530687277337E-2</v>
      </c>
      <c r="D19">
        <f t="shared" si="2"/>
        <v>81.80853068727734</v>
      </c>
      <c r="E19">
        <f t="shared" si="3"/>
        <v>12.598513725840711</v>
      </c>
      <c r="F19" t="s">
        <v>176</v>
      </c>
      <c r="G19" t="s">
        <v>142</v>
      </c>
    </row>
    <row r="20" spans="1:7" x14ac:dyDescent="0.25">
      <c r="A20">
        <v>6</v>
      </c>
      <c r="B20">
        <f t="shared" si="0"/>
        <v>-0.85646725638206256</v>
      </c>
      <c r="C20">
        <f t="shared" si="1"/>
        <v>0.13916587149516657</v>
      </c>
      <c r="D20">
        <f t="shared" si="2"/>
        <v>139.16587149516658</v>
      </c>
      <c r="E20">
        <f t="shared" si="3"/>
        <v>21.431544210255655</v>
      </c>
      <c r="F20" t="s">
        <v>176</v>
      </c>
      <c r="G20" t="s">
        <v>142</v>
      </c>
    </row>
    <row r="21" spans="1:7" x14ac:dyDescent="0.25">
      <c r="A21">
        <v>7</v>
      </c>
      <c r="B21">
        <f t="shared" si="0"/>
        <v>-0.66138431139845544</v>
      </c>
      <c r="C21">
        <f t="shared" si="1"/>
        <v>0.21807992473356078</v>
      </c>
      <c r="D21">
        <f t="shared" si="2"/>
        <v>218.07992473356077</v>
      </c>
      <c r="E21">
        <f t="shared" si="3"/>
        <v>33.584308408968361</v>
      </c>
      <c r="F21" t="s">
        <v>176</v>
      </c>
      <c r="G21" t="s">
        <v>142</v>
      </c>
    </row>
    <row r="22" spans="1:7" x14ac:dyDescent="0.25">
      <c r="A22">
        <v>8</v>
      </c>
      <c r="B22">
        <f t="shared" si="0"/>
        <v>-0.49239577790547662</v>
      </c>
      <c r="C22">
        <f t="shared" si="1"/>
        <v>0.32181347287844514</v>
      </c>
      <c r="D22">
        <f t="shared" si="2"/>
        <v>321.81347287844511</v>
      </c>
      <c r="E22">
        <f t="shared" si="3"/>
        <v>49.559274823280546</v>
      </c>
      <c r="F22" t="s">
        <v>176</v>
      </c>
      <c r="G22" t="s">
        <v>142</v>
      </c>
    </row>
    <row r="23" spans="1:7" x14ac:dyDescent="0.25">
      <c r="A23">
        <v>9</v>
      </c>
      <c r="B23">
        <f t="shared" si="0"/>
        <v>-0.34333732749380719</v>
      </c>
      <c r="C23">
        <f t="shared" si="1"/>
        <v>0.45358916562710255</v>
      </c>
      <c r="D23">
        <f t="shared" si="2"/>
        <v>453.58916562710255</v>
      </c>
      <c r="E23">
        <f t="shared" si="3"/>
        <v>69.852731506573789</v>
      </c>
      <c r="F23" t="s">
        <v>176</v>
      </c>
      <c r="G23" t="s">
        <v>142</v>
      </c>
    </row>
    <row r="24" spans="1:7" x14ac:dyDescent="0.25">
      <c r="A24">
        <v>10</v>
      </c>
      <c r="B24">
        <f t="shared" si="0"/>
        <v>-0.20999999999999996</v>
      </c>
      <c r="C24">
        <f t="shared" si="1"/>
        <v>0.61659500186148219</v>
      </c>
      <c r="D24">
        <f t="shared" si="2"/>
        <v>616.59500186148216</v>
      </c>
      <c r="E24">
        <f t="shared" si="3"/>
        <v>94.955630286668253</v>
      </c>
      <c r="F24" t="s">
        <v>176</v>
      </c>
      <c r="G24" t="s">
        <v>142</v>
      </c>
    </row>
    <row r="25" spans="1:7" x14ac:dyDescent="0.25">
      <c r="A25">
        <v>11</v>
      </c>
      <c r="B25">
        <f t="shared" si="0"/>
        <v>-8.9381715448932031E-2</v>
      </c>
      <c r="C25">
        <f t="shared" si="1"/>
        <v>0.81398852870495975</v>
      </c>
      <c r="D25">
        <f t="shared" si="2"/>
        <v>813.98852870495978</v>
      </c>
      <c r="E25">
        <f t="shared" si="3"/>
        <v>125.3542334205638</v>
      </c>
      <c r="F25" t="s">
        <v>176</v>
      </c>
      <c r="G25" t="s">
        <v>142</v>
      </c>
    </row>
    <row r="26" spans="1:7" x14ac:dyDescent="0.25">
      <c r="A26">
        <v>12</v>
      </c>
      <c r="B26">
        <f t="shared" si="0"/>
        <v>2.0734150982778754E-2</v>
      </c>
      <c r="C26">
        <f t="shared" si="1"/>
        <v>1.0489001583665138</v>
      </c>
      <c r="D26">
        <f t="shared" si="2"/>
        <v>1048.9001583665138</v>
      </c>
      <c r="E26">
        <f t="shared" si="3"/>
        <v>161.53062438844313</v>
      </c>
      <c r="F26" t="s">
        <v>176</v>
      </c>
      <c r="G26" t="s">
        <v>142</v>
      </c>
    </row>
    <row r="27" spans="1:7" x14ac:dyDescent="0.25">
      <c r="A27">
        <v>13</v>
      </c>
      <c r="B27">
        <f t="shared" si="0"/>
        <v>0.12203092862212239</v>
      </c>
      <c r="C27">
        <f t="shared" si="1"/>
        <v>1.3244358525741062</v>
      </c>
      <c r="D27">
        <f t="shared" si="2"/>
        <v>1324.4358525741063</v>
      </c>
      <c r="E27">
        <f t="shared" si="3"/>
        <v>203.96312129641237</v>
      </c>
      <c r="F27" t="s">
        <v>176</v>
      </c>
      <c r="G27" t="s">
        <v>142</v>
      </c>
    </row>
    <row r="28" spans="1:7" x14ac:dyDescent="0.25">
      <c r="A28">
        <v>14</v>
      </c>
      <c r="B28">
        <f t="shared" si="0"/>
        <v>0.21581709596638543</v>
      </c>
      <c r="C28">
        <f t="shared" si="1"/>
        <v>1.6436793384183546</v>
      </c>
      <c r="D28">
        <f t="shared" si="2"/>
        <v>1643.6793384183545</v>
      </c>
      <c r="E28">
        <f t="shared" si="3"/>
        <v>253.12661811642658</v>
      </c>
      <c r="F28" t="s">
        <v>176</v>
      </c>
      <c r="G28" t="s">
        <v>142</v>
      </c>
    </row>
    <row r="29" spans="1:7" x14ac:dyDescent="0.25">
      <c r="A29">
        <v>15</v>
      </c>
      <c r="B29">
        <f t="shared" si="0"/>
        <v>0.30312992888825541</v>
      </c>
      <c r="C29">
        <f t="shared" si="1"/>
        <v>2.0096939674890422</v>
      </c>
      <c r="D29">
        <f t="shared" si="2"/>
        <v>2009.6939674890423</v>
      </c>
      <c r="E29">
        <f t="shared" si="3"/>
        <v>309.49287099331252</v>
      </c>
      <c r="F29" t="s">
        <v>176</v>
      </c>
      <c r="G29" t="s">
        <v>142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4D7E-BF8D-47A4-A160-CE28374DD705}">
  <dimension ref="A1:G18"/>
  <sheetViews>
    <sheetView workbookViewId="0">
      <selection activeCell="F3" sqref="F3"/>
    </sheetView>
  </sheetViews>
  <sheetFormatPr defaultRowHeight="15" x14ac:dyDescent="0.25"/>
  <sheetData>
    <row r="1" spans="1:7" x14ac:dyDescent="0.25">
      <c r="A1" t="s">
        <v>175</v>
      </c>
      <c r="B1" t="s">
        <v>171</v>
      </c>
      <c r="C1" t="s">
        <v>33</v>
      </c>
      <c r="D1" t="s">
        <v>34</v>
      </c>
      <c r="E1" t="s">
        <v>35</v>
      </c>
      <c r="F1" t="s">
        <v>36</v>
      </c>
      <c r="G1" t="s">
        <v>18</v>
      </c>
    </row>
    <row r="2" spans="1:7" x14ac:dyDescent="0.25">
      <c r="A2">
        <v>0.6</v>
      </c>
      <c r="B2">
        <f>A2*3.28</f>
        <v>1.9679999999999997</v>
      </c>
      <c r="C2">
        <f>-2.587+2.161*LOG10(A2)</f>
        <v>-3.0664151479209463</v>
      </c>
      <c r="D2">
        <f>10^C2</f>
        <v>8.5819277130280735E-4</v>
      </c>
      <c r="E2">
        <f>D2*1000</f>
        <v>0.85819277130280736</v>
      </c>
      <c r="F2">
        <f>E2*0.154</f>
        <v>0.13216168678063234</v>
      </c>
      <c r="G2" t="s">
        <v>174</v>
      </c>
    </row>
    <row r="3" spans="1:7" x14ac:dyDescent="0.25">
      <c r="A3">
        <v>0.7</v>
      </c>
      <c r="B3">
        <f t="shared" ref="B3:B18" si="0">A3*3.28</f>
        <v>2.2959999999999998</v>
      </c>
      <c r="C3">
        <f t="shared" ref="C3:C18" si="1">-2.587+2.161*LOG10(A3)</f>
        <v>-2.9217431355291912</v>
      </c>
      <c r="D3">
        <f t="shared" ref="D3:D18" si="2">10^C3</f>
        <v>1.1974485556093294E-3</v>
      </c>
      <c r="E3">
        <f t="shared" ref="E3:E18" si="3">D3*1000</f>
        <v>1.1974485556093295</v>
      </c>
      <c r="F3">
        <f t="shared" ref="F3:F18" si="4">E3*0.165</f>
        <v>0.19757901167553937</v>
      </c>
      <c r="G3" t="s">
        <v>174</v>
      </c>
    </row>
    <row r="4" spans="1:7" x14ac:dyDescent="0.25">
      <c r="A4">
        <v>0.8</v>
      </c>
      <c r="B4">
        <f t="shared" si="0"/>
        <v>2.6240000000000001</v>
      </c>
      <c r="C4">
        <f t="shared" si="1"/>
        <v>-2.7964225381104102</v>
      </c>
      <c r="D4">
        <f t="shared" si="2"/>
        <v>1.5980025275145733E-3</v>
      </c>
      <c r="E4">
        <f t="shared" si="3"/>
        <v>1.5980025275145733</v>
      </c>
      <c r="F4">
        <f t="shared" si="4"/>
        <v>0.26367041703990463</v>
      </c>
      <c r="G4" t="s">
        <v>174</v>
      </c>
    </row>
    <row r="5" spans="1:7" x14ac:dyDescent="0.25">
      <c r="A5">
        <v>0.9</v>
      </c>
      <c r="B5">
        <f t="shared" si="0"/>
        <v>2.952</v>
      </c>
      <c r="C5">
        <f t="shared" si="1"/>
        <v>-2.6858819371016192</v>
      </c>
      <c r="D5">
        <f t="shared" si="2"/>
        <v>2.0611901713933245E-3</v>
      </c>
      <c r="E5">
        <f t="shared" si="3"/>
        <v>2.0611901713933247</v>
      </c>
      <c r="F5">
        <f t="shared" si="4"/>
        <v>0.34009637827989858</v>
      </c>
      <c r="G5" t="s">
        <v>174</v>
      </c>
    </row>
    <row r="6" spans="1:7" x14ac:dyDescent="0.25">
      <c r="A6">
        <v>1</v>
      </c>
      <c r="B6">
        <f t="shared" si="0"/>
        <v>3.28</v>
      </c>
      <c r="C6">
        <f t="shared" si="1"/>
        <v>-2.5870000000000002</v>
      </c>
      <c r="D6">
        <f t="shared" si="2"/>
        <v>2.5882129151530899E-3</v>
      </c>
      <c r="E6">
        <f t="shared" si="3"/>
        <v>2.5882129151530897</v>
      </c>
      <c r="F6">
        <f t="shared" si="4"/>
        <v>0.42705513100025982</v>
      </c>
      <c r="G6" t="s">
        <v>174</v>
      </c>
    </row>
    <row r="7" spans="1:7" x14ac:dyDescent="0.25">
      <c r="A7">
        <v>1.1000000000000001</v>
      </c>
      <c r="B7">
        <f t="shared" si="0"/>
        <v>3.6080000000000001</v>
      </c>
      <c r="C7">
        <f t="shared" si="1"/>
        <v>-2.4975504073730757</v>
      </c>
      <c r="D7">
        <f t="shared" si="2"/>
        <v>3.1801645539030888E-3</v>
      </c>
      <c r="E7">
        <f t="shared" si="3"/>
        <v>3.1801645539030887</v>
      </c>
      <c r="F7">
        <f t="shared" si="4"/>
        <v>0.52472715139400972</v>
      </c>
      <c r="G7" t="s">
        <v>174</v>
      </c>
    </row>
    <row r="8" spans="1:7" x14ac:dyDescent="0.25">
      <c r="A8">
        <v>1.2</v>
      </c>
      <c r="B8">
        <f t="shared" si="0"/>
        <v>3.9359999999999995</v>
      </c>
      <c r="C8">
        <f t="shared" si="1"/>
        <v>-2.4158893272910831</v>
      </c>
      <c r="D8">
        <f t="shared" si="2"/>
        <v>3.8380503934733554E-3</v>
      </c>
      <c r="E8">
        <f t="shared" si="3"/>
        <v>3.8380503934733556</v>
      </c>
      <c r="F8">
        <f t="shared" si="4"/>
        <v>0.63327831492310371</v>
      </c>
      <c r="G8" t="s">
        <v>174</v>
      </c>
    </row>
    <row r="9" spans="1:7" x14ac:dyDescent="0.25">
      <c r="A9">
        <v>1.3</v>
      </c>
      <c r="B9">
        <f t="shared" si="0"/>
        <v>4.2640000000000002</v>
      </c>
      <c r="C9">
        <f t="shared" si="1"/>
        <v>-2.3407684156649258</v>
      </c>
      <c r="D9">
        <f t="shared" si="2"/>
        <v>4.5628015912730462E-3</v>
      </c>
      <c r="E9">
        <f t="shared" si="3"/>
        <v>4.562801591273046</v>
      </c>
      <c r="F9">
        <f t="shared" si="4"/>
        <v>0.75286226256005262</v>
      </c>
      <c r="G9" t="s">
        <v>174</v>
      </c>
    </row>
    <row r="10" spans="1:7" x14ac:dyDescent="0.25">
      <c r="A10">
        <v>1.4</v>
      </c>
      <c r="B10">
        <f t="shared" si="0"/>
        <v>4.5919999999999996</v>
      </c>
      <c r="C10">
        <f t="shared" si="1"/>
        <v>-2.271217314899328</v>
      </c>
      <c r="D10">
        <f t="shared" si="2"/>
        <v>5.35528619408386E-3</v>
      </c>
      <c r="E10">
        <f t="shared" si="3"/>
        <v>5.3552861940838596</v>
      </c>
      <c r="F10">
        <f t="shared" si="4"/>
        <v>0.88362222202383689</v>
      </c>
      <c r="G10" t="s">
        <v>174</v>
      </c>
    </row>
    <row r="11" spans="1:7" x14ac:dyDescent="0.25">
      <c r="A11">
        <v>1.5</v>
      </c>
      <c r="B11">
        <f t="shared" si="0"/>
        <v>4.92</v>
      </c>
      <c r="C11">
        <f t="shared" si="1"/>
        <v>-2.2064667891806731</v>
      </c>
      <c r="D11">
        <f t="shared" si="2"/>
        <v>6.2163178257585976E-3</v>
      </c>
      <c r="E11">
        <f t="shared" si="3"/>
        <v>6.2163178257585976</v>
      </c>
      <c r="F11">
        <f t="shared" si="4"/>
        <v>1.0256924412501687</v>
      </c>
      <c r="G11" t="s">
        <v>174</v>
      </c>
    </row>
    <row r="12" spans="1:7" x14ac:dyDescent="0.25">
      <c r="A12">
        <v>1.6</v>
      </c>
      <c r="B12">
        <f t="shared" si="0"/>
        <v>5.2480000000000002</v>
      </c>
      <c r="C12">
        <f t="shared" si="1"/>
        <v>-2.1458967174805466</v>
      </c>
      <c r="D12">
        <f t="shared" si="2"/>
        <v>7.1466626550442799E-3</v>
      </c>
      <c r="E12">
        <f t="shared" si="3"/>
        <v>7.1466626550442802</v>
      </c>
      <c r="F12">
        <f t="shared" si="4"/>
        <v>1.1791993380823063</v>
      </c>
      <c r="G12" t="s">
        <v>174</v>
      </c>
    </row>
    <row r="13" spans="1:7" x14ac:dyDescent="0.25">
      <c r="A13">
        <v>1.7</v>
      </c>
      <c r="B13">
        <f t="shared" si="0"/>
        <v>5.5759999999999996</v>
      </c>
      <c r="C13">
        <f t="shared" si="1"/>
        <v>-2.0889998809015502</v>
      </c>
      <c r="D13">
        <f t="shared" si="2"/>
        <v>8.1470450744074111E-3</v>
      </c>
      <c r="E13">
        <f t="shared" si="3"/>
        <v>8.1470450744074103</v>
      </c>
      <c r="F13">
        <f t="shared" si="4"/>
        <v>1.3442624372772227</v>
      </c>
      <c r="G13" t="s">
        <v>174</v>
      </c>
    </row>
    <row r="14" spans="1:7" x14ac:dyDescent="0.25">
      <c r="A14">
        <v>1.8</v>
      </c>
      <c r="B14">
        <f t="shared" si="0"/>
        <v>5.9039999999999999</v>
      </c>
      <c r="C14">
        <f t="shared" si="1"/>
        <v>-2.035356116471756</v>
      </c>
      <c r="D14">
        <f t="shared" si="2"/>
        <v>9.2181523928826434E-3</v>
      </c>
      <c r="E14">
        <f t="shared" si="3"/>
        <v>9.2181523928826437</v>
      </c>
      <c r="F14">
        <f t="shared" si="4"/>
        <v>1.5209951448256362</v>
      </c>
      <c r="G14" t="s">
        <v>174</v>
      </c>
    </row>
    <row r="15" spans="1:7" x14ac:dyDescent="0.25">
      <c r="A15">
        <v>1.9</v>
      </c>
      <c r="B15">
        <f t="shared" si="0"/>
        <v>6.2319999999999993</v>
      </c>
      <c r="C15">
        <f t="shared" si="1"/>
        <v>-1.9846134683409369</v>
      </c>
      <c r="D15">
        <f t="shared" si="2"/>
        <v>1.0360638761282313E-2</v>
      </c>
      <c r="E15">
        <f t="shared" si="3"/>
        <v>10.360638761282313</v>
      </c>
      <c r="F15">
        <f t="shared" si="4"/>
        <v>1.7095053956115818</v>
      </c>
      <c r="G15" t="s">
        <v>174</v>
      </c>
    </row>
    <row r="16" spans="1:7" x14ac:dyDescent="0.25">
      <c r="A16">
        <v>2</v>
      </c>
      <c r="B16">
        <f t="shared" si="0"/>
        <v>6.56</v>
      </c>
      <c r="C16">
        <f t="shared" si="1"/>
        <v>-1.9364741793701368</v>
      </c>
      <c r="D16">
        <f t="shared" si="2"/>
        <v>1.1575128490439254E-2</v>
      </c>
      <c r="E16">
        <f t="shared" si="3"/>
        <v>11.575128490439253</v>
      </c>
      <c r="F16">
        <f t="shared" si="4"/>
        <v>1.9098962009224769</v>
      </c>
      <c r="G16" t="s">
        <v>174</v>
      </c>
    </row>
    <row r="17" spans="1:7" x14ac:dyDescent="0.25">
      <c r="A17">
        <v>3</v>
      </c>
      <c r="B17">
        <f t="shared" si="0"/>
        <v>9.84</v>
      </c>
      <c r="C17">
        <f t="shared" si="1"/>
        <v>-1.5559409685508097</v>
      </c>
      <c r="D17">
        <f t="shared" si="2"/>
        <v>2.7800911257838956E-2</v>
      </c>
      <c r="E17">
        <f t="shared" si="3"/>
        <v>27.800911257838955</v>
      </c>
      <c r="F17">
        <f t="shared" si="4"/>
        <v>4.587150357543428</v>
      </c>
      <c r="G17" t="s">
        <v>174</v>
      </c>
    </row>
    <row r="18" spans="1:7" x14ac:dyDescent="0.25">
      <c r="A18">
        <v>4</v>
      </c>
      <c r="B18">
        <f t="shared" si="0"/>
        <v>13.12</v>
      </c>
      <c r="C18">
        <f t="shared" si="1"/>
        <v>-1.2859483587402734</v>
      </c>
      <c r="D18">
        <f t="shared" si="2"/>
        <v>5.1766838340752776E-2</v>
      </c>
      <c r="E18">
        <f t="shared" si="3"/>
        <v>51.766838340752777</v>
      </c>
      <c r="F18">
        <f t="shared" si="4"/>
        <v>8.5415283262242081</v>
      </c>
      <c r="G18" t="s">
        <v>174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Conversion formulas</vt:lpstr>
      <vt:lpstr>28 Inachus</vt:lpstr>
      <vt:lpstr>27 Mysidacea</vt:lpstr>
      <vt:lpstr>26 Polyplacophora </vt:lpstr>
      <vt:lpstr>25 Echinoidea </vt:lpstr>
      <vt:lpstr>24 Macropodia</vt:lpstr>
      <vt:lpstr>23 Portunidae</vt:lpstr>
      <vt:lpstr>22 Majidae</vt:lpstr>
      <vt:lpstr>21 Alpheidae </vt:lpstr>
      <vt:lpstr>20 Paguridae</vt:lpstr>
      <vt:lpstr>19 Asteroidae</vt:lpstr>
      <vt:lpstr>18 Sipunculidae</vt:lpstr>
      <vt:lpstr>17 Nudibranchia</vt:lpstr>
      <vt:lpstr>16 Galathea</vt:lpstr>
      <vt:lpstr>15 Natantia</vt:lpstr>
      <vt:lpstr>14 Cumacea</vt:lpstr>
      <vt:lpstr>13 Amphiura</vt:lpstr>
      <vt:lpstr>12 Tanaidacea</vt:lpstr>
      <vt:lpstr>11 Diptera</vt:lpstr>
      <vt:lpstr>10 Isopoda</vt:lpstr>
      <vt:lpstr>9 Nematoda</vt:lpstr>
      <vt:lpstr>8 Acari</vt:lpstr>
      <vt:lpstr>7 Caprellids</vt:lpstr>
      <vt:lpstr>6 Ostracoda</vt:lpstr>
      <vt:lpstr>5 Polychaeta</vt:lpstr>
      <vt:lpstr>4 Bivalves</vt:lpstr>
      <vt:lpstr>3 Amphipoda</vt:lpstr>
      <vt:lpstr>2 Gastropoda</vt:lpstr>
      <vt:lpstr>1 Harpcaticoids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Hilmar Hinz</dc:creator>
  <cp:lastModifiedBy>Hilmar Hinz</cp:lastModifiedBy>
  <dcterms:created xsi:type="dcterms:W3CDTF">2016-11-22T11:21:03Z</dcterms:created>
  <dcterms:modified xsi:type="dcterms:W3CDTF">2018-10-05T09:19:10Z</dcterms:modified>
</cp:coreProperties>
</file>