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32" windowWidth="23940" windowHeight="12192"/>
  </bookViews>
  <sheets>
    <sheet name="E. coli Cip Kamba mutation freq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69" i="1" l="1"/>
  <c r="E67" i="1"/>
  <c r="G64" i="1"/>
  <c r="J64" i="1" s="1"/>
  <c r="E64" i="1"/>
  <c r="E70" i="1" s="1"/>
  <c r="D64" i="1"/>
  <c r="C64" i="1"/>
  <c r="D70" i="1" s="1"/>
  <c r="J63" i="1"/>
  <c r="G63" i="1"/>
  <c r="E63" i="1"/>
  <c r="D63" i="1"/>
  <c r="D69" i="1" s="1"/>
  <c r="C63" i="1"/>
  <c r="C69" i="1" s="1"/>
  <c r="G62" i="1"/>
  <c r="E62" i="1"/>
  <c r="J62" i="1" s="1"/>
  <c r="D62" i="1"/>
  <c r="D68" i="1" s="1"/>
  <c r="C62" i="1"/>
  <c r="G61" i="1"/>
  <c r="J61" i="1" s="1"/>
  <c r="E61" i="1"/>
  <c r="D61" i="1"/>
  <c r="C61" i="1"/>
  <c r="D67" i="1" s="1"/>
  <c r="B61" i="1"/>
  <c r="C70" i="1" s="1"/>
  <c r="D55" i="1"/>
  <c r="C55" i="1"/>
  <c r="E54" i="1"/>
  <c r="C53" i="1"/>
  <c r="G50" i="1"/>
  <c r="E50" i="1"/>
  <c r="J50" i="1" s="1"/>
  <c r="D50" i="1"/>
  <c r="D56" i="1" s="1"/>
  <c r="C50" i="1"/>
  <c r="C56" i="1" s="1"/>
  <c r="G49" i="1"/>
  <c r="J49" i="1" s="1"/>
  <c r="E49" i="1"/>
  <c r="E55" i="1" s="1"/>
  <c r="D49" i="1"/>
  <c r="C49" i="1"/>
  <c r="G48" i="1"/>
  <c r="J48" i="1" s="1"/>
  <c r="E48" i="1"/>
  <c r="D48" i="1"/>
  <c r="C48" i="1"/>
  <c r="D54" i="1" s="1"/>
  <c r="J47" i="1"/>
  <c r="I47" i="1"/>
  <c r="G47" i="1"/>
  <c r="E47" i="1"/>
  <c r="E53" i="1" s="1"/>
  <c r="D47" i="1"/>
  <c r="D53" i="1" s="1"/>
  <c r="C47" i="1"/>
  <c r="B47" i="1"/>
  <c r="E41" i="1"/>
  <c r="E39" i="1"/>
  <c r="G36" i="1"/>
  <c r="J36" i="1" s="1"/>
  <c r="E36" i="1"/>
  <c r="E42" i="1" s="1"/>
  <c r="D36" i="1"/>
  <c r="C36" i="1"/>
  <c r="D42" i="1" s="1"/>
  <c r="J35" i="1"/>
  <c r="G35" i="1"/>
  <c r="E35" i="1"/>
  <c r="D35" i="1"/>
  <c r="D41" i="1" s="1"/>
  <c r="C35" i="1"/>
  <c r="C41" i="1" s="1"/>
  <c r="G34" i="1"/>
  <c r="E34" i="1"/>
  <c r="J34" i="1" s="1"/>
  <c r="D34" i="1"/>
  <c r="D40" i="1" s="1"/>
  <c r="C34" i="1"/>
  <c r="G33" i="1"/>
  <c r="J33" i="1" s="1"/>
  <c r="E33" i="1"/>
  <c r="D33" i="1"/>
  <c r="C33" i="1"/>
  <c r="D39" i="1" s="1"/>
  <c r="B33" i="1"/>
  <c r="C40" i="1" s="1"/>
  <c r="E26" i="1"/>
  <c r="C25" i="1"/>
  <c r="G22" i="1"/>
  <c r="E22" i="1"/>
  <c r="J22" i="1" s="1"/>
  <c r="D22" i="1"/>
  <c r="D28" i="1" s="1"/>
  <c r="C22" i="1"/>
  <c r="C28" i="1" s="1"/>
  <c r="J21" i="1"/>
  <c r="G21" i="1"/>
  <c r="E21" i="1"/>
  <c r="E27" i="1" s="1"/>
  <c r="D21" i="1"/>
  <c r="D27" i="1" s="1"/>
  <c r="C21" i="1"/>
  <c r="C27" i="1" s="1"/>
  <c r="G20" i="1"/>
  <c r="J20" i="1" s="1"/>
  <c r="E20" i="1"/>
  <c r="D20" i="1"/>
  <c r="C20" i="1"/>
  <c r="D26" i="1" s="1"/>
  <c r="J19" i="1"/>
  <c r="I19" i="1"/>
  <c r="G19" i="1"/>
  <c r="E19" i="1"/>
  <c r="E25" i="1" s="1"/>
  <c r="D19" i="1"/>
  <c r="D25" i="1" s="1"/>
  <c r="C19" i="1"/>
  <c r="B19" i="1"/>
  <c r="E13" i="1"/>
  <c r="E11" i="1"/>
  <c r="G8" i="1"/>
  <c r="E8" i="1"/>
  <c r="J8" i="1" s="1"/>
  <c r="D8" i="1"/>
  <c r="D14" i="1" s="1"/>
  <c r="C8" i="1"/>
  <c r="J7" i="1"/>
  <c r="G7" i="1"/>
  <c r="E7" i="1"/>
  <c r="D7" i="1"/>
  <c r="D13" i="1" s="1"/>
  <c r="C7" i="1"/>
  <c r="C13" i="1" s="1"/>
  <c r="G6" i="1"/>
  <c r="J6" i="1" s="1"/>
  <c r="E6" i="1"/>
  <c r="E12" i="1" s="1"/>
  <c r="D6" i="1"/>
  <c r="C6" i="1"/>
  <c r="D12" i="1" s="1"/>
  <c r="G5" i="1"/>
  <c r="J5" i="1" s="1"/>
  <c r="E5" i="1"/>
  <c r="D5" i="1"/>
  <c r="C5" i="1"/>
  <c r="D11" i="1" s="1"/>
  <c r="B5" i="1"/>
  <c r="I5" i="1" s="1"/>
  <c r="N6" i="1" l="1"/>
  <c r="M6" i="1"/>
  <c r="M8" i="1"/>
  <c r="N8" i="1"/>
  <c r="F28" i="1"/>
  <c r="G13" i="1"/>
  <c r="F13" i="1"/>
  <c r="J13" i="1" s="1"/>
  <c r="F56" i="1"/>
  <c r="G56" i="1"/>
  <c r="G53" i="1"/>
  <c r="G70" i="1"/>
  <c r="F70" i="1"/>
  <c r="F40" i="1"/>
  <c r="J40" i="1" s="1"/>
  <c r="G69" i="1"/>
  <c r="F69" i="1"/>
  <c r="J69" i="1"/>
  <c r="J70" i="1"/>
  <c r="J28" i="1"/>
  <c r="G27" i="1"/>
  <c r="F27" i="1"/>
  <c r="J27" i="1" s="1"/>
  <c r="G41" i="1"/>
  <c r="F41" i="1"/>
  <c r="J41" i="1"/>
  <c r="J56" i="1"/>
  <c r="G55" i="1"/>
  <c r="M5" i="1"/>
  <c r="N5" i="1"/>
  <c r="F25" i="1"/>
  <c r="J25" i="1" s="1"/>
  <c r="J53" i="1"/>
  <c r="C12" i="1"/>
  <c r="C14" i="1"/>
  <c r="E56" i="1"/>
  <c r="M7" i="1"/>
  <c r="I33" i="1"/>
  <c r="I61" i="1"/>
  <c r="N7" i="1"/>
  <c r="C11" i="1"/>
  <c r="E14" i="1"/>
  <c r="C26" i="1"/>
  <c r="C39" i="1"/>
  <c r="E40" i="1"/>
  <c r="G40" i="1" s="1"/>
  <c r="C54" i="1"/>
  <c r="C67" i="1"/>
  <c r="E68" i="1"/>
  <c r="G25" i="1"/>
  <c r="E28" i="1"/>
  <c r="G28" i="1" s="1"/>
  <c r="C42" i="1"/>
  <c r="F53" i="1"/>
  <c r="F55" i="1"/>
  <c r="J55" i="1" s="1"/>
  <c r="C68" i="1"/>
  <c r="M22" i="1" l="1"/>
  <c r="N22" i="1"/>
  <c r="F42" i="1"/>
  <c r="J42" i="1" s="1"/>
  <c r="G42" i="1"/>
  <c r="G11" i="1"/>
  <c r="F11" i="1"/>
  <c r="J11" i="1" s="1"/>
  <c r="G39" i="1"/>
  <c r="F39" i="1"/>
  <c r="J39" i="1" s="1"/>
  <c r="G26" i="1"/>
  <c r="F26" i="1"/>
  <c r="J26" i="1" s="1"/>
  <c r="G14" i="1"/>
  <c r="F14" i="1"/>
  <c r="J14" i="1" s="1"/>
  <c r="G67" i="1"/>
  <c r="F67" i="1"/>
  <c r="J67" i="1" s="1"/>
  <c r="G68" i="1"/>
  <c r="F68" i="1"/>
  <c r="J68" i="1" s="1"/>
  <c r="G54" i="1"/>
  <c r="F54" i="1"/>
  <c r="J54" i="1" s="1"/>
  <c r="F12" i="1"/>
  <c r="J12" i="1" s="1"/>
  <c r="G12" i="1"/>
  <c r="N23" i="1" l="1"/>
  <c r="M23" i="1"/>
  <c r="N20" i="1"/>
  <c r="M20" i="1"/>
  <c r="N21" i="1"/>
  <c r="M21" i="1"/>
</calcChain>
</file>

<file path=xl/sharedStrings.xml><?xml version="1.0" encoding="utf-8"?>
<sst xmlns="http://schemas.openxmlformats.org/spreadsheetml/2006/main" count="137" uniqueCount="31">
  <si>
    <t>22.-25.8.2016</t>
  </si>
  <si>
    <t>Titre 1: after 24 hrs in treatment</t>
  </si>
  <si>
    <t>Titre 2: after 48 hrs in treatment</t>
  </si>
  <si>
    <t>Titre 3; after 48 hrs in treatment +8 hrs in LB</t>
  </si>
  <si>
    <t>Kamba: 10 mM</t>
  </si>
  <si>
    <t>Cip in liquid: 0.025 ug/ml</t>
  </si>
  <si>
    <t>Cip on plates; 0.06 ug/ml</t>
  </si>
  <si>
    <t>Repeat 1</t>
  </si>
  <si>
    <t>Summary</t>
  </si>
  <si>
    <t>Titre 0</t>
  </si>
  <si>
    <t>Titre1</t>
  </si>
  <si>
    <t>Titre 2</t>
  </si>
  <si>
    <t>Titre 3</t>
  </si>
  <si>
    <t>Cip 0</t>
  </si>
  <si>
    <t>Cip 3</t>
  </si>
  <si>
    <t>MF at T0</t>
  </si>
  <si>
    <t>MF at T3</t>
  </si>
  <si>
    <t>SEM</t>
  </si>
  <si>
    <t>LB</t>
  </si>
  <si>
    <t>Kamba</t>
  </si>
  <si>
    <t>Cip</t>
  </si>
  <si>
    <t>Kamba+Cip</t>
  </si>
  <si>
    <t>Number of generations</t>
  </si>
  <si>
    <t>Total generations in treatment</t>
  </si>
  <si>
    <t>All generations</t>
  </si>
  <si>
    <t>Repeat 2</t>
  </si>
  <si>
    <t>Mutation frequency per generation</t>
  </si>
  <si>
    <t>Repeat 3</t>
  </si>
  <si>
    <t>Repeat 4</t>
  </si>
  <si>
    <t>Repeat 5</t>
  </si>
  <si>
    <t>Data reported in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</si>
</sst>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1" fontId="1" fillId="0" borderId="0" xfId="0" applyNumberFormat="1" applyFont="1"/>
    <xf numFmtId="11" fontId="0" fillId="0" borderId="0" xfId="0" applyNumberFormat="1"/>
    <xf numFmtId="11" fontId="0" fillId="2" borderId="0" xfId="0" applyNumberFormat="1" applyFill="1"/>
    <xf numFmtId="11" fontId="2" fillId="3" borderId="0" xfId="0" applyNumberFormat="1" applyFont="1" applyFill="1"/>
    <xf numFmtId="11" fontId="2" fillId="2" borderId="0" xfId="0" applyNumberFormat="1" applyFont="1" applyFill="1"/>
    <xf numFmtId="11" fontId="0" fillId="4" borderId="0" xfId="0" applyNumberFormat="1" applyFill="1"/>
    <xf numFmtId="0" fontId="0" fillId="0" borderId="0" xfId="0" applyNumberFormat="1"/>
    <xf numFmtId="11" fontId="0" fillId="5" borderId="0" xfId="0" applyNumberFormat="1" applyFill="1"/>
    <xf numFmtId="11" fontId="0" fillId="6" borderId="0" xfId="0" applyNumberFormat="1" applyFill="1"/>
    <xf numFmtId="2" fontId="0" fillId="0" borderId="0" xfId="0" applyNumberFormat="1"/>
    <xf numFmtId="2" fontId="3" fillId="6" borderId="0" xfId="0" applyNumberFormat="1" applyFont="1" applyFill="1"/>
    <xf numFmtId="11" fontId="0" fillId="7" borderId="0" xfId="0" applyNumberFormat="1" applyFill="1"/>
    <xf numFmtId="2" fontId="0" fillId="2" borderId="0" xfId="0" applyNumberFormat="1" applyFill="1"/>
    <xf numFmtId="11" fontId="0" fillId="8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gitta/Dropbox/Dicamba%20project/Heterogeneity%20Experiments/Mutation%20Frequency%20(Increase%20in%20Resistance)/BW25113%20Cip%20Kamba%20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M4" t="str">
            <v>MF at T3</v>
          </cell>
        </row>
        <row r="5">
          <cell r="L5" t="str">
            <v>LB</v>
          </cell>
          <cell r="M5">
            <v>2.3569430569430569E-7</v>
          </cell>
          <cell r="N5">
            <v>1.0124531596429491E-7</v>
          </cell>
        </row>
        <row r="6">
          <cell r="L6" t="str">
            <v>Kamba</v>
          </cell>
          <cell r="M6">
            <v>3.2524349816849821E-6</v>
          </cell>
          <cell r="N6">
            <v>1.6102978090766398E-6</v>
          </cell>
        </row>
        <row r="7">
          <cell r="L7" t="str">
            <v>Cip</v>
          </cell>
          <cell r="M7">
            <v>3.4005036702428007E-2</v>
          </cell>
          <cell r="N7">
            <v>1.5380011473671228E-2</v>
          </cell>
        </row>
        <row r="8">
          <cell r="L8" t="str">
            <v>Kamba+Cip</v>
          </cell>
          <cell r="M8">
            <v>1.416518927125506E-5</v>
          </cell>
          <cell r="N8">
            <v>1.0713383960779394E-5</v>
          </cell>
        </row>
        <row r="19">
          <cell r="M19" t="str">
            <v>MF at T3</v>
          </cell>
        </row>
        <row r="20">
          <cell r="L20" t="str">
            <v>LB</v>
          </cell>
          <cell r="M20">
            <v>7.5048618732615247E-9</v>
          </cell>
          <cell r="N20">
            <v>3.8854780941006107E-9</v>
          </cell>
        </row>
        <row r="21">
          <cell r="L21" t="str">
            <v>Kamba</v>
          </cell>
          <cell r="M21">
            <v>1.0522472816545123E-7</v>
          </cell>
          <cell r="N21">
            <v>6.2982420153565408E-8</v>
          </cell>
        </row>
        <row r="22">
          <cell r="L22" t="str">
            <v>Cip</v>
          </cell>
          <cell r="M22">
            <v>1.1948074115947086E-3</v>
          </cell>
          <cell r="N22">
            <v>6.5396091400805488E-4</v>
          </cell>
        </row>
        <row r="23">
          <cell r="L23" t="str">
            <v>Kamba+Cip</v>
          </cell>
          <cell r="M23">
            <v>4.9966117554877469E-7</v>
          </cell>
          <cell r="N23">
            <v>4.5262299383611548E-7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workbookViewId="0">
      <selection activeCell="N20" sqref="N20"/>
    </sheetView>
  </sheetViews>
  <sheetFormatPr defaultRowHeight="14.4" x14ac:dyDescent="0.3"/>
  <cols>
    <col min="1" max="1" width="23.109375" style="1" customWidth="1"/>
    <col min="2" max="2" width="12" style="2" bestFit="1" customWidth="1"/>
    <col min="3" max="3" width="8.88671875" style="2" customWidth="1"/>
    <col min="4" max="8" width="8.88671875" style="2"/>
    <col min="9" max="9" width="12.88671875" style="2" customWidth="1"/>
    <col min="10" max="10" width="13.21875" style="3" customWidth="1"/>
    <col min="11" max="16384" width="8.88671875" style="2"/>
  </cols>
  <sheetData>
    <row r="1" spans="1:14" x14ac:dyDescent="0.3">
      <c r="A1" s="1" t="s">
        <v>0</v>
      </c>
      <c r="C1" s="2" t="s">
        <v>1</v>
      </c>
      <c r="D1" s="2" t="s">
        <v>2</v>
      </c>
      <c r="E1" s="2" t="s">
        <v>3</v>
      </c>
    </row>
    <row r="2" spans="1:14" x14ac:dyDescent="0.3">
      <c r="B2" s="2" t="s">
        <v>4</v>
      </c>
      <c r="D2" s="2" t="s">
        <v>5</v>
      </c>
      <c r="G2" s="2" t="s">
        <v>6</v>
      </c>
    </row>
    <row r="3" spans="1:14" s="4" customFormat="1" ht="21" x14ac:dyDescent="0.4">
      <c r="A3" s="4" t="s">
        <v>7</v>
      </c>
      <c r="J3" s="5"/>
      <c r="L3" s="4" t="s">
        <v>8</v>
      </c>
    </row>
    <row r="4" spans="1:14" x14ac:dyDescent="0.3">
      <c r="B4" s="2" t="s">
        <v>9</v>
      </c>
      <c r="C4" s="2" t="s">
        <v>10</v>
      </c>
      <c r="D4" s="2" t="s">
        <v>11</v>
      </c>
      <c r="E4" s="2" t="s">
        <v>12</v>
      </c>
      <c r="F4" s="6" t="s">
        <v>13</v>
      </c>
      <c r="G4" s="6" t="s">
        <v>14</v>
      </c>
      <c r="I4" s="2" t="s">
        <v>15</v>
      </c>
      <c r="J4" s="3" t="s">
        <v>16</v>
      </c>
      <c r="M4" s="3" t="s">
        <v>16</v>
      </c>
      <c r="N4" s="2" t="s">
        <v>17</v>
      </c>
    </row>
    <row r="5" spans="1:14" x14ac:dyDescent="0.3">
      <c r="A5" s="1" t="s">
        <v>18</v>
      </c>
      <c r="B5" s="2">
        <f>AVERAGE(16,23,17)*100000000</f>
        <v>1866666666.6666667</v>
      </c>
      <c r="C5" s="2">
        <f>AVERAGE(20,16,11)*100000000</f>
        <v>1566666666.6666665</v>
      </c>
      <c r="D5" s="2">
        <f>AVERAGE(10,14,16)*100000000</f>
        <v>1333333333.3333335</v>
      </c>
      <c r="E5" s="2">
        <f>AVERAGE(19,11,14)*100000000</f>
        <v>1466666666.6666665</v>
      </c>
      <c r="F5" s="6">
        <v>20</v>
      </c>
      <c r="G5" s="6">
        <f>AVERAGE(800,1000)</f>
        <v>900</v>
      </c>
      <c r="I5" s="2">
        <f>F5/B5</f>
        <v>1.0714285714285715E-8</v>
      </c>
      <c r="J5" s="3">
        <f>G5/E5</f>
        <v>6.136363636363637E-7</v>
      </c>
      <c r="L5" s="2" t="s">
        <v>18</v>
      </c>
      <c r="M5" s="2">
        <f>AVERAGE(J5,J19,J33,J47,J61)</f>
        <v>2.3569430569430569E-7</v>
      </c>
      <c r="N5" s="7">
        <f>STDEV(J5,J19,J33,J47,J61,)/SQRT(5)</f>
        <v>1.0124531596429491E-7</v>
      </c>
    </row>
    <row r="6" spans="1:14" x14ac:dyDescent="0.3">
      <c r="A6" s="1" t="s">
        <v>19</v>
      </c>
      <c r="B6" s="8"/>
      <c r="C6" s="2">
        <f>AVERAGE(11,12,11)*100000000</f>
        <v>1133333333.3333335</v>
      </c>
      <c r="D6" s="2">
        <f>AVERAGE(3,13,6)*100000000</f>
        <v>733333333.33333325</v>
      </c>
      <c r="E6" s="2">
        <f>AVERAGE(6,2,5)*100000000</f>
        <v>433333333.33333331</v>
      </c>
      <c r="F6" s="8"/>
      <c r="G6" s="6">
        <f>AVERAGE(37,500)</f>
        <v>268.5</v>
      </c>
      <c r="J6" s="3">
        <f>G6/E6</f>
        <v>6.1961538461538465E-7</v>
      </c>
      <c r="L6" s="2" t="s">
        <v>19</v>
      </c>
      <c r="M6" s="2">
        <f t="shared" ref="M6:M8" si="0">AVERAGE(J6,J20,J34,J48,J62)</f>
        <v>3.2524349816849821E-6</v>
      </c>
      <c r="N6" s="7">
        <f t="shared" ref="N6:N8" si="1">STDEV(J6,J20,J34,J48,J62,)/SQRT(5)</f>
        <v>1.6102978090766398E-6</v>
      </c>
    </row>
    <row r="7" spans="1:14" x14ac:dyDescent="0.3">
      <c r="A7" s="1" t="s">
        <v>20</v>
      </c>
      <c r="B7" s="8"/>
      <c r="C7" s="2">
        <f>AVERAGE(1,2,2)*100000000</f>
        <v>166666666.66666669</v>
      </c>
      <c r="D7" s="2">
        <f>AVERAGE(1,4,0)*100000000</f>
        <v>166666666.66666669</v>
      </c>
      <c r="E7" s="2">
        <f>AVERAGE(5,6,5)*100000000</f>
        <v>533333333.33333331</v>
      </c>
      <c r="F7" s="8"/>
      <c r="G7" s="6">
        <f>AVERAGE(24000000)</f>
        <v>24000000</v>
      </c>
      <c r="J7" s="3">
        <f>G7/E7</f>
        <v>4.4999999999999998E-2</v>
      </c>
      <c r="L7" s="2" t="s">
        <v>20</v>
      </c>
      <c r="M7" s="2">
        <f>AVERAGE(J7,J21,J35,J49,J63)</f>
        <v>3.4005036702428007E-2</v>
      </c>
      <c r="N7" s="7">
        <f t="shared" si="1"/>
        <v>1.5380011473671228E-2</v>
      </c>
    </row>
    <row r="8" spans="1:14" x14ac:dyDescent="0.3">
      <c r="A8" s="1" t="s">
        <v>21</v>
      </c>
      <c r="B8" s="8"/>
      <c r="C8" s="2">
        <f>AVERAGE(0,3,3*100000000)</f>
        <v>100000001</v>
      </c>
      <c r="D8" s="2">
        <f>AVERAGE(2,3,1)*100000000</f>
        <v>200000000</v>
      </c>
      <c r="E8" s="2">
        <f>AVERAGE(6,5,8)*100000000</f>
        <v>633333333.33333325</v>
      </c>
      <c r="F8" s="8"/>
      <c r="G8" s="6">
        <f>AVERAGE(3000,10000)</f>
        <v>6500</v>
      </c>
      <c r="J8" s="3">
        <f t="shared" ref="J8" si="2">G8/E8</f>
        <v>1.0263157894736843E-5</v>
      </c>
      <c r="L8" s="2" t="s">
        <v>21</v>
      </c>
      <c r="M8" s="2">
        <f t="shared" si="0"/>
        <v>1.416518927125506E-5</v>
      </c>
      <c r="N8" s="7">
        <f t="shared" si="1"/>
        <v>1.0713383960779394E-5</v>
      </c>
    </row>
    <row r="10" spans="1:14" x14ac:dyDescent="0.3">
      <c r="A10" s="1" t="s">
        <v>22</v>
      </c>
      <c r="B10" s="8"/>
      <c r="C10" s="2" t="s">
        <v>10</v>
      </c>
      <c r="D10" s="2" t="s">
        <v>11</v>
      </c>
      <c r="E10" s="2" t="s">
        <v>12</v>
      </c>
      <c r="F10" s="9" t="s">
        <v>23</v>
      </c>
      <c r="G10" s="2" t="s">
        <v>24</v>
      </c>
    </row>
    <row r="11" spans="1:14" x14ac:dyDescent="0.3">
      <c r="A11" s="1" t="s">
        <v>18</v>
      </c>
      <c r="B11" s="8"/>
      <c r="C11" s="10">
        <f>LOG10(C5/(B5/10000))/(LOG10(2))</f>
        <v>13.034946309169483</v>
      </c>
      <c r="D11" s="10">
        <f>LOG10(D5/(C5/10000))/(LOG10(2))</f>
        <v>13.055051622759175</v>
      </c>
      <c r="E11" s="10">
        <f>LOG10(E5/(D5/100))/(LOG10(2))</f>
        <v>6.781359713524659</v>
      </c>
      <c r="F11" s="11">
        <f>C11+D11</f>
        <v>26.089997931928657</v>
      </c>
      <c r="G11" s="10">
        <f>SUM(C11,D11,E11)</f>
        <v>32.871357645453315</v>
      </c>
      <c r="H11" s="10"/>
      <c r="I11" s="10"/>
      <c r="J11" s="3">
        <f>J5/F11</f>
        <v>2.3519985139033E-8</v>
      </c>
    </row>
    <row r="12" spans="1:14" x14ac:dyDescent="0.3">
      <c r="A12" s="1" t="s">
        <v>19</v>
      </c>
      <c r="B12" s="8"/>
      <c r="C12" s="10">
        <f>LOG10(C6/(B5/10000))/(LOG10(2))</f>
        <v>12.567820298742184</v>
      </c>
      <c r="D12" s="10">
        <f>LOG10(D6/(C6/10000))/(LOG10(2))</f>
        <v>12.659681156936406</v>
      </c>
      <c r="E12" s="10">
        <f t="shared" ref="E12:E14" si="3">LOG10(E6/(D6/100))/(LOG10(2))</f>
        <v>5.8848642892785197</v>
      </c>
      <c r="F12" s="11">
        <f t="shared" ref="F12:F14" si="4">C12+D12</f>
        <v>25.227501455678592</v>
      </c>
      <c r="G12" s="10">
        <f t="shared" ref="G12:G14" si="5">SUM(C12,D12,E12)</f>
        <v>31.11236574495711</v>
      </c>
      <c r="H12" s="10"/>
      <c r="I12" s="10"/>
      <c r="J12" s="3">
        <f t="shared" ref="J12:J14" si="6">J6/F12</f>
        <v>2.4561107872849299E-8</v>
      </c>
    </row>
    <row r="13" spans="1:14" x14ac:dyDescent="0.3">
      <c r="A13" s="1" t="s">
        <v>20</v>
      </c>
      <c r="B13" s="8"/>
      <c r="C13" s="10">
        <f>LOG10(C7/(B5/10000))/(LOG10(2))</f>
        <v>9.8022855523792085</v>
      </c>
      <c r="D13" s="10">
        <f t="shared" ref="D13:D14" si="7">LOG10(D7/(C7/10000))/(LOG10(2))</f>
        <v>13.287712379549449</v>
      </c>
      <c r="E13" s="10">
        <f t="shared" si="3"/>
        <v>8.3219280948873617</v>
      </c>
      <c r="F13" s="11">
        <f t="shared" si="4"/>
        <v>23.089997931928657</v>
      </c>
      <c r="G13" s="10">
        <f t="shared" si="5"/>
        <v>31.411926026816019</v>
      </c>
      <c r="H13" s="10"/>
      <c r="I13" s="10"/>
      <c r="J13" s="3">
        <f t="shared" si="6"/>
        <v>1.9488958003661997E-3</v>
      </c>
    </row>
    <row r="14" spans="1:14" x14ac:dyDescent="0.3">
      <c r="A14" s="1" t="s">
        <v>21</v>
      </c>
      <c r="B14" s="8"/>
      <c r="C14" s="10">
        <f>LOG10(C8/(B5/10000))/(LOG10(2))</f>
        <v>9.0653199726399514</v>
      </c>
      <c r="D14" s="10">
        <f t="shared" si="7"/>
        <v>14.2877123651225</v>
      </c>
      <c r="E14" s="10">
        <f t="shared" si="3"/>
        <v>8.3068212024971544</v>
      </c>
      <c r="F14" s="11">
        <f t="shared" si="4"/>
        <v>23.35303233776245</v>
      </c>
      <c r="G14" s="10">
        <f t="shared" si="5"/>
        <v>31.659853540259604</v>
      </c>
      <c r="H14" s="10"/>
      <c r="I14" s="10"/>
      <c r="J14" s="3">
        <f t="shared" si="6"/>
        <v>4.3947859731008268E-7</v>
      </c>
    </row>
    <row r="17" spans="1:14" s="4" customFormat="1" ht="21" x14ac:dyDescent="0.4">
      <c r="A17" s="4" t="s">
        <v>25</v>
      </c>
      <c r="J17" s="5"/>
      <c r="L17" s="4" t="s">
        <v>30</v>
      </c>
    </row>
    <row r="18" spans="1:14" x14ac:dyDescent="0.3">
      <c r="B18" s="2" t="s">
        <v>9</v>
      </c>
      <c r="C18" s="2" t="s">
        <v>10</v>
      </c>
      <c r="D18" s="2" t="s">
        <v>11</v>
      </c>
      <c r="E18" s="2" t="s">
        <v>12</v>
      </c>
      <c r="F18" s="6" t="s">
        <v>13</v>
      </c>
      <c r="G18" s="6" t="s">
        <v>14</v>
      </c>
      <c r="I18" s="2" t="s">
        <v>15</v>
      </c>
      <c r="J18" s="3" t="s">
        <v>16</v>
      </c>
      <c r="L18" s="14" t="s">
        <v>26</v>
      </c>
      <c r="M18" s="14"/>
      <c r="N18" s="14"/>
    </row>
    <row r="19" spans="1:14" x14ac:dyDescent="0.3">
      <c r="A19" s="1" t="s">
        <v>18</v>
      </c>
      <c r="B19" s="2">
        <f>AVERAGE(18,22,15)*100000000</f>
        <v>1833333333.3333333</v>
      </c>
      <c r="C19" s="2">
        <f>AVERAGE(15,11,22)*100000000</f>
        <v>1600000000</v>
      </c>
      <c r="D19" s="2">
        <f>AVERAGE(10,15,17)*100000000</f>
        <v>1400000000</v>
      </c>
      <c r="E19" s="2">
        <f>AVERAGE(12,12,15)*100000000</f>
        <v>1300000000</v>
      </c>
      <c r="F19" s="6">
        <v>10</v>
      </c>
      <c r="G19" s="6">
        <f>AVERAGE(10)</f>
        <v>10</v>
      </c>
      <c r="I19" s="2">
        <f>F19/B19</f>
        <v>5.4545454545454548E-9</v>
      </c>
      <c r="J19" s="3">
        <f>G19/E19</f>
        <v>7.6923076923076926E-9</v>
      </c>
      <c r="L19" s="14"/>
      <c r="M19" s="14" t="s">
        <v>16</v>
      </c>
      <c r="N19" s="14" t="s">
        <v>17</v>
      </c>
    </row>
    <row r="20" spans="1:14" x14ac:dyDescent="0.3">
      <c r="A20" s="1" t="s">
        <v>19</v>
      </c>
      <c r="B20" s="8"/>
      <c r="C20" s="2">
        <f>AVERAGE(10,7,4)*100000000</f>
        <v>700000000</v>
      </c>
      <c r="D20" s="2">
        <f>AVERAGE(12,28,22)*100000000</f>
        <v>2066666666.6666667</v>
      </c>
      <c r="E20" s="2">
        <f>AVERAGE(13,9,5)*100000000</f>
        <v>900000000</v>
      </c>
      <c r="F20" s="8"/>
      <c r="G20" s="6">
        <f>AVERAGE(2000,10000)</f>
        <v>6000</v>
      </c>
      <c r="J20" s="3">
        <f t="shared" ref="J20:J22" si="8">G20/E20</f>
        <v>6.6666666666666666E-6</v>
      </c>
      <c r="L20" s="14" t="s">
        <v>18</v>
      </c>
      <c r="M20" s="14">
        <f>AVERAGE(J11,J25,J39,J53,J67,)</f>
        <v>7.5048618732615247E-9</v>
      </c>
      <c r="N20" s="14">
        <f>STDEV(J11,J25,J39,J53,J67,)/SQRT(5)</f>
        <v>3.8854780941006107E-9</v>
      </c>
    </row>
    <row r="21" spans="1:14" x14ac:dyDescent="0.3">
      <c r="A21" s="1" t="s">
        <v>20</v>
      </c>
      <c r="B21" s="8"/>
      <c r="C21" s="2">
        <f>AVERAGE(9,1,2)*100000000</f>
        <v>400000000</v>
      </c>
      <c r="D21" s="2">
        <f>AVERAGE(4,2,1)*100000000</f>
        <v>233333333.33333334</v>
      </c>
      <c r="E21" s="2">
        <f>AVERAGE(10,4,8)*100000000</f>
        <v>733333333.33333325</v>
      </c>
      <c r="F21" s="8"/>
      <c r="G21" s="6">
        <f>AVERAGE(30000000,100000000)</f>
        <v>65000000</v>
      </c>
      <c r="J21" s="3">
        <f t="shared" si="8"/>
        <v>8.8636363636363652E-2</v>
      </c>
      <c r="L21" s="14" t="s">
        <v>19</v>
      </c>
      <c r="M21" s="14">
        <f t="shared" ref="M21:M23" si="9">AVERAGE(J12,J26,J40,J54,J68,)</f>
        <v>1.0522472816545123E-7</v>
      </c>
      <c r="N21" s="14">
        <f t="shared" ref="N21:N23" si="10">STDEV(J12,J26,J40,J54,J68,)/SQRT(5)</f>
        <v>6.2982420153565408E-8</v>
      </c>
    </row>
    <row r="22" spans="1:14" x14ac:dyDescent="0.3">
      <c r="A22" s="1" t="s">
        <v>21</v>
      </c>
      <c r="B22" s="8"/>
      <c r="C22" s="2">
        <f>AVERAGE(14,10,8)*100000000</f>
        <v>1066666666.6666666</v>
      </c>
      <c r="D22" s="2">
        <f>AVERAGE(3,3,2)*100000000</f>
        <v>266666666.66666666</v>
      </c>
      <c r="E22" s="2">
        <f>AVERAGE(12,9,11)*100000000</f>
        <v>1066666666.6666666</v>
      </c>
      <c r="F22" s="8"/>
      <c r="G22" s="6">
        <f>AVERAGE(300)</f>
        <v>300</v>
      </c>
      <c r="J22" s="3">
        <f t="shared" si="8"/>
        <v>2.8125000000000001E-7</v>
      </c>
      <c r="L22" s="14" t="s">
        <v>20</v>
      </c>
      <c r="M22" s="14">
        <f t="shared" si="9"/>
        <v>1.1948074115947086E-3</v>
      </c>
      <c r="N22" s="14">
        <f t="shared" si="10"/>
        <v>6.5396091400805488E-4</v>
      </c>
    </row>
    <row r="23" spans="1:14" x14ac:dyDescent="0.3">
      <c r="L23" s="14" t="s">
        <v>21</v>
      </c>
      <c r="M23" s="14">
        <f t="shared" si="9"/>
        <v>4.9966117554877469E-7</v>
      </c>
      <c r="N23" s="14">
        <f t="shared" si="10"/>
        <v>4.5262299383611548E-7</v>
      </c>
    </row>
    <row r="24" spans="1:14" x14ac:dyDescent="0.3">
      <c r="A24" s="1" t="s">
        <v>22</v>
      </c>
      <c r="B24" s="8"/>
      <c r="C24" s="2" t="s">
        <v>10</v>
      </c>
      <c r="D24" s="2" t="s">
        <v>11</v>
      </c>
      <c r="E24" s="2" t="s">
        <v>12</v>
      </c>
      <c r="F24" s="9" t="s">
        <v>23</v>
      </c>
      <c r="G24" s="2" t="s">
        <v>24</v>
      </c>
    </row>
    <row r="25" spans="1:14" x14ac:dyDescent="0.3">
      <c r="A25" s="1" t="s">
        <v>18</v>
      </c>
      <c r="B25" s="8"/>
      <c r="C25" s="10">
        <f>LOG10(C19/(B19/10000))/(LOG10(2))</f>
        <v>13.091315166745947</v>
      </c>
      <c r="D25" s="10">
        <f>LOG10(D19/(C19/10000))/(LOG10(2))</f>
        <v>13.095067301607052</v>
      </c>
      <c r="E25" s="10">
        <f>LOG10(E19/(D19/100))/(LOG10(2))</f>
        <v>6.5369409858582124</v>
      </c>
      <c r="F25" s="11">
        <f>C25+D25</f>
        <v>26.186382468352999</v>
      </c>
      <c r="G25" s="10">
        <f>SUM(C25:E25)</f>
        <v>32.723323454211211</v>
      </c>
      <c r="H25" s="10"/>
      <c r="I25" s="10"/>
      <c r="J25" s="3">
        <f>J19/F25</f>
        <v>2.9375220886672944E-10</v>
      </c>
    </row>
    <row r="26" spans="1:14" x14ac:dyDescent="0.3">
      <c r="A26" s="1" t="s">
        <v>19</v>
      </c>
      <c r="B26" s="8"/>
      <c r="C26" s="10">
        <f>LOG10(C20/(B19/10000))/(LOG10(2))</f>
        <v>11.89867008880355</v>
      </c>
      <c r="D26" s="10">
        <f>LOG10(D20/(C20/10000))/(LOG10(2))</f>
        <v>14.849591267157566</v>
      </c>
      <c r="E26" s="10">
        <f t="shared" ref="E26:E28" si="11">LOG10(E20/(D20/100))/(LOG10(2))</f>
        <v>5.4445473815513177</v>
      </c>
      <c r="F26" s="11">
        <f t="shared" ref="F26:F28" si="12">C26+D26</f>
        <v>26.748261355961116</v>
      </c>
      <c r="G26" s="10">
        <f t="shared" ref="G26:G28" si="13">SUM(C26:E26)</f>
        <v>32.192808737512436</v>
      </c>
      <c r="H26" s="10"/>
      <c r="I26" s="10"/>
      <c r="J26" s="3">
        <f t="shared" ref="J26:J28" si="14">J20/F26</f>
        <v>2.492373832432639E-7</v>
      </c>
    </row>
    <row r="27" spans="1:14" x14ac:dyDescent="0.3">
      <c r="A27" s="1" t="s">
        <v>20</v>
      </c>
      <c r="B27" s="8"/>
      <c r="C27" s="10">
        <f>LOG10(C21/(B19/10000))/(LOG10(2))</f>
        <v>11.091315166745947</v>
      </c>
      <c r="D27" s="10">
        <f t="shared" ref="D27:D28" si="15">LOG10(D21/(C21/10000))/(LOG10(2))</f>
        <v>12.510104800885898</v>
      </c>
      <c r="E27" s="10">
        <f t="shared" si="11"/>
        <v>8.2959328863544179</v>
      </c>
      <c r="F27" s="11">
        <f t="shared" si="12"/>
        <v>23.601419967631845</v>
      </c>
      <c r="G27" s="10">
        <f t="shared" si="13"/>
        <v>31.897352853986263</v>
      </c>
      <c r="H27" s="10"/>
      <c r="I27" s="10"/>
      <c r="J27" s="3">
        <f t="shared" si="14"/>
        <v>3.7555521556721563E-3</v>
      </c>
    </row>
    <row r="28" spans="1:14" x14ac:dyDescent="0.3">
      <c r="A28" s="1" t="s">
        <v>21</v>
      </c>
      <c r="B28" s="8"/>
      <c r="C28" s="10">
        <f>LOG10(C22/(B19/10000))/(LOG10(2))</f>
        <v>12.506352666024791</v>
      </c>
      <c r="D28" s="10">
        <f t="shared" si="15"/>
        <v>11.287712379549449</v>
      </c>
      <c r="E28" s="10">
        <f t="shared" si="11"/>
        <v>8.6438561897747253</v>
      </c>
      <c r="F28" s="11">
        <f t="shared" si="12"/>
        <v>23.794065045574239</v>
      </c>
      <c r="G28" s="10">
        <f t="shared" si="13"/>
        <v>32.437921235348966</v>
      </c>
      <c r="H28" s="10"/>
      <c r="I28" s="10"/>
      <c r="J28" s="3">
        <f t="shared" si="14"/>
        <v>1.1820174462047764E-8</v>
      </c>
    </row>
    <row r="31" spans="1:14" s="4" customFormat="1" ht="21" x14ac:dyDescent="0.4">
      <c r="A31" s="4" t="s">
        <v>27</v>
      </c>
      <c r="J31" s="5"/>
    </row>
    <row r="32" spans="1:14" x14ac:dyDescent="0.3">
      <c r="B32" s="2" t="s">
        <v>9</v>
      </c>
      <c r="C32" s="2" t="s">
        <v>10</v>
      </c>
      <c r="D32" s="2" t="s">
        <v>11</v>
      </c>
      <c r="E32" s="2" t="s">
        <v>12</v>
      </c>
      <c r="F32" s="6" t="s">
        <v>13</v>
      </c>
      <c r="G32" s="6" t="s">
        <v>14</v>
      </c>
      <c r="I32" s="2" t="s">
        <v>15</v>
      </c>
      <c r="J32" s="3" t="s">
        <v>16</v>
      </c>
    </row>
    <row r="33" spans="1:10" x14ac:dyDescent="0.3">
      <c r="A33" s="1" t="s">
        <v>18</v>
      </c>
      <c r="B33" s="2">
        <f>AVERAGE(24,20,17)*100000000</f>
        <v>2033333333.3333333</v>
      </c>
      <c r="C33" s="2">
        <f>AVERAGE(15,16,16)*100000000</f>
        <v>1566666666.6666665</v>
      </c>
      <c r="D33" s="2">
        <f>AVERAGE(15,14,11)*100000000</f>
        <v>1333333333.3333335</v>
      </c>
      <c r="E33" s="2">
        <f>AVERAGE(12,9,14)*100000000</f>
        <v>1166666666.6666665</v>
      </c>
      <c r="F33" s="6">
        <v>10</v>
      </c>
      <c r="G33" s="6">
        <f>AVERAGE(300)</f>
        <v>300</v>
      </c>
      <c r="I33" s="2">
        <f>F33/B33</f>
        <v>4.9180327868852461E-9</v>
      </c>
      <c r="J33" s="3">
        <f>G33/E33</f>
        <v>2.5714285714285716E-7</v>
      </c>
    </row>
    <row r="34" spans="1:10" x14ac:dyDescent="0.3">
      <c r="A34" s="1" t="s">
        <v>19</v>
      </c>
      <c r="B34" s="8"/>
      <c r="C34" s="2">
        <f>AVERAGE(23,26,19)*100000000</f>
        <v>2266666666.666667</v>
      </c>
      <c r="D34" s="2">
        <f>AVERAGE(3,8,12)*100000000</f>
        <v>766666666.66666675</v>
      </c>
      <c r="E34" s="2">
        <f>AVERAGE(11,7,10)*100000000</f>
        <v>933333333.33333337</v>
      </c>
      <c r="F34" s="8"/>
      <c r="G34" s="6">
        <f>AVERAGE(300)</f>
        <v>300</v>
      </c>
      <c r="J34" s="3">
        <f t="shared" ref="J34:J36" si="16">G34/E34</f>
        <v>3.214285714285714E-7</v>
      </c>
    </row>
    <row r="35" spans="1:10" x14ac:dyDescent="0.3">
      <c r="A35" s="1" t="s">
        <v>20</v>
      </c>
      <c r="B35" s="8"/>
      <c r="C35" s="2">
        <f>AVERAGE(15,17,30)*100000000</f>
        <v>2066666666.6666667</v>
      </c>
      <c r="D35" s="2">
        <f>AVERAGE(3,9,10)*100000000</f>
        <v>733333333.33333325</v>
      </c>
      <c r="E35" s="2">
        <f>AVERAGE(8,7,6)*100000000</f>
        <v>700000000</v>
      </c>
      <c r="F35" s="8"/>
      <c r="G35" s="6">
        <f>AVERAGE(20000000)</f>
        <v>20000000</v>
      </c>
      <c r="J35" s="3">
        <f t="shared" si="16"/>
        <v>2.8571428571428571E-2</v>
      </c>
    </row>
    <row r="36" spans="1:10" x14ac:dyDescent="0.3">
      <c r="A36" s="1" t="s">
        <v>21</v>
      </c>
      <c r="B36" s="8"/>
      <c r="C36" s="2">
        <f>AVERAGE(1,2,2)*100000000</f>
        <v>166666666.66666669</v>
      </c>
      <c r="D36" s="2">
        <f>AVERAGE(5,4,5)*100000000</f>
        <v>466666666.66666669</v>
      </c>
      <c r="E36" s="2">
        <f>AVERAGE(16,11,12)*100000000</f>
        <v>1300000000</v>
      </c>
      <c r="F36" s="8"/>
      <c r="G36" s="6">
        <f>AVERAGE(300)</f>
        <v>300</v>
      </c>
      <c r="J36" s="3">
        <f t="shared" si="16"/>
        <v>2.3076923076923078E-7</v>
      </c>
    </row>
    <row r="37" spans="1:10" x14ac:dyDescent="0.3">
      <c r="G37" s="12"/>
    </row>
    <row r="38" spans="1:10" x14ac:dyDescent="0.3">
      <c r="A38" s="1" t="s">
        <v>22</v>
      </c>
      <c r="B38" s="8"/>
      <c r="C38" s="2" t="s">
        <v>10</v>
      </c>
      <c r="D38" s="2" t="s">
        <v>11</v>
      </c>
      <c r="E38" s="2" t="s">
        <v>12</v>
      </c>
      <c r="F38" s="9" t="s">
        <v>23</v>
      </c>
      <c r="G38" s="2" t="s">
        <v>24</v>
      </c>
    </row>
    <row r="39" spans="1:10" x14ac:dyDescent="0.3">
      <c r="A39" s="1" t="s">
        <v>18</v>
      </c>
      <c r="B39" s="8"/>
      <c r="C39" s="10">
        <f>LOG10(C33/(B33/10000))/(LOG10(2))</f>
        <v>12.9115638936642</v>
      </c>
      <c r="D39" s="10">
        <f>LOG10(D33/(C33/10000))/(LOG10(2))</f>
        <v>13.055051622759175</v>
      </c>
      <c r="E39" s="10">
        <f>LOG10(E33/(D33/100))/(LOG10(2))</f>
        <v>6.4512111118323281</v>
      </c>
      <c r="F39" s="11">
        <f>C39+D39</f>
        <v>25.966615516423374</v>
      </c>
      <c r="G39" s="10">
        <f>SUM(C39:E39)</f>
        <v>32.417826628255703</v>
      </c>
      <c r="H39" s="10"/>
      <c r="I39" s="10"/>
      <c r="J39" s="3">
        <f>J33/F39</f>
        <v>9.9028253019812828E-9</v>
      </c>
    </row>
    <row r="40" spans="1:10" x14ac:dyDescent="0.3">
      <c r="A40" s="1" t="s">
        <v>19</v>
      </c>
      <c r="B40" s="8"/>
      <c r="C40" s="10">
        <f>LOG10(C34/(B33/10000))/(LOG10(2))</f>
        <v>13.444437883236903</v>
      </c>
      <c r="D40" s="10">
        <f>LOG10(D34/(C34/10000))/(LOG10(2))</f>
        <v>11.723811494356122</v>
      </c>
      <c r="E40" s="10">
        <f t="shared" ref="E40:E42" si="17">LOG10(E34/(D34/100))/(LOG10(2))</f>
        <v>6.9276491557753159</v>
      </c>
      <c r="F40" s="11">
        <f t="shared" ref="F40:F42" si="18">C40+D40</f>
        <v>25.168249377593025</v>
      </c>
      <c r="G40" s="10">
        <f t="shared" ref="G40:G42" si="19">SUM(C40:E40)</f>
        <v>32.095898533368342</v>
      </c>
      <c r="H40" s="10"/>
      <c r="I40" s="10"/>
      <c r="J40" s="3">
        <f t="shared" ref="J40:J42" si="20">J34/F40</f>
        <v>1.277119304589914E-8</v>
      </c>
    </row>
    <row r="41" spans="1:10" x14ac:dyDescent="0.3">
      <c r="A41" s="1" t="s">
        <v>20</v>
      </c>
      <c r="B41" s="8"/>
      <c r="C41" s="10">
        <f>LOG10(C35/(B33/10000))/(LOG10(2))</f>
        <v>13.311171352373439</v>
      </c>
      <c r="D41" s="10">
        <f t="shared" ref="D41:D42" si="21">LOG10(D35/(C35/10000))/(LOG10(2))</f>
        <v>11.79294768779987</v>
      </c>
      <c r="E41" s="10">
        <f t="shared" si="17"/>
        <v>6.5767419939161877</v>
      </c>
      <c r="F41" s="11">
        <f t="shared" si="18"/>
        <v>25.104119040173309</v>
      </c>
      <c r="G41" s="10">
        <f t="shared" si="19"/>
        <v>31.680861034089496</v>
      </c>
      <c r="H41" s="10"/>
      <c r="I41" s="10"/>
      <c r="J41" s="3">
        <f t="shared" si="20"/>
        <v>1.1381171562207238E-3</v>
      </c>
    </row>
    <row r="42" spans="1:10" x14ac:dyDescent="0.3">
      <c r="A42" s="1" t="s">
        <v>21</v>
      </c>
      <c r="B42" s="8"/>
      <c r="C42" s="10">
        <f>LOG10(C36/(B33/10000))/(LOG10(2))</f>
        <v>9.6789031368739256</v>
      </c>
      <c r="D42" s="10">
        <f t="shared" si="21"/>
        <v>14.773139206719692</v>
      </c>
      <c r="E42" s="10">
        <f t="shared" si="17"/>
        <v>8.1219034865793702</v>
      </c>
      <c r="F42" s="11">
        <f t="shared" si="18"/>
        <v>24.452042343593618</v>
      </c>
      <c r="G42" s="10">
        <f t="shared" si="19"/>
        <v>32.573945830172988</v>
      </c>
      <c r="H42" s="10"/>
      <c r="I42" s="10"/>
      <c r="J42" s="3">
        <f t="shared" si="20"/>
        <v>9.4376260079433325E-9</v>
      </c>
    </row>
    <row r="45" spans="1:10" s="4" customFormat="1" ht="21" x14ac:dyDescent="0.4">
      <c r="A45" s="4" t="s">
        <v>28</v>
      </c>
      <c r="J45" s="5"/>
    </row>
    <row r="46" spans="1:10" x14ac:dyDescent="0.3">
      <c r="B46" s="2" t="s">
        <v>9</v>
      </c>
      <c r="C46" s="2" t="s">
        <v>10</v>
      </c>
      <c r="D46" s="2" t="s">
        <v>11</v>
      </c>
      <c r="E46" s="2" t="s">
        <v>12</v>
      </c>
      <c r="F46" s="6" t="s">
        <v>13</v>
      </c>
      <c r="G46" s="6" t="s">
        <v>14</v>
      </c>
      <c r="I46" s="2" t="s">
        <v>15</v>
      </c>
      <c r="J46" s="3" t="s">
        <v>16</v>
      </c>
    </row>
    <row r="47" spans="1:10" x14ac:dyDescent="0.3">
      <c r="A47" s="1" t="s">
        <v>18</v>
      </c>
      <c r="B47" s="2">
        <f>AVERAGE(28,23,39)*100000000</f>
        <v>3000000000</v>
      </c>
      <c r="C47" s="2">
        <f>AVERAGE(18,13,16)*100000000</f>
        <v>1566666666.6666665</v>
      </c>
      <c r="D47" s="2">
        <f>AVERAGE(22,18,18)*100000000</f>
        <v>1933333333.3333333</v>
      </c>
      <c r="E47" s="2">
        <f>AVERAGE(15,8,17)*100000000</f>
        <v>1333333333.3333335</v>
      </c>
      <c r="F47" s="6">
        <v>10</v>
      </c>
      <c r="G47" s="6">
        <f>AVERAGE(200)</f>
        <v>200</v>
      </c>
      <c r="I47" s="2">
        <f>F47/B47</f>
        <v>3.3333333333333334E-9</v>
      </c>
      <c r="J47" s="3">
        <f>G47/E47</f>
        <v>1.4999999999999999E-7</v>
      </c>
    </row>
    <row r="48" spans="1:10" x14ac:dyDescent="0.3">
      <c r="A48" s="1" t="s">
        <v>19</v>
      </c>
      <c r="B48" s="8"/>
      <c r="C48" s="2">
        <f>AVERAGE(9,10,4)*100000000</f>
        <v>766666666.66666675</v>
      </c>
      <c r="D48" s="2">
        <f>AVERAGE(8,10,11)*100000000</f>
        <v>966666666.66666663</v>
      </c>
      <c r="E48" s="2">
        <f>AVERAGE(10,10,12)*100000000</f>
        <v>1066666666.6666666</v>
      </c>
      <c r="F48" s="8"/>
      <c r="G48" s="6">
        <f>AVERAGE(10000,7000)</f>
        <v>8500</v>
      </c>
      <c r="J48" s="3">
        <f t="shared" ref="J48:J50" si="22">G48/E48</f>
        <v>7.9687500000000006E-6</v>
      </c>
    </row>
    <row r="49" spans="1:10" x14ac:dyDescent="0.3">
      <c r="A49" s="1" t="s">
        <v>20</v>
      </c>
      <c r="B49" s="8"/>
      <c r="C49" s="2">
        <f>AVERAGE(16,9,13)*100000000</f>
        <v>1266666666.6666665</v>
      </c>
      <c r="D49" s="2">
        <f>AVERAGE(5,5,4)*100000000</f>
        <v>466666666.66666669</v>
      </c>
      <c r="E49" s="2">
        <f>AVERAGE(7,8,8)*100000000</f>
        <v>766666666.66666675</v>
      </c>
      <c r="F49" s="8"/>
      <c r="G49" s="6">
        <f>AVERAGE(4000000)</f>
        <v>4000000</v>
      </c>
      <c r="J49" s="3">
        <f t="shared" si="22"/>
        <v>5.2173913043478256E-3</v>
      </c>
    </row>
    <row r="50" spans="1:10" x14ac:dyDescent="0.3">
      <c r="A50" s="1" t="s">
        <v>21</v>
      </c>
      <c r="B50" s="8"/>
      <c r="C50" s="2">
        <f>AVERAGE(6,5,5)*100000000</f>
        <v>533333333.33333331</v>
      </c>
      <c r="D50" s="2">
        <f>AVERAGE(5,2,5)*100000000</f>
        <v>400000000</v>
      </c>
      <c r="E50" s="2">
        <f>AVERAGE(10,7,8)*100000000</f>
        <v>833333333.33333337</v>
      </c>
      <c r="F50" s="8"/>
      <c r="G50" s="6">
        <f>AVERAGE(50000)</f>
        <v>50000</v>
      </c>
      <c r="J50" s="3">
        <f t="shared" si="22"/>
        <v>5.9999999999999995E-5</v>
      </c>
    </row>
    <row r="52" spans="1:10" x14ac:dyDescent="0.3">
      <c r="A52" s="1" t="s">
        <v>22</v>
      </c>
      <c r="B52" s="8"/>
      <c r="C52" s="2" t="s">
        <v>10</v>
      </c>
      <c r="D52" s="2" t="s">
        <v>11</v>
      </c>
      <c r="E52" s="2" t="s">
        <v>12</v>
      </c>
      <c r="F52" s="9" t="s">
        <v>23</v>
      </c>
      <c r="G52" s="2" t="s">
        <v>24</v>
      </c>
    </row>
    <row r="53" spans="1:10" x14ac:dyDescent="0.3">
      <c r="A53" s="1" t="s">
        <v>18</v>
      </c>
      <c r="B53" s="8"/>
      <c r="C53" s="10">
        <f>LOG10(C47/(B47/10000))/(LOG10(2))</f>
        <v>12.350448134897412</v>
      </c>
      <c r="D53" s="10">
        <f>LOG10(D47/(C47/10000))/(LOG10(2))</f>
        <v>13.591104522999384</v>
      </c>
      <c r="E53" s="10">
        <f>LOG10(E47/(D47/100))/(LOG10(2))</f>
        <v>6.1078032895345151</v>
      </c>
      <c r="F53" s="11">
        <f>C53+D53</f>
        <v>25.941552657896796</v>
      </c>
      <c r="G53" s="10">
        <f>SUM(C53:E53)</f>
        <v>32.049355947431309</v>
      </c>
      <c r="H53" s="10"/>
      <c r="I53" s="10"/>
      <c r="J53" s="3">
        <f>J47/F53</f>
        <v>5.7822290738769219E-9</v>
      </c>
    </row>
    <row r="54" spans="1:10" x14ac:dyDescent="0.3">
      <c r="A54" s="1" t="s">
        <v>19</v>
      </c>
      <c r="B54" s="8"/>
      <c r="C54" s="10">
        <f>LOG10(C48/(B47/10000))/(LOG10(2))</f>
        <v>11.319421239276787</v>
      </c>
      <c r="D54" s="10">
        <f>LOG10(D48/(C48/10000))/(LOG10(2))</f>
        <v>13.622131418620009</v>
      </c>
      <c r="E54" s="10">
        <f t="shared" ref="E54:E56" si="23">LOG10(E48/(D48/100))/(LOG10(2))</f>
        <v>6.7858751946471516</v>
      </c>
      <c r="F54" s="11">
        <f t="shared" ref="F54:F56" si="24">C54+D54</f>
        <v>24.941552657896796</v>
      </c>
      <c r="G54" s="10">
        <f t="shared" ref="G54:G56" si="25">SUM(C54:E54)</f>
        <v>31.727427852543947</v>
      </c>
      <c r="H54" s="10"/>
      <c r="I54" s="10"/>
      <c r="J54" s="3">
        <f t="shared" ref="J54:J56" si="26">J48/F54</f>
        <v>3.194969499012724E-7</v>
      </c>
    </row>
    <row r="55" spans="1:10" x14ac:dyDescent="0.3">
      <c r="A55" s="1" t="s">
        <v>20</v>
      </c>
      <c r="B55" s="8"/>
      <c r="C55" s="10">
        <f>LOG10(C49/(B47/10000))/(LOG10(2))</f>
        <v>12.04378679666336</v>
      </c>
      <c r="D55" s="10">
        <f t="shared" ref="D55:D56" si="27">LOG10(D49/(C49/10000))/(LOG10(2))</f>
        <v>11.847139788163469</v>
      </c>
      <c r="E55" s="10">
        <f t="shared" si="23"/>
        <v>7.3600632237741337</v>
      </c>
      <c r="F55" s="11">
        <f t="shared" si="24"/>
        <v>23.890926584826829</v>
      </c>
      <c r="G55" s="10">
        <f t="shared" si="25"/>
        <v>31.250989808600963</v>
      </c>
      <c r="H55" s="10"/>
      <c r="I55" s="10"/>
      <c r="J55" s="3">
        <f t="shared" si="26"/>
        <v>2.1838379879587425E-4</v>
      </c>
    </row>
    <row r="56" spans="1:10" x14ac:dyDescent="0.3">
      <c r="A56" s="1" t="s">
        <v>21</v>
      </c>
      <c r="B56" s="8"/>
      <c r="C56" s="10">
        <f>LOG10(C50/(B47/10000))/(LOG10(2))</f>
        <v>10.795859283219775</v>
      </c>
      <c r="D56" s="10">
        <f t="shared" si="27"/>
        <v>12.872674880270605</v>
      </c>
      <c r="E56" s="10">
        <f t="shared" si="23"/>
        <v>7.7027498788282935</v>
      </c>
      <c r="F56" s="11">
        <f t="shared" si="24"/>
        <v>23.668534163490378</v>
      </c>
      <c r="G56" s="10">
        <f t="shared" si="25"/>
        <v>31.371284042318671</v>
      </c>
      <c r="H56" s="10"/>
      <c r="I56" s="10"/>
      <c r="J56" s="3">
        <f t="shared" si="26"/>
        <v>2.5350112341368523E-6</v>
      </c>
    </row>
    <row r="57" spans="1:10" x14ac:dyDescent="0.3">
      <c r="C57" s="10"/>
      <c r="D57" s="10"/>
      <c r="E57" s="10"/>
      <c r="F57" s="10"/>
      <c r="G57" s="10"/>
      <c r="H57" s="10"/>
      <c r="I57" s="10"/>
      <c r="J57" s="13"/>
    </row>
    <row r="59" spans="1:10" s="4" customFormat="1" ht="21" x14ac:dyDescent="0.4">
      <c r="A59" s="4" t="s">
        <v>29</v>
      </c>
      <c r="J59" s="5"/>
    </row>
    <row r="60" spans="1:10" x14ac:dyDescent="0.3">
      <c r="B60" s="2" t="s">
        <v>9</v>
      </c>
      <c r="C60" s="2" t="s">
        <v>10</v>
      </c>
      <c r="D60" s="2" t="s">
        <v>11</v>
      </c>
      <c r="E60" s="2" t="s">
        <v>12</v>
      </c>
      <c r="F60" s="6" t="s">
        <v>13</v>
      </c>
      <c r="G60" s="6" t="s">
        <v>14</v>
      </c>
      <c r="I60" s="2" t="s">
        <v>15</v>
      </c>
      <c r="J60" s="3" t="s">
        <v>16</v>
      </c>
    </row>
    <row r="61" spans="1:10" x14ac:dyDescent="0.3">
      <c r="A61" s="1" t="s">
        <v>18</v>
      </c>
      <c r="B61" s="2">
        <f>AVERAGE(15,12,12)*100000000</f>
        <v>1300000000</v>
      </c>
      <c r="C61" s="2">
        <f>AVERAGE(14,16,15)*100000000</f>
        <v>1500000000</v>
      </c>
      <c r="D61" s="2">
        <f>AVERAGE(21,14,22)*100000000</f>
        <v>1900000000</v>
      </c>
      <c r="E61" s="2">
        <f>AVERAGE(16,9,15)*100000000</f>
        <v>1333333333.3333335</v>
      </c>
      <c r="F61" s="6">
        <v>10</v>
      </c>
      <c r="G61" s="6">
        <f>AVERAGE(200)</f>
        <v>200</v>
      </c>
      <c r="I61" s="2">
        <f>F61/B61</f>
        <v>7.6923076923076926E-9</v>
      </c>
      <c r="J61" s="3">
        <f>G61/E61</f>
        <v>1.4999999999999999E-7</v>
      </c>
    </row>
    <row r="62" spans="1:10" x14ac:dyDescent="0.3">
      <c r="A62" s="1" t="s">
        <v>19</v>
      </c>
      <c r="B62" s="8"/>
      <c r="C62" s="2">
        <f>AVERAGE(9,9,5)*100000000</f>
        <v>766666666.66666675</v>
      </c>
      <c r="D62" s="2">
        <f>AVERAGE(21,23,13)*100000000</f>
        <v>1900000000</v>
      </c>
      <c r="E62" s="2">
        <f>AVERAGE(14,11,10)*100000000</f>
        <v>1166666666.6666665</v>
      </c>
      <c r="F62" s="8"/>
      <c r="G62" s="6">
        <f>AVERAGE(800)</f>
        <v>800</v>
      </c>
      <c r="J62" s="3">
        <f t="shared" ref="J62:J64" si="28">G62/E62</f>
        <v>6.8571428571428583E-7</v>
      </c>
    </row>
    <row r="63" spans="1:10" x14ac:dyDescent="0.3">
      <c r="A63" s="1" t="s">
        <v>20</v>
      </c>
      <c r="B63" s="8"/>
      <c r="C63" s="2">
        <f>AVERAGE(16,13,2)*100000000</f>
        <v>1033333333.3333334</v>
      </c>
      <c r="D63" s="2">
        <f>AVERAGE(1,3,3)*100000000</f>
        <v>233333333.33333334</v>
      </c>
      <c r="E63" s="2">
        <f>AVERAGE(6,11,13)*100000000</f>
        <v>1000000000</v>
      </c>
      <c r="F63" s="8"/>
      <c r="G63" s="6">
        <f>AVERAGE(2200000,3000000)</f>
        <v>2600000</v>
      </c>
      <c r="J63" s="3">
        <f t="shared" si="28"/>
        <v>2.5999999999999999E-3</v>
      </c>
    </row>
    <row r="64" spans="1:10" x14ac:dyDescent="0.3">
      <c r="A64" s="1" t="s">
        <v>21</v>
      </c>
      <c r="B64" s="8"/>
      <c r="C64" s="2">
        <f>AVERAGE(2,6,7)*100000000</f>
        <v>500000000</v>
      </c>
      <c r="D64" s="2">
        <f>AVERAGE(2,1,0)*100000000</f>
        <v>100000000</v>
      </c>
      <c r="E64" s="2">
        <f>AVERAGE(11,16,12)*100000000</f>
        <v>1300000000</v>
      </c>
      <c r="F64" s="8"/>
      <c r="G64" s="6">
        <f>AVERAGE(32,100)</f>
        <v>66</v>
      </c>
      <c r="J64" s="3">
        <f t="shared" si="28"/>
        <v>5.0769230769230771E-8</v>
      </c>
    </row>
    <row r="66" spans="1:10" x14ac:dyDescent="0.3">
      <c r="A66" s="1" t="s">
        <v>22</v>
      </c>
      <c r="B66" s="8"/>
      <c r="C66" s="2" t="s">
        <v>10</v>
      </c>
      <c r="D66" s="2" t="s">
        <v>11</v>
      </c>
      <c r="E66" s="2" t="s">
        <v>12</v>
      </c>
      <c r="F66" s="9" t="s">
        <v>23</v>
      </c>
      <c r="G66" s="2" t="s">
        <v>24</v>
      </c>
    </row>
    <row r="67" spans="1:10" x14ac:dyDescent="0.3">
      <c r="A67" s="1" t="s">
        <v>18</v>
      </c>
      <c r="B67" s="8"/>
      <c r="C67" s="10">
        <f>LOG10(C61/(B61/10000))/(LOG10(2))</f>
        <v>13.494163257016876</v>
      </c>
      <c r="D67" s="10">
        <f>LOG10(D61/(C61/10000))/(LOG10(2))</f>
        <v>13.628749297384516</v>
      </c>
      <c r="E67" s="10">
        <f>LOG10(E61/(D61/100))/(LOG10(2))</f>
        <v>6.1328942704973457</v>
      </c>
      <c r="F67" s="11">
        <f>C67+D67</f>
        <v>27.122912554401392</v>
      </c>
      <c r="G67" s="10">
        <f>SUM(C67:E67)</f>
        <v>33.255806824898741</v>
      </c>
      <c r="J67" s="3">
        <f>J61/F67</f>
        <v>5.5303795158112041E-9</v>
      </c>
    </row>
    <row r="68" spans="1:10" x14ac:dyDescent="0.3">
      <c r="A68" s="1" t="s">
        <v>19</v>
      </c>
      <c r="B68" s="8"/>
      <c r="C68" s="10">
        <f>LOG10(C62/(B61/10000))/(LOG10(2))</f>
        <v>12.525872116744214</v>
      </c>
      <c r="D68" s="10">
        <f>LOG10(D62/(C62/10000))/(LOG10(2))</f>
        <v>14.597040437657178</v>
      </c>
      <c r="E68" s="10">
        <f t="shared" ref="E68:E70" si="29">LOG10(E62/(D62/100))/(LOG10(2))</f>
        <v>5.9402491925549494</v>
      </c>
      <c r="F68" s="11">
        <f t="shared" ref="F68:F70" si="30">C68+D68</f>
        <v>27.122912554401392</v>
      </c>
      <c r="G68" s="10">
        <f t="shared" ref="G68:G70" si="31">SUM(C68:E68)</f>
        <v>33.063161746956339</v>
      </c>
      <c r="J68" s="3">
        <f t="shared" ref="J68:J70" si="32">J62/F68</f>
        <v>2.5281734929422653E-8</v>
      </c>
    </row>
    <row r="69" spans="1:10" x14ac:dyDescent="0.3">
      <c r="A69" s="1" t="s">
        <v>20</v>
      </c>
      <c r="B69" s="8"/>
      <c r="C69" s="10">
        <f>LOG10(C63/(B61/10000))/(LOG10(2))</f>
        <v>12.956506471074077</v>
      </c>
      <c r="D69" s="10">
        <f t="shared" ref="D69:D70" si="33">LOG10(D63/(C63/10000))/(LOG10(2))</f>
        <v>11.140870991220179</v>
      </c>
      <c r="E69" s="10">
        <f t="shared" si="29"/>
        <v>8.7433918633256393</v>
      </c>
      <c r="F69" s="11">
        <f t="shared" si="30"/>
        <v>24.097377462294254</v>
      </c>
      <c r="G69" s="10">
        <f t="shared" si="31"/>
        <v>32.840769325619895</v>
      </c>
      <c r="J69" s="3">
        <f t="shared" si="32"/>
        <v>1.0789555851329807E-4</v>
      </c>
    </row>
    <row r="70" spans="1:10" x14ac:dyDescent="0.3">
      <c r="A70" s="1" t="s">
        <v>21</v>
      </c>
      <c r="B70" s="8"/>
      <c r="C70" s="10">
        <f>LOG10(C64/(B61/10000))/(LOG10(2))</f>
        <v>11.90920075629572</v>
      </c>
      <c r="D70" s="10">
        <f t="shared" si="33"/>
        <v>10.965784284662087</v>
      </c>
      <c r="E70" s="10">
        <f t="shared" si="29"/>
        <v>10.344295907915818</v>
      </c>
      <c r="F70" s="11">
        <f t="shared" si="30"/>
        <v>22.874985040957807</v>
      </c>
      <c r="G70" s="10">
        <f t="shared" si="31"/>
        <v>33.219280948873624</v>
      </c>
      <c r="J70" s="3">
        <f t="shared" si="32"/>
        <v>2.219421375722351E-9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E. coli Cip Kamba mutation freq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Brigitta</dc:creator>
  <cp:lastModifiedBy>Brigitta</cp:lastModifiedBy>
  <dcterms:created xsi:type="dcterms:W3CDTF">2018-04-30T21:28:14Z</dcterms:created>
  <dcterms:modified xsi:type="dcterms:W3CDTF">2018-04-30T21:30:37Z</dcterms:modified>
</cp:coreProperties>
</file>