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3940" windowHeight="12192"/>
  </bookViews>
  <sheets>
    <sheet name="Tet+Kamba" sheetId="1" r:id="rId1"/>
    <sheet name="Tet+Rup" sheetId="2" r:id="rId2"/>
    <sheet name="Sheet3" sheetId="3" r:id="rId3"/>
  </sheets>
  <externalReferences>
    <externalReference r:id="rId4"/>
    <externalReference r:id="rId5"/>
  </externalReferences>
  <calcPr calcId="145621" concurrentCalc="0"/>
</workbook>
</file>

<file path=xl/calcChain.xml><?xml version="1.0" encoding="utf-8"?>
<calcChain xmlns="http://schemas.openxmlformats.org/spreadsheetml/2006/main">
  <c r="F273" i="2" l="1"/>
  <c r="F274" i="2"/>
  <c r="F275" i="2"/>
  <c r="F276" i="2"/>
  <c r="F277" i="2"/>
  <c r="F278" i="2"/>
  <c r="F279" i="2"/>
  <c r="F280" i="2"/>
  <c r="F281" i="2"/>
  <c r="F282" i="2"/>
  <c r="F283" i="2"/>
  <c r="F272" i="2"/>
  <c r="I282" i="2"/>
  <c r="B90" i="2"/>
  <c r="L94" i="2"/>
  <c r="M180" i="2"/>
  <c r="M263" i="2"/>
  <c r="T277" i="2"/>
  <c r="B74" i="2"/>
  <c r="E90" i="2"/>
  <c r="B58" i="2"/>
  <c r="E74" i="2"/>
  <c r="B42" i="2"/>
  <c r="E58" i="2"/>
  <c r="B23" i="2"/>
  <c r="E42" i="2"/>
  <c r="G94" i="2"/>
  <c r="E176" i="2"/>
  <c r="B144" i="2"/>
  <c r="E160" i="2"/>
  <c r="B128" i="2"/>
  <c r="E144" i="2"/>
  <c r="B111" i="2"/>
  <c r="E128" i="2"/>
  <c r="G180" i="2"/>
  <c r="E263" i="2"/>
  <c r="B231" i="2"/>
  <c r="E247" i="2"/>
  <c r="B215" i="2"/>
  <c r="E231" i="2"/>
  <c r="B198" i="2"/>
  <c r="E215" i="2"/>
  <c r="G263" i="2"/>
  <c r="B283" i="2"/>
  <c r="T286" i="2"/>
  <c r="B84" i="2"/>
  <c r="L88" i="2"/>
  <c r="M174" i="2"/>
  <c r="M257" i="2"/>
  <c r="S277" i="2"/>
  <c r="B68" i="2"/>
  <c r="E84" i="2"/>
  <c r="B52" i="2"/>
  <c r="E68" i="2"/>
  <c r="B36" i="2"/>
  <c r="E52" i="2"/>
  <c r="B17" i="2"/>
  <c r="E36" i="2"/>
  <c r="G88" i="2"/>
  <c r="E170" i="2"/>
  <c r="B138" i="2"/>
  <c r="E154" i="2"/>
  <c r="B122" i="2"/>
  <c r="E138" i="2"/>
  <c r="B105" i="2"/>
  <c r="E122" i="2"/>
  <c r="G174" i="2"/>
  <c r="E257" i="2"/>
  <c r="B225" i="2"/>
  <c r="E241" i="2"/>
  <c r="B209" i="2"/>
  <c r="E225" i="2"/>
  <c r="B192" i="2"/>
  <c r="E209" i="2"/>
  <c r="G257" i="2"/>
  <c r="B277" i="2"/>
  <c r="S286" i="2"/>
  <c r="K263" i="2"/>
  <c r="L263" i="2"/>
  <c r="K180" i="2"/>
  <c r="L180" i="2"/>
  <c r="C90" i="2"/>
  <c r="J94" i="2"/>
  <c r="K94" i="2"/>
  <c r="P286" i="2"/>
  <c r="K257" i="2"/>
  <c r="L257" i="2"/>
  <c r="K174" i="2"/>
  <c r="L174" i="2"/>
  <c r="C84" i="2"/>
  <c r="J88" i="2"/>
  <c r="K88" i="2"/>
  <c r="O286" i="2"/>
  <c r="H94" i="2"/>
  <c r="C23" i="2"/>
  <c r="D23" i="2"/>
  <c r="G23" i="2"/>
  <c r="N80" i="2"/>
  <c r="H180" i="2"/>
  <c r="C111" i="2"/>
  <c r="D111" i="2"/>
  <c r="G111" i="2"/>
  <c r="N166" i="2"/>
  <c r="H263" i="2"/>
  <c r="C198" i="2"/>
  <c r="D198" i="2"/>
  <c r="G198" i="2"/>
  <c r="N249" i="2"/>
  <c r="L286" i="2"/>
  <c r="H88" i="2"/>
  <c r="C17" i="2"/>
  <c r="D17" i="2"/>
  <c r="G17" i="2"/>
  <c r="M80" i="2"/>
  <c r="H174" i="2"/>
  <c r="C105" i="2"/>
  <c r="D105" i="2"/>
  <c r="G105" i="2"/>
  <c r="M166" i="2"/>
  <c r="H257" i="2"/>
  <c r="C192" i="2"/>
  <c r="D192" i="2"/>
  <c r="G192" i="2"/>
  <c r="M249" i="2"/>
  <c r="K286" i="2"/>
  <c r="J286" i="2"/>
  <c r="I286" i="2"/>
  <c r="B89" i="2"/>
  <c r="L93" i="2"/>
  <c r="M179" i="2"/>
  <c r="D262" i="2"/>
  <c r="M262" i="2"/>
  <c r="T276" i="2"/>
  <c r="B73" i="2"/>
  <c r="E89" i="2"/>
  <c r="B57" i="2"/>
  <c r="E73" i="2"/>
  <c r="B41" i="2"/>
  <c r="E57" i="2"/>
  <c r="B22" i="2"/>
  <c r="E41" i="2"/>
  <c r="G93" i="2"/>
  <c r="E175" i="2"/>
  <c r="B143" i="2"/>
  <c r="E159" i="2"/>
  <c r="B127" i="2"/>
  <c r="E143" i="2"/>
  <c r="B110" i="2"/>
  <c r="E127" i="2"/>
  <c r="G179" i="2"/>
  <c r="E262" i="2"/>
  <c r="B230" i="2"/>
  <c r="E246" i="2"/>
  <c r="B214" i="2"/>
  <c r="E230" i="2"/>
  <c r="B197" i="2"/>
  <c r="E214" i="2"/>
  <c r="G262" i="2"/>
  <c r="B282" i="2"/>
  <c r="T285" i="2"/>
  <c r="B83" i="2"/>
  <c r="L87" i="2"/>
  <c r="M173" i="2"/>
  <c r="M256" i="2"/>
  <c r="S276" i="2"/>
  <c r="B67" i="2"/>
  <c r="E83" i="2"/>
  <c r="B51" i="2"/>
  <c r="E67" i="2"/>
  <c r="B35" i="2"/>
  <c r="E51" i="2"/>
  <c r="B16" i="2"/>
  <c r="E35" i="2"/>
  <c r="G87" i="2"/>
  <c r="E169" i="2"/>
  <c r="B137" i="2"/>
  <c r="E153" i="2"/>
  <c r="B121" i="2"/>
  <c r="E137" i="2"/>
  <c r="B104" i="2"/>
  <c r="E121" i="2"/>
  <c r="G173" i="2"/>
  <c r="E256" i="2"/>
  <c r="B224" i="2"/>
  <c r="E240" i="2"/>
  <c r="B208" i="2"/>
  <c r="E224" i="2"/>
  <c r="B191" i="2"/>
  <c r="E208" i="2"/>
  <c r="G256" i="2"/>
  <c r="B276" i="2"/>
  <c r="S285" i="2"/>
  <c r="K262" i="2"/>
  <c r="L262" i="2"/>
  <c r="K179" i="2"/>
  <c r="L179" i="2"/>
  <c r="C89" i="2"/>
  <c r="J93" i="2"/>
  <c r="K93" i="2"/>
  <c r="P285" i="2"/>
  <c r="K256" i="2"/>
  <c r="L256" i="2"/>
  <c r="K173" i="2"/>
  <c r="L173" i="2"/>
  <c r="C83" i="2"/>
  <c r="J87" i="2"/>
  <c r="K87" i="2"/>
  <c r="O285" i="2"/>
  <c r="H93" i="2"/>
  <c r="C22" i="2"/>
  <c r="D22" i="2"/>
  <c r="G22" i="2"/>
  <c r="N79" i="2"/>
  <c r="H179" i="2"/>
  <c r="C110" i="2"/>
  <c r="D110" i="2"/>
  <c r="G110" i="2"/>
  <c r="N165" i="2"/>
  <c r="H262" i="2"/>
  <c r="C197" i="2"/>
  <c r="D197" i="2"/>
  <c r="G197" i="2"/>
  <c r="N248" i="2"/>
  <c r="L285" i="2"/>
  <c r="H87" i="2"/>
  <c r="C16" i="2"/>
  <c r="D16" i="2"/>
  <c r="G16" i="2"/>
  <c r="M79" i="2"/>
  <c r="H173" i="2"/>
  <c r="C104" i="2"/>
  <c r="D104" i="2"/>
  <c r="G104" i="2"/>
  <c r="M165" i="2"/>
  <c r="H256" i="2"/>
  <c r="C191" i="2"/>
  <c r="D191" i="2"/>
  <c r="G191" i="2"/>
  <c r="M248" i="2"/>
  <c r="K285" i="2"/>
  <c r="J285" i="2"/>
  <c r="I285" i="2"/>
  <c r="D88" i="2"/>
  <c r="B88" i="2"/>
  <c r="L92" i="2"/>
  <c r="M178" i="2"/>
  <c r="M261" i="2"/>
  <c r="T275" i="2"/>
  <c r="B72" i="2"/>
  <c r="E88" i="2"/>
  <c r="B56" i="2"/>
  <c r="E72" i="2"/>
  <c r="B40" i="2"/>
  <c r="E56" i="2"/>
  <c r="B21" i="2"/>
  <c r="E40" i="2"/>
  <c r="G92" i="2"/>
  <c r="E174" i="2"/>
  <c r="B142" i="2"/>
  <c r="E158" i="2"/>
  <c r="B126" i="2"/>
  <c r="E142" i="2"/>
  <c r="B109" i="2"/>
  <c r="E126" i="2"/>
  <c r="G178" i="2"/>
  <c r="E261" i="2"/>
  <c r="B229" i="2"/>
  <c r="E245" i="2"/>
  <c r="B213" i="2"/>
  <c r="E229" i="2"/>
  <c r="B196" i="2"/>
  <c r="E213" i="2"/>
  <c r="G261" i="2"/>
  <c r="B281" i="2"/>
  <c r="T284" i="2"/>
  <c r="D82" i="2"/>
  <c r="B82" i="2"/>
  <c r="L86" i="2"/>
  <c r="M172" i="2"/>
  <c r="M255" i="2"/>
  <c r="S275" i="2"/>
  <c r="B66" i="2"/>
  <c r="E82" i="2"/>
  <c r="B50" i="2"/>
  <c r="E66" i="2"/>
  <c r="B34" i="2"/>
  <c r="E50" i="2"/>
  <c r="B15" i="2"/>
  <c r="E34" i="2"/>
  <c r="G86" i="2"/>
  <c r="E168" i="2"/>
  <c r="B136" i="2"/>
  <c r="E152" i="2"/>
  <c r="B120" i="2"/>
  <c r="E136" i="2"/>
  <c r="B103" i="2"/>
  <c r="E120" i="2"/>
  <c r="G172" i="2"/>
  <c r="E255" i="2"/>
  <c r="B223" i="2"/>
  <c r="E239" i="2"/>
  <c r="B207" i="2"/>
  <c r="E223" i="2"/>
  <c r="B190" i="2"/>
  <c r="E207" i="2"/>
  <c r="G255" i="2"/>
  <c r="B275" i="2"/>
  <c r="S284" i="2"/>
  <c r="K261" i="2"/>
  <c r="L261" i="2"/>
  <c r="K178" i="2"/>
  <c r="L178" i="2"/>
  <c r="C88" i="2"/>
  <c r="J92" i="2"/>
  <c r="K92" i="2"/>
  <c r="P284" i="2"/>
  <c r="K255" i="2"/>
  <c r="L255" i="2"/>
  <c r="K172" i="2"/>
  <c r="L172" i="2"/>
  <c r="C82" i="2"/>
  <c r="J86" i="2"/>
  <c r="K86" i="2"/>
  <c r="O284" i="2"/>
  <c r="H92" i="2"/>
  <c r="C21" i="2"/>
  <c r="D21" i="2"/>
  <c r="G21" i="2"/>
  <c r="N78" i="2"/>
  <c r="H178" i="2"/>
  <c r="C109" i="2"/>
  <c r="D109" i="2"/>
  <c r="G109" i="2"/>
  <c r="N164" i="2"/>
  <c r="H261" i="2"/>
  <c r="C196" i="2"/>
  <c r="D196" i="2"/>
  <c r="G196" i="2"/>
  <c r="N247" i="2"/>
  <c r="L284" i="2"/>
  <c r="H86" i="2"/>
  <c r="C15" i="2"/>
  <c r="D15" i="2"/>
  <c r="G15" i="2"/>
  <c r="M78" i="2"/>
  <c r="H172" i="2"/>
  <c r="C103" i="2"/>
  <c r="D103" i="2"/>
  <c r="G103" i="2"/>
  <c r="M164" i="2"/>
  <c r="H255" i="2"/>
  <c r="C190" i="2"/>
  <c r="D190" i="2"/>
  <c r="G190" i="2"/>
  <c r="M247" i="2"/>
  <c r="K284" i="2"/>
  <c r="J284" i="2"/>
  <c r="I284" i="2"/>
  <c r="D87" i="2"/>
  <c r="B87" i="2"/>
  <c r="L91" i="2"/>
  <c r="M177" i="2"/>
  <c r="M260" i="2"/>
  <c r="T274" i="2"/>
  <c r="B71" i="2"/>
  <c r="E87" i="2"/>
  <c r="B55" i="2"/>
  <c r="E71" i="2"/>
  <c r="B39" i="2"/>
  <c r="E55" i="2"/>
  <c r="B20" i="2"/>
  <c r="E39" i="2"/>
  <c r="G91" i="2"/>
  <c r="E173" i="2"/>
  <c r="B141" i="2"/>
  <c r="E157" i="2"/>
  <c r="B125" i="2"/>
  <c r="E141" i="2"/>
  <c r="B108" i="2"/>
  <c r="E125" i="2"/>
  <c r="G177" i="2"/>
  <c r="E260" i="2"/>
  <c r="B228" i="2"/>
  <c r="E244" i="2"/>
  <c r="B212" i="2"/>
  <c r="E228" i="2"/>
  <c r="B195" i="2"/>
  <c r="E212" i="2"/>
  <c r="G260" i="2"/>
  <c r="B280" i="2"/>
  <c r="T283" i="2"/>
  <c r="D81" i="2"/>
  <c r="B81" i="2"/>
  <c r="L85" i="2"/>
  <c r="M171" i="2"/>
  <c r="M254" i="2"/>
  <c r="S274" i="2"/>
  <c r="B65" i="2"/>
  <c r="E81" i="2"/>
  <c r="B49" i="2"/>
  <c r="E65" i="2"/>
  <c r="B33" i="2"/>
  <c r="E49" i="2"/>
  <c r="B14" i="2"/>
  <c r="E33" i="2"/>
  <c r="G85" i="2"/>
  <c r="E167" i="2"/>
  <c r="B135" i="2"/>
  <c r="E151" i="2"/>
  <c r="B119" i="2"/>
  <c r="E135" i="2"/>
  <c r="B102" i="2"/>
  <c r="E119" i="2"/>
  <c r="G171" i="2"/>
  <c r="E254" i="2"/>
  <c r="B222" i="2"/>
  <c r="E238" i="2"/>
  <c r="B206" i="2"/>
  <c r="E222" i="2"/>
  <c r="B189" i="2"/>
  <c r="E206" i="2"/>
  <c r="G254" i="2"/>
  <c r="B274" i="2"/>
  <c r="S283" i="2"/>
  <c r="K260" i="2"/>
  <c r="L260" i="2"/>
  <c r="K177" i="2"/>
  <c r="L177" i="2"/>
  <c r="C87" i="2"/>
  <c r="J91" i="2"/>
  <c r="K91" i="2"/>
  <c r="P283" i="2"/>
  <c r="K254" i="2"/>
  <c r="L254" i="2"/>
  <c r="K171" i="2"/>
  <c r="L171" i="2"/>
  <c r="C81" i="2"/>
  <c r="J85" i="2"/>
  <c r="K85" i="2"/>
  <c r="O283" i="2"/>
  <c r="H91" i="2"/>
  <c r="C20" i="2"/>
  <c r="D20" i="2"/>
  <c r="G20" i="2"/>
  <c r="N77" i="2"/>
  <c r="H177" i="2"/>
  <c r="C108" i="2"/>
  <c r="D108" i="2"/>
  <c r="G108" i="2"/>
  <c r="N163" i="2"/>
  <c r="H260" i="2"/>
  <c r="C195" i="2"/>
  <c r="D195" i="2"/>
  <c r="G195" i="2"/>
  <c r="N246" i="2"/>
  <c r="L283" i="2"/>
  <c r="H85" i="2"/>
  <c r="C14" i="2"/>
  <c r="D14" i="2"/>
  <c r="G14" i="2"/>
  <c r="M77" i="2"/>
  <c r="H171" i="2"/>
  <c r="C102" i="2"/>
  <c r="D102" i="2"/>
  <c r="G102" i="2"/>
  <c r="M163" i="2"/>
  <c r="H254" i="2"/>
  <c r="C189" i="2"/>
  <c r="D189" i="2"/>
  <c r="G189" i="2"/>
  <c r="M246" i="2"/>
  <c r="K283" i="2"/>
  <c r="J283" i="2"/>
  <c r="I283" i="2"/>
  <c r="I77" i="2"/>
  <c r="I163" i="2"/>
  <c r="I246" i="2"/>
  <c r="I274" i="2"/>
  <c r="E283" i="2"/>
  <c r="D283" i="2"/>
  <c r="C283" i="2"/>
  <c r="D86" i="2"/>
  <c r="B86" i="2"/>
  <c r="L90" i="2"/>
  <c r="M176" i="2"/>
  <c r="M259" i="2"/>
  <c r="T273" i="2"/>
  <c r="B70" i="2"/>
  <c r="E86" i="2"/>
  <c r="B54" i="2"/>
  <c r="E70" i="2"/>
  <c r="B38" i="2"/>
  <c r="E54" i="2"/>
  <c r="B19" i="2"/>
  <c r="E38" i="2"/>
  <c r="G90" i="2"/>
  <c r="E172" i="2"/>
  <c r="B140" i="2"/>
  <c r="E156" i="2"/>
  <c r="B124" i="2"/>
  <c r="E140" i="2"/>
  <c r="B107" i="2"/>
  <c r="E124" i="2"/>
  <c r="G176" i="2"/>
  <c r="E259" i="2"/>
  <c r="B227" i="2"/>
  <c r="E243" i="2"/>
  <c r="B211" i="2"/>
  <c r="E227" i="2"/>
  <c r="B194" i="2"/>
  <c r="E211" i="2"/>
  <c r="G259" i="2"/>
  <c r="B279" i="2"/>
  <c r="T282" i="2"/>
  <c r="D80" i="2"/>
  <c r="B80" i="2"/>
  <c r="L84" i="2"/>
  <c r="M170" i="2"/>
  <c r="M253" i="2"/>
  <c r="S273" i="2"/>
  <c r="B64" i="2"/>
  <c r="E80" i="2"/>
  <c r="B48" i="2"/>
  <c r="E64" i="2"/>
  <c r="B32" i="2"/>
  <c r="E48" i="2"/>
  <c r="B13" i="2"/>
  <c r="E32" i="2"/>
  <c r="G84" i="2"/>
  <c r="E166" i="2"/>
  <c r="B134" i="2"/>
  <c r="E150" i="2"/>
  <c r="B118" i="2"/>
  <c r="E134" i="2"/>
  <c r="B101" i="2"/>
  <c r="E118" i="2"/>
  <c r="G170" i="2"/>
  <c r="E253" i="2"/>
  <c r="B221" i="2"/>
  <c r="E237" i="2"/>
  <c r="B205" i="2"/>
  <c r="E221" i="2"/>
  <c r="B188" i="2"/>
  <c r="E205" i="2"/>
  <c r="G253" i="2"/>
  <c r="B273" i="2"/>
  <c r="S282" i="2"/>
  <c r="K259" i="2"/>
  <c r="L259" i="2"/>
  <c r="K176" i="2"/>
  <c r="L176" i="2"/>
  <c r="C86" i="2"/>
  <c r="J90" i="2"/>
  <c r="K90" i="2"/>
  <c r="P282" i="2"/>
  <c r="K253" i="2"/>
  <c r="L253" i="2"/>
  <c r="K170" i="2"/>
  <c r="L170" i="2"/>
  <c r="C80" i="2"/>
  <c r="J84" i="2"/>
  <c r="K84" i="2"/>
  <c r="O282" i="2"/>
  <c r="H90" i="2"/>
  <c r="C19" i="2"/>
  <c r="D19" i="2"/>
  <c r="G19" i="2"/>
  <c r="N76" i="2"/>
  <c r="H176" i="2"/>
  <c r="C107" i="2"/>
  <c r="D107" i="2"/>
  <c r="G107" i="2"/>
  <c r="N162" i="2"/>
  <c r="H259" i="2"/>
  <c r="C194" i="2"/>
  <c r="D194" i="2"/>
  <c r="G194" i="2"/>
  <c r="N245" i="2"/>
  <c r="L282" i="2"/>
  <c r="H84" i="2"/>
  <c r="C13" i="2"/>
  <c r="D13" i="2"/>
  <c r="G13" i="2"/>
  <c r="M76" i="2"/>
  <c r="H170" i="2"/>
  <c r="C101" i="2"/>
  <c r="D101" i="2"/>
  <c r="G101" i="2"/>
  <c r="M162" i="2"/>
  <c r="H253" i="2"/>
  <c r="C188" i="2"/>
  <c r="D188" i="2"/>
  <c r="G188" i="2"/>
  <c r="M245" i="2"/>
  <c r="K282" i="2"/>
  <c r="J282" i="2"/>
  <c r="I76" i="2"/>
  <c r="I162" i="2"/>
  <c r="I245" i="2"/>
  <c r="I273" i="2"/>
  <c r="E282" i="2"/>
  <c r="D282" i="2"/>
  <c r="C282" i="2"/>
  <c r="D85" i="2"/>
  <c r="B85" i="2"/>
  <c r="L89" i="2"/>
  <c r="M175" i="2"/>
  <c r="M258" i="2"/>
  <c r="T272" i="2"/>
  <c r="B69" i="2"/>
  <c r="E85" i="2"/>
  <c r="B53" i="2"/>
  <c r="E69" i="2"/>
  <c r="B37" i="2"/>
  <c r="E53" i="2"/>
  <c r="B18" i="2"/>
  <c r="E37" i="2"/>
  <c r="G89" i="2"/>
  <c r="E171" i="2"/>
  <c r="B139" i="2"/>
  <c r="E155" i="2"/>
  <c r="B123" i="2"/>
  <c r="E139" i="2"/>
  <c r="B106" i="2"/>
  <c r="E123" i="2"/>
  <c r="G175" i="2"/>
  <c r="E258" i="2"/>
  <c r="B226" i="2"/>
  <c r="E242" i="2"/>
  <c r="B210" i="2"/>
  <c r="E226" i="2"/>
  <c r="B193" i="2"/>
  <c r="E210" i="2"/>
  <c r="G258" i="2"/>
  <c r="B278" i="2"/>
  <c r="T281" i="2"/>
  <c r="D79" i="2"/>
  <c r="B79" i="2"/>
  <c r="L83" i="2"/>
  <c r="M169" i="2"/>
  <c r="M252" i="2"/>
  <c r="S272" i="2"/>
  <c r="B63" i="2"/>
  <c r="E79" i="2"/>
  <c r="B47" i="2"/>
  <c r="E63" i="2"/>
  <c r="B31" i="2"/>
  <c r="E47" i="2"/>
  <c r="B12" i="2"/>
  <c r="E31" i="2"/>
  <c r="G83" i="2"/>
  <c r="E165" i="2"/>
  <c r="B133" i="2"/>
  <c r="E149" i="2"/>
  <c r="B117" i="2"/>
  <c r="E133" i="2"/>
  <c r="B100" i="2"/>
  <c r="E117" i="2"/>
  <c r="G169" i="2"/>
  <c r="E252" i="2"/>
  <c r="B220" i="2"/>
  <c r="E236" i="2"/>
  <c r="B204" i="2"/>
  <c r="E220" i="2"/>
  <c r="B187" i="2"/>
  <c r="E204" i="2"/>
  <c r="G252" i="2"/>
  <c r="B272" i="2"/>
  <c r="S281" i="2"/>
  <c r="K258" i="2"/>
  <c r="L258" i="2"/>
  <c r="K175" i="2"/>
  <c r="L175" i="2"/>
  <c r="C85" i="2"/>
  <c r="J89" i="2"/>
  <c r="K89" i="2"/>
  <c r="P281" i="2"/>
  <c r="K252" i="2"/>
  <c r="L252" i="2"/>
  <c r="K169" i="2"/>
  <c r="L169" i="2"/>
  <c r="C79" i="2"/>
  <c r="J83" i="2"/>
  <c r="K83" i="2"/>
  <c r="O281" i="2"/>
  <c r="H89" i="2"/>
  <c r="C18" i="2"/>
  <c r="D18" i="2"/>
  <c r="G18" i="2"/>
  <c r="N75" i="2"/>
  <c r="H175" i="2"/>
  <c r="C106" i="2"/>
  <c r="D106" i="2"/>
  <c r="G106" i="2"/>
  <c r="N161" i="2"/>
  <c r="H258" i="2"/>
  <c r="C193" i="2"/>
  <c r="D193" i="2"/>
  <c r="G193" i="2"/>
  <c r="N244" i="2"/>
  <c r="L281" i="2"/>
  <c r="H83" i="2"/>
  <c r="C12" i="2"/>
  <c r="D12" i="2"/>
  <c r="G12" i="2"/>
  <c r="M75" i="2"/>
  <c r="H169" i="2"/>
  <c r="C100" i="2"/>
  <c r="D100" i="2"/>
  <c r="G100" i="2"/>
  <c r="M161" i="2"/>
  <c r="H252" i="2"/>
  <c r="C187" i="2"/>
  <c r="D187" i="2"/>
  <c r="G187" i="2"/>
  <c r="M244" i="2"/>
  <c r="K281" i="2"/>
  <c r="J281" i="2"/>
  <c r="I281" i="2"/>
  <c r="I75" i="2"/>
  <c r="I161" i="2"/>
  <c r="I244" i="2"/>
  <c r="I272" i="2"/>
  <c r="E281" i="2"/>
  <c r="D281" i="2"/>
  <c r="C281" i="2"/>
  <c r="E280" i="2"/>
  <c r="D280" i="2"/>
  <c r="C280" i="2"/>
  <c r="E279" i="2"/>
  <c r="D279" i="2"/>
  <c r="C279" i="2"/>
  <c r="E278" i="2"/>
  <c r="D278" i="2"/>
  <c r="C278" i="2"/>
  <c r="P277" i="2"/>
  <c r="O277" i="2"/>
  <c r="J80" i="2"/>
  <c r="J166" i="2"/>
  <c r="J249" i="2"/>
  <c r="L277" i="2"/>
  <c r="I80" i="2"/>
  <c r="I166" i="2"/>
  <c r="I249" i="2"/>
  <c r="K277" i="2"/>
  <c r="J277" i="2"/>
  <c r="I277" i="2"/>
  <c r="E277" i="2"/>
  <c r="D277" i="2"/>
  <c r="C277" i="2"/>
  <c r="P276" i="2"/>
  <c r="O276" i="2"/>
  <c r="J79" i="2"/>
  <c r="J165" i="2"/>
  <c r="J248" i="2"/>
  <c r="L276" i="2"/>
  <c r="I79" i="2"/>
  <c r="I165" i="2"/>
  <c r="I248" i="2"/>
  <c r="K276" i="2"/>
  <c r="J276" i="2"/>
  <c r="I276" i="2"/>
  <c r="E276" i="2"/>
  <c r="D276" i="2"/>
  <c r="C276" i="2"/>
  <c r="P275" i="2"/>
  <c r="O275" i="2"/>
  <c r="J78" i="2"/>
  <c r="J164" i="2"/>
  <c r="J247" i="2"/>
  <c r="L275" i="2"/>
  <c r="I78" i="2"/>
  <c r="I164" i="2"/>
  <c r="I247" i="2"/>
  <c r="K275" i="2"/>
  <c r="J275" i="2"/>
  <c r="I275" i="2"/>
  <c r="E275" i="2"/>
  <c r="D275" i="2"/>
  <c r="C275" i="2"/>
  <c r="P274" i="2"/>
  <c r="O274" i="2"/>
  <c r="J77" i="2"/>
  <c r="J163" i="2"/>
  <c r="J246" i="2"/>
  <c r="L274" i="2"/>
  <c r="K274" i="2"/>
  <c r="J274" i="2"/>
  <c r="E274" i="2"/>
  <c r="D274" i="2"/>
  <c r="C274" i="2"/>
  <c r="P273" i="2"/>
  <c r="O273" i="2"/>
  <c r="J76" i="2"/>
  <c r="J162" i="2"/>
  <c r="J245" i="2"/>
  <c r="L273" i="2"/>
  <c r="K273" i="2"/>
  <c r="J273" i="2"/>
  <c r="E273" i="2"/>
  <c r="D273" i="2"/>
  <c r="C273" i="2"/>
  <c r="P272" i="2"/>
  <c r="O272" i="2"/>
  <c r="J75" i="2"/>
  <c r="J161" i="2"/>
  <c r="J244" i="2"/>
  <c r="L272" i="2"/>
  <c r="K272" i="2"/>
  <c r="J272" i="2"/>
  <c r="I263" i="2"/>
  <c r="I180" i="2"/>
  <c r="I94" i="2"/>
  <c r="E272" i="2"/>
  <c r="D272" i="2"/>
  <c r="C272" i="2"/>
  <c r="G264" i="2"/>
  <c r="I262" i="2"/>
  <c r="I261" i="2"/>
  <c r="I260" i="2"/>
  <c r="I259" i="2"/>
  <c r="I258" i="2"/>
  <c r="I257" i="2"/>
  <c r="I256" i="2"/>
  <c r="I255" i="2"/>
  <c r="I254" i="2"/>
  <c r="I253" i="2"/>
  <c r="I252" i="2"/>
  <c r="H198" i="2"/>
  <c r="F198" i="2"/>
  <c r="E198" i="2"/>
  <c r="H197" i="2"/>
  <c r="F197" i="2"/>
  <c r="E197" i="2"/>
  <c r="H196" i="2"/>
  <c r="F196" i="2"/>
  <c r="E196" i="2"/>
  <c r="H195" i="2"/>
  <c r="F195" i="2"/>
  <c r="E195" i="2"/>
  <c r="H194" i="2"/>
  <c r="F194" i="2"/>
  <c r="E194" i="2"/>
  <c r="H193" i="2"/>
  <c r="F193" i="2"/>
  <c r="E193" i="2"/>
  <c r="H192" i="2"/>
  <c r="F192" i="2"/>
  <c r="E192" i="2"/>
  <c r="H191" i="2"/>
  <c r="F191" i="2"/>
  <c r="E191" i="2"/>
  <c r="H190" i="2"/>
  <c r="F190" i="2"/>
  <c r="E190" i="2"/>
  <c r="H189" i="2"/>
  <c r="F189" i="2"/>
  <c r="E189" i="2"/>
  <c r="H188" i="2"/>
  <c r="F188" i="2"/>
  <c r="E188" i="2"/>
  <c r="H187" i="2"/>
  <c r="F187" i="2"/>
  <c r="E187" i="2"/>
  <c r="G181" i="2"/>
  <c r="I179" i="2"/>
  <c r="I178" i="2"/>
  <c r="I177" i="2"/>
  <c r="I176" i="2"/>
  <c r="I175" i="2"/>
  <c r="I174" i="2"/>
  <c r="I173" i="2"/>
  <c r="I172" i="2"/>
  <c r="I171" i="2"/>
  <c r="I170" i="2"/>
  <c r="I169" i="2"/>
  <c r="H111" i="2"/>
  <c r="F111" i="2"/>
  <c r="E111" i="2"/>
  <c r="H110" i="2"/>
  <c r="F110" i="2"/>
  <c r="E110" i="2"/>
  <c r="H109" i="2"/>
  <c r="F109" i="2"/>
  <c r="E109" i="2"/>
  <c r="H108" i="2"/>
  <c r="F108" i="2"/>
  <c r="E108" i="2"/>
  <c r="H107" i="2"/>
  <c r="F107" i="2"/>
  <c r="E107" i="2"/>
  <c r="H106" i="2"/>
  <c r="F106" i="2"/>
  <c r="E106" i="2"/>
  <c r="H105" i="2"/>
  <c r="F105" i="2"/>
  <c r="E105" i="2"/>
  <c r="H104" i="2"/>
  <c r="F104" i="2"/>
  <c r="E104" i="2"/>
  <c r="H103" i="2"/>
  <c r="F103" i="2"/>
  <c r="E103" i="2"/>
  <c r="H102" i="2"/>
  <c r="F102" i="2"/>
  <c r="E102" i="2"/>
  <c r="H101" i="2"/>
  <c r="F101" i="2"/>
  <c r="E101" i="2"/>
  <c r="H100" i="2"/>
  <c r="F100" i="2"/>
  <c r="E100" i="2"/>
  <c r="G95" i="2"/>
  <c r="I93" i="2"/>
  <c r="I92" i="2"/>
  <c r="I91" i="2"/>
  <c r="I90" i="2"/>
  <c r="I89" i="2"/>
  <c r="I88" i="2"/>
  <c r="I87" i="2"/>
  <c r="I86" i="2"/>
  <c r="I85" i="2"/>
  <c r="I84" i="2"/>
  <c r="I83" i="2"/>
  <c r="I23" i="2"/>
  <c r="H23" i="2"/>
  <c r="F23" i="2"/>
  <c r="E23" i="2"/>
  <c r="I22" i="2"/>
  <c r="H22" i="2"/>
  <c r="F22" i="2"/>
  <c r="E22" i="2"/>
  <c r="I21" i="2"/>
  <c r="H21" i="2"/>
  <c r="F21" i="2"/>
  <c r="E21" i="2"/>
  <c r="I20" i="2"/>
  <c r="H20" i="2"/>
  <c r="F20" i="2"/>
  <c r="E20" i="2"/>
  <c r="I19" i="2"/>
  <c r="H19" i="2"/>
  <c r="F19" i="2"/>
  <c r="E19" i="2"/>
  <c r="I18" i="2"/>
  <c r="H18" i="2"/>
  <c r="F18" i="2"/>
  <c r="E18" i="2"/>
  <c r="I17" i="2"/>
  <c r="H17" i="2"/>
  <c r="F17" i="2"/>
  <c r="E17" i="2"/>
  <c r="I16" i="2"/>
  <c r="H16" i="2"/>
  <c r="F16" i="2"/>
  <c r="E16" i="2"/>
  <c r="I15" i="2"/>
  <c r="H15" i="2"/>
  <c r="F15" i="2"/>
  <c r="E15" i="2"/>
  <c r="I14" i="2"/>
  <c r="H14" i="2"/>
  <c r="F14" i="2"/>
  <c r="E14" i="2"/>
  <c r="I13" i="2"/>
  <c r="H13" i="2"/>
  <c r="F13" i="2"/>
  <c r="E13" i="2"/>
  <c r="I12" i="2"/>
  <c r="H12" i="2"/>
  <c r="F12" i="2"/>
  <c r="E12" i="2"/>
  <c r="E8" i="2"/>
  <c r="E7" i="2"/>
  <c r="F8" i="2"/>
  <c r="F7" i="2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G22" i="1"/>
  <c r="I22" i="1"/>
  <c r="G23" i="1"/>
  <c r="I23" i="1"/>
  <c r="C87" i="1"/>
  <c r="H91" i="1"/>
  <c r="C23" i="1"/>
  <c r="D23" i="1"/>
  <c r="N77" i="1"/>
  <c r="H178" i="1"/>
  <c r="C108" i="1"/>
  <c r="D108" i="1"/>
  <c r="G108" i="1"/>
  <c r="N164" i="1"/>
  <c r="C262" i="1"/>
  <c r="H262" i="1"/>
  <c r="C196" i="1"/>
  <c r="D196" i="1"/>
  <c r="G196" i="1"/>
  <c r="N248" i="1"/>
  <c r="L285" i="1"/>
  <c r="C81" i="1"/>
  <c r="H85" i="1"/>
  <c r="C17" i="1"/>
  <c r="D17" i="1"/>
  <c r="M77" i="1"/>
  <c r="H172" i="1"/>
  <c r="C102" i="1"/>
  <c r="D102" i="1"/>
  <c r="G102" i="1"/>
  <c r="M164" i="1"/>
  <c r="C256" i="1"/>
  <c r="H256" i="1"/>
  <c r="C190" i="1"/>
  <c r="D190" i="1"/>
  <c r="G190" i="1"/>
  <c r="M248" i="1"/>
  <c r="K285" i="1"/>
  <c r="J285" i="1"/>
  <c r="I285" i="1"/>
  <c r="C86" i="1"/>
  <c r="H90" i="1"/>
  <c r="C22" i="1"/>
  <c r="D22" i="1"/>
  <c r="N76" i="1"/>
  <c r="H177" i="1"/>
  <c r="C107" i="1"/>
  <c r="D107" i="1"/>
  <c r="G107" i="1"/>
  <c r="N163" i="1"/>
  <c r="C261" i="1"/>
  <c r="D261" i="1"/>
  <c r="H261" i="1"/>
  <c r="C195" i="1"/>
  <c r="D195" i="1"/>
  <c r="G195" i="1"/>
  <c r="N247" i="1"/>
  <c r="L284" i="1"/>
  <c r="C80" i="1"/>
  <c r="H84" i="1"/>
  <c r="C16" i="1"/>
  <c r="D16" i="1"/>
  <c r="M76" i="1"/>
  <c r="H171" i="1"/>
  <c r="C101" i="1"/>
  <c r="D101" i="1"/>
  <c r="G101" i="1"/>
  <c r="M163" i="1"/>
  <c r="C255" i="1"/>
  <c r="H255" i="1"/>
  <c r="C189" i="1"/>
  <c r="D189" i="1"/>
  <c r="G189" i="1"/>
  <c r="M247" i="1"/>
  <c r="K284" i="1"/>
  <c r="J284" i="1"/>
  <c r="I284" i="1"/>
  <c r="C85" i="1"/>
  <c r="D85" i="1"/>
  <c r="H89" i="1"/>
  <c r="C21" i="1"/>
  <c r="D21" i="1"/>
  <c r="N75" i="1"/>
  <c r="C172" i="1"/>
  <c r="D172" i="1"/>
  <c r="H176" i="1"/>
  <c r="C106" i="1"/>
  <c r="D106" i="1"/>
  <c r="G106" i="1"/>
  <c r="N162" i="1"/>
  <c r="C260" i="1"/>
  <c r="D260" i="1"/>
  <c r="H260" i="1"/>
  <c r="C194" i="1"/>
  <c r="D194" i="1"/>
  <c r="G194" i="1"/>
  <c r="N246" i="1"/>
  <c r="L283" i="1"/>
  <c r="C79" i="1"/>
  <c r="D79" i="1"/>
  <c r="H83" i="1"/>
  <c r="C15" i="1"/>
  <c r="D15" i="1"/>
  <c r="M75" i="1"/>
  <c r="C166" i="1"/>
  <c r="D166" i="1"/>
  <c r="H170" i="1"/>
  <c r="C100" i="1"/>
  <c r="D100" i="1"/>
  <c r="G100" i="1"/>
  <c r="M162" i="1"/>
  <c r="C254" i="1"/>
  <c r="D254" i="1"/>
  <c r="H254" i="1"/>
  <c r="C188" i="1"/>
  <c r="D188" i="1"/>
  <c r="G188" i="1"/>
  <c r="M246" i="1"/>
  <c r="K283" i="1"/>
  <c r="J283" i="1"/>
  <c r="I283" i="1"/>
  <c r="C84" i="1"/>
  <c r="D84" i="1"/>
  <c r="H88" i="1"/>
  <c r="C20" i="1"/>
  <c r="D20" i="1"/>
  <c r="N74" i="1"/>
  <c r="C171" i="1"/>
  <c r="D171" i="1"/>
  <c r="H175" i="1"/>
  <c r="C105" i="1"/>
  <c r="D105" i="1"/>
  <c r="G105" i="1"/>
  <c r="N161" i="1"/>
  <c r="C259" i="1"/>
  <c r="D259" i="1"/>
  <c r="H259" i="1"/>
  <c r="C193" i="1"/>
  <c r="D193" i="1"/>
  <c r="G193" i="1"/>
  <c r="N245" i="1"/>
  <c r="L282" i="1"/>
  <c r="C78" i="1"/>
  <c r="D78" i="1"/>
  <c r="H82" i="1"/>
  <c r="C14" i="1"/>
  <c r="D14" i="1"/>
  <c r="M74" i="1"/>
  <c r="C165" i="1"/>
  <c r="D165" i="1"/>
  <c r="H169" i="1"/>
  <c r="C99" i="1"/>
  <c r="D99" i="1"/>
  <c r="G99" i="1"/>
  <c r="M161" i="1"/>
  <c r="C253" i="1"/>
  <c r="D253" i="1"/>
  <c r="H253" i="1"/>
  <c r="C187" i="1"/>
  <c r="D187" i="1"/>
  <c r="G187" i="1"/>
  <c r="M245" i="1"/>
  <c r="K282" i="1"/>
  <c r="J282" i="1"/>
  <c r="I282" i="1"/>
  <c r="D282" i="1"/>
  <c r="C282" i="1"/>
  <c r="B87" i="1"/>
  <c r="B71" i="1"/>
  <c r="E87" i="1"/>
  <c r="B55" i="1"/>
  <c r="E71" i="1"/>
  <c r="B39" i="1"/>
  <c r="E55" i="1"/>
  <c r="B23" i="1"/>
  <c r="E39" i="1"/>
  <c r="G91" i="1"/>
  <c r="B174" i="1"/>
  <c r="B158" i="1"/>
  <c r="E174" i="1"/>
  <c r="B142" i="1"/>
  <c r="E158" i="1"/>
  <c r="B126" i="1"/>
  <c r="E142" i="1"/>
  <c r="B108" i="1"/>
  <c r="E126" i="1"/>
  <c r="G178" i="1"/>
  <c r="B262" i="1"/>
  <c r="B246" i="1"/>
  <c r="E262" i="1"/>
  <c r="B230" i="1"/>
  <c r="E246" i="1"/>
  <c r="B214" i="1"/>
  <c r="E230" i="1"/>
  <c r="B196" i="1"/>
  <c r="E214" i="1"/>
  <c r="G262" i="1"/>
  <c r="B282" i="1"/>
  <c r="C83" i="1"/>
  <c r="D83" i="1"/>
  <c r="H87" i="1"/>
  <c r="C19" i="1"/>
  <c r="D19" i="1"/>
  <c r="N73" i="1"/>
  <c r="C170" i="1"/>
  <c r="D170" i="1"/>
  <c r="H174" i="1"/>
  <c r="C104" i="1"/>
  <c r="D104" i="1"/>
  <c r="G104" i="1"/>
  <c r="N160" i="1"/>
  <c r="C258" i="1"/>
  <c r="D258" i="1"/>
  <c r="H258" i="1"/>
  <c r="C192" i="1"/>
  <c r="D192" i="1"/>
  <c r="G192" i="1"/>
  <c r="N244" i="1"/>
  <c r="L281" i="1"/>
  <c r="C77" i="1"/>
  <c r="D77" i="1"/>
  <c r="H81" i="1"/>
  <c r="C13" i="1"/>
  <c r="D13" i="1"/>
  <c r="M73" i="1"/>
  <c r="C164" i="1"/>
  <c r="D164" i="1"/>
  <c r="H168" i="1"/>
  <c r="C98" i="1"/>
  <c r="D98" i="1"/>
  <c r="G98" i="1"/>
  <c r="M160" i="1"/>
  <c r="C252" i="1"/>
  <c r="D252" i="1"/>
  <c r="H252" i="1"/>
  <c r="C186" i="1"/>
  <c r="D186" i="1"/>
  <c r="G186" i="1"/>
  <c r="M244" i="1"/>
  <c r="K281" i="1"/>
  <c r="J281" i="1"/>
  <c r="I281" i="1"/>
  <c r="D281" i="1"/>
  <c r="C281" i="1"/>
  <c r="B86" i="1"/>
  <c r="B70" i="1"/>
  <c r="E86" i="1"/>
  <c r="B54" i="1"/>
  <c r="E70" i="1"/>
  <c r="B38" i="1"/>
  <c r="E54" i="1"/>
  <c r="B22" i="1"/>
  <c r="E38" i="1"/>
  <c r="G90" i="1"/>
  <c r="B173" i="1"/>
  <c r="B157" i="1"/>
  <c r="E173" i="1"/>
  <c r="B141" i="1"/>
  <c r="E157" i="1"/>
  <c r="B125" i="1"/>
  <c r="E141" i="1"/>
  <c r="B107" i="1"/>
  <c r="E125" i="1"/>
  <c r="G177" i="1"/>
  <c r="B261" i="1"/>
  <c r="B245" i="1"/>
  <c r="E261" i="1"/>
  <c r="B229" i="1"/>
  <c r="E245" i="1"/>
  <c r="B213" i="1"/>
  <c r="E229" i="1"/>
  <c r="B195" i="1"/>
  <c r="E213" i="1"/>
  <c r="G261" i="1"/>
  <c r="B281" i="1"/>
  <c r="C82" i="1"/>
  <c r="D82" i="1"/>
  <c r="H86" i="1"/>
  <c r="C18" i="1"/>
  <c r="D18" i="1"/>
  <c r="N72" i="1"/>
  <c r="C169" i="1"/>
  <c r="D169" i="1"/>
  <c r="H173" i="1"/>
  <c r="C103" i="1"/>
  <c r="D103" i="1"/>
  <c r="G103" i="1"/>
  <c r="N159" i="1"/>
  <c r="C257" i="1"/>
  <c r="D257" i="1"/>
  <c r="H257" i="1"/>
  <c r="C191" i="1"/>
  <c r="D191" i="1"/>
  <c r="G191" i="1"/>
  <c r="N243" i="1"/>
  <c r="L280" i="1"/>
  <c r="C76" i="1"/>
  <c r="D76" i="1"/>
  <c r="H80" i="1"/>
  <c r="C12" i="1"/>
  <c r="D12" i="1"/>
  <c r="M72" i="1"/>
  <c r="C163" i="1"/>
  <c r="D163" i="1"/>
  <c r="H167" i="1"/>
  <c r="C97" i="1"/>
  <c r="D97" i="1"/>
  <c r="G97" i="1"/>
  <c r="M159" i="1"/>
  <c r="C251" i="1"/>
  <c r="D251" i="1"/>
  <c r="H251" i="1"/>
  <c r="C185" i="1"/>
  <c r="D185" i="1"/>
  <c r="G185" i="1"/>
  <c r="M243" i="1"/>
  <c r="K280" i="1"/>
  <c r="J280" i="1"/>
  <c r="I280" i="1"/>
  <c r="D280" i="1"/>
  <c r="C280" i="1"/>
  <c r="B85" i="1"/>
  <c r="B69" i="1"/>
  <c r="E85" i="1"/>
  <c r="B53" i="1"/>
  <c r="E69" i="1"/>
  <c r="B37" i="1"/>
  <c r="E53" i="1"/>
  <c r="B21" i="1"/>
  <c r="E37" i="1"/>
  <c r="G89" i="1"/>
  <c r="B172" i="1"/>
  <c r="B156" i="1"/>
  <c r="E172" i="1"/>
  <c r="B140" i="1"/>
  <c r="E156" i="1"/>
  <c r="B124" i="1"/>
  <c r="E140" i="1"/>
  <c r="B106" i="1"/>
  <c r="E124" i="1"/>
  <c r="G176" i="1"/>
  <c r="B260" i="1"/>
  <c r="B244" i="1"/>
  <c r="E260" i="1"/>
  <c r="B228" i="1"/>
  <c r="E244" i="1"/>
  <c r="B212" i="1"/>
  <c r="E228" i="1"/>
  <c r="B194" i="1"/>
  <c r="E212" i="1"/>
  <c r="G260" i="1"/>
  <c r="B280" i="1"/>
  <c r="D279" i="1"/>
  <c r="C279" i="1"/>
  <c r="B84" i="1"/>
  <c r="B68" i="1"/>
  <c r="E84" i="1"/>
  <c r="B52" i="1"/>
  <c r="E68" i="1"/>
  <c r="B36" i="1"/>
  <c r="E52" i="1"/>
  <c r="B20" i="1"/>
  <c r="E36" i="1"/>
  <c r="G88" i="1"/>
  <c r="B171" i="1"/>
  <c r="B155" i="1"/>
  <c r="E171" i="1"/>
  <c r="B139" i="1"/>
  <c r="E155" i="1"/>
  <c r="B123" i="1"/>
  <c r="E139" i="1"/>
  <c r="B105" i="1"/>
  <c r="E123" i="1"/>
  <c r="G175" i="1"/>
  <c r="B259" i="1"/>
  <c r="B243" i="1"/>
  <c r="E259" i="1"/>
  <c r="B227" i="1"/>
  <c r="E243" i="1"/>
  <c r="B211" i="1"/>
  <c r="E227" i="1"/>
  <c r="B193" i="1"/>
  <c r="E211" i="1"/>
  <c r="G259" i="1"/>
  <c r="B279" i="1"/>
  <c r="D278" i="1"/>
  <c r="C278" i="1"/>
  <c r="B83" i="1"/>
  <c r="B67" i="1"/>
  <c r="E83" i="1"/>
  <c r="B51" i="1"/>
  <c r="E67" i="1"/>
  <c r="B35" i="1"/>
  <c r="E51" i="1"/>
  <c r="B19" i="1"/>
  <c r="E35" i="1"/>
  <c r="G87" i="1"/>
  <c r="B170" i="1"/>
  <c r="B154" i="1"/>
  <c r="E170" i="1"/>
  <c r="B138" i="1"/>
  <c r="E154" i="1"/>
  <c r="B122" i="1"/>
  <c r="E138" i="1"/>
  <c r="B104" i="1"/>
  <c r="E122" i="1"/>
  <c r="G174" i="1"/>
  <c r="B258" i="1"/>
  <c r="B242" i="1"/>
  <c r="E258" i="1"/>
  <c r="B226" i="1"/>
  <c r="E242" i="1"/>
  <c r="B210" i="1"/>
  <c r="E226" i="1"/>
  <c r="B192" i="1"/>
  <c r="E210" i="1"/>
  <c r="G258" i="1"/>
  <c r="B278" i="1"/>
  <c r="D277" i="1"/>
  <c r="C277" i="1"/>
  <c r="B82" i="1"/>
  <c r="B66" i="1"/>
  <c r="E82" i="1"/>
  <c r="B50" i="1"/>
  <c r="E66" i="1"/>
  <c r="B34" i="1"/>
  <c r="E50" i="1"/>
  <c r="B18" i="1"/>
  <c r="E34" i="1"/>
  <c r="G86" i="1"/>
  <c r="B169" i="1"/>
  <c r="B153" i="1"/>
  <c r="E169" i="1"/>
  <c r="B137" i="1"/>
  <c r="E153" i="1"/>
  <c r="B121" i="1"/>
  <c r="E137" i="1"/>
  <c r="B103" i="1"/>
  <c r="E121" i="1"/>
  <c r="G173" i="1"/>
  <c r="B257" i="1"/>
  <c r="B241" i="1"/>
  <c r="E257" i="1"/>
  <c r="B225" i="1"/>
  <c r="E241" i="1"/>
  <c r="B209" i="1"/>
  <c r="E225" i="1"/>
  <c r="B191" i="1"/>
  <c r="E209" i="1"/>
  <c r="G257" i="1"/>
  <c r="B277" i="1"/>
  <c r="J77" i="1"/>
  <c r="J164" i="1"/>
  <c r="J248" i="1"/>
  <c r="L276" i="1"/>
  <c r="I77" i="1"/>
  <c r="I164" i="1"/>
  <c r="I248" i="1"/>
  <c r="K276" i="1"/>
  <c r="J276" i="1"/>
  <c r="I276" i="1"/>
  <c r="D276" i="1"/>
  <c r="C276" i="1"/>
  <c r="B81" i="1"/>
  <c r="B65" i="1"/>
  <c r="E81" i="1"/>
  <c r="B49" i="1"/>
  <c r="E65" i="1"/>
  <c r="B33" i="1"/>
  <c r="E49" i="1"/>
  <c r="B17" i="1"/>
  <c r="E33" i="1"/>
  <c r="G85" i="1"/>
  <c r="B168" i="1"/>
  <c r="B152" i="1"/>
  <c r="E168" i="1"/>
  <c r="B136" i="1"/>
  <c r="E152" i="1"/>
  <c r="B120" i="1"/>
  <c r="E136" i="1"/>
  <c r="B102" i="1"/>
  <c r="E120" i="1"/>
  <c r="G172" i="1"/>
  <c r="B256" i="1"/>
  <c r="B240" i="1"/>
  <c r="E256" i="1"/>
  <c r="B224" i="1"/>
  <c r="E240" i="1"/>
  <c r="B208" i="1"/>
  <c r="E224" i="1"/>
  <c r="B190" i="1"/>
  <c r="E208" i="1"/>
  <c r="G256" i="1"/>
  <c r="B276" i="1"/>
  <c r="J76" i="1"/>
  <c r="J163" i="1"/>
  <c r="J247" i="1"/>
  <c r="L275" i="1"/>
  <c r="I76" i="1"/>
  <c r="I163" i="1"/>
  <c r="I247" i="1"/>
  <c r="K275" i="1"/>
  <c r="J275" i="1"/>
  <c r="I275" i="1"/>
  <c r="D275" i="1"/>
  <c r="C275" i="1"/>
  <c r="B80" i="1"/>
  <c r="B64" i="1"/>
  <c r="E80" i="1"/>
  <c r="B48" i="1"/>
  <c r="E64" i="1"/>
  <c r="B32" i="1"/>
  <c r="E48" i="1"/>
  <c r="B16" i="1"/>
  <c r="E32" i="1"/>
  <c r="G84" i="1"/>
  <c r="B167" i="1"/>
  <c r="B151" i="1"/>
  <c r="E167" i="1"/>
  <c r="B135" i="1"/>
  <c r="E151" i="1"/>
  <c r="B119" i="1"/>
  <c r="E135" i="1"/>
  <c r="B101" i="1"/>
  <c r="E119" i="1"/>
  <c r="G171" i="1"/>
  <c r="B255" i="1"/>
  <c r="B239" i="1"/>
  <c r="E255" i="1"/>
  <c r="B223" i="1"/>
  <c r="E239" i="1"/>
  <c r="B207" i="1"/>
  <c r="E223" i="1"/>
  <c r="B189" i="1"/>
  <c r="E207" i="1"/>
  <c r="G255" i="1"/>
  <c r="B275" i="1"/>
  <c r="J75" i="1"/>
  <c r="J162" i="1"/>
  <c r="J246" i="1"/>
  <c r="L274" i="1"/>
  <c r="I75" i="1"/>
  <c r="I162" i="1"/>
  <c r="I246" i="1"/>
  <c r="K274" i="1"/>
  <c r="J274" i="1"/>
  <c r="I274" i="1"/>
  <c r="D274" i="1"/>
  <c r="C274" i="1"/>
  <c r="B79" i="1"/>
  <c r="B63" i="1"/>
  <c r="E79" i="1"/>
  <c r="B47" i="1"/>
  <c r="E63" i="1"/>
  <c r="B31" i="1"/>
  <c r="E47" i="1"/>
  <c r="B15" i="1"/>
  <c r="E31" i="1"/>
  <c r="G83" i="1"/>
  <c r="B166" i="1"/>
  <c r="B150" i="1"/>
  <c r="E166" i="1"/>
  <c r="B134" i="1"/>
  <c r="E150" i="1"/>
  <c r="B118" i="1"/>
  <c r="E134" i="1"/>
  <c r="B100" i="1"/>
  <c r="E118" i="1"/>
  <c r="G170" i="1"/>
  <c r="B254" i="1"/>
  <c r="B238" i="1"/>
  <c r="E254" i="1"/>
  <c r="B222" i="1"/>
  <c r="E238" i="1"/>
  <c r="B206" i="1"/>
  <c r="E222" i="1"/>
  <c r="B188" i="1"/>
  <c r="E206" i="1"/>
  <c r="G254" i="1"/>
  <c r="B274" i="1"/>
  <c r="J74" i="1"/>
  <c r="J161" i="1"/>
  <c r="J245" i="1"/>
  <c r="L273" i="1"/>
  <c r="I74" i="1"/>
  <c r="I161" i="1"/>
  <c r="I245" i="1"/>
  <c r="K273" i="1"/>
  <c r="J273" i="1"/>
  <c r="I273" i="1"/>
  <c r="D273" i="1"/>
  <c r="C273" i="1"/>
  <c r="B78" i="1"/>
  <c r="B62" i="1"/>
  <c r="E78" i="1"/>
  <c r="B46" i="1"/>
  <c r="E62" i="1"/>
  <c r="B30" i="1"/>
  <c r="E46" i="1"/>
  <c r="B14" i="1"/>
  <c r="E30" i="1"/>
  <c r="G82" i="1"/>
  <c r="B165" i="1"/>
  <c r="B149" i="1"/>
  <c r="E165" i="1"/>
  <c r="B133" i="1"/>
  <c r="E149" i="1"/>
  <c r="B117" i="1"/>
  <c r="E133" i="1"/>
  <c r="B99" i="1"/>
  <c r="E117" i="1"/>
  <c r="G169" i="1"/>
  <c r="B253" i="1"/>
  <c r="B237" i="1"/>
  <c r="E253" i="1"/>
  <c r="B221" i="1"/>
  <c r="E237" i="1"/>
  <c r="B205" i="1"/>
  <c r="E221" i="1"/>
  <c r="B187" i="1"/>
  <c r="E205" i="1"/>
  <c r="G253" i="1"/>
  <c r="B273" i="1"/>
  <c r="J73" i="1"/>
  <c r="J160" i="1"/>
  <c r="J244" i="1"/>
  <c r="L272" i="1"/>
  <c r="I73" i="1"/>
  <c r="I160" i="1"/>
  <c r="I244" i="1"/>
  <c r="K272" i="1"/>
  <c r="J272" i="1"/>
  <c r="I272" i="1"/>
  <c r="D272" i="1"/>
  <c r="C272" i="1"/>
  <c r="B77" i="1"/>
  <c r="B61" i="1"/>
  <c r="E77" i="1"/>
  <c r="B45" i="1"/>
  <c r="E61" i="1"/>
  <c r="B29" i="1"/>
  <c r="E45" i="1"/>
  <c r="B13" i="1"/>
  <c r="E29" i="1"/>
  <c r="G81" i="1"/>
  <c r="B164" i="1"/>
  <c r="B148" i="1"/>
  <c r="E164" i="1"/>
  <c r="B132" i="1"/>
  <c r="E148" i="1"/>
  <c r="B116" i="1"/>
  <c r="E132" i="1"/>
  <c r="B98" i="1"/>
  <c r="E116" i="1"/>
  <c r="G168" i="1"/>
  <c r="B252" i="1"/>
  <c r="B236" i="1"/>
  <c r="E252" i="1"/>
  <c r="B220" i="1"/>
  <c r="E236" i="1"/>
  <c r="B204" i="1"/>
  <c r="E220" i="1"/>
  <c r="B186" i="1"/>
  <c r="E204" i="1"/>
  <c r="G252" i="1"/>
  <c r="B272" i="1"/>
  <c r="J72" i="1"/>
  <c r="J159" i="1"/>
  <c r="J243" i="1"/>
  <c r="L271" i="1"/>
  <c r="I72" i="1"/>
  <c r="I159" i="1"/>
  <c r="I243" i="1"/>
  <c r="K271" i="1"/>
  <c r="J271" i="1"/>
  <c r="I271" i="1"/>
  <c r="D271" i="1"/>
  <c r="C271" i="1"/>
  <c r="B76" i="1"/>
  <c r="B60" i="1"/>
  <c r="E76" i="1"/>
  <c r="B44" i="1"/>
  <c r="E60" i="1"/>
  <c r="B28" i="1"/>
  <c r="E44" i="1"/>
  <c r="B12" i="1"/>
  <c r="E28" i="1"/>
  <c r="G80" i="1"/>
  <c r="B163" i="1"/>
  <c r="B147" i="1"/>
  <c r="E163" i="1"/>
  <c r="B131" i="1"/>
  <c r="E147" i="1"/>
  <c r="B115" i="1"/>
  <c r="E131" i="1"/>
  <c r="B97" i="1"/>
  <c r="E115" i="1"/>
  <c r="G167" i="1"/>
  <c r="B251" i="1"/>
  <c r="B235" i="1"/>
  <c r="E251" i="1"/>
  <c r="B219" i="1"/>
  <c r="E235" i="1"/>
  <c r="B203" i="1"/>
  <c r="E219" i="1"/>
  <c r="B185" i="1"/>
  <c r="E203" i="1"/>
  <c r="G251" i="1"/>
  <c r="B271" i="1"/>
  <c r="G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I196" i="1"/>
  <c r="F196" i="1"/>
  <c r="E196" i="1"/>
  <c r="I195" i="1"/>
  <c r="F195" i="1"/>
  <c r="E195" i="1"/>
  <c r="I194" i="1"/>
  <c r="F194" i="1"/>
  <c r="E194" i="1"/>
  <c r="I193" i="1"/>
  <c r="F193" i="1"/>
  <c r="E193" i="1"/>
  <c r="I192" i="1"/>
  <c r="F192" i="1"/>
  <c r="E192" i="1"/>
  <c r="I191" i="1"/>
  <c r="F191" i="1"/>
  <c r="E191" i="1"/>
  <c r="I190" i="1"/>
  <c r="F190" i="1"/>
  <c r="E190" i="1"/>
  <c r="I189" i="1"/>
  <c r="F189" i="1"/>
  <c r="E189" i="1"/>
  <c r="I188" i="1"/>
  <c r="F188" i="1"/>
  <c r="E188" i="1"/>
  <c r="I187" i="1"/>
  <c r="F187" i="1"/>
  <c r="E187" i="1"/>
  <c r="I186" i="1"/>
  <c r="F186" i="1"/>
  <c r="E186" i="1"/>
  <c r="I185" i="1"/>
  <c r="F185" i="1"/>
  <c r="E185" i="1"/>
  <c r="G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C109" i="1"/>
  <c r="D109" i="1"/>
  <c r="G109" i="1"/>
  <c r="I109" i="1"/>
  <c r="F109" i="1"/>
  <c r="E109" i="1"/>
  <c r="B109" i="1"/>
  <c r="I108" i="1"/>
  <c r="F108" i="1"/>
  <c r="E108" i="1"/>
  <c r="I107" i="1"/>
  <c r="F107" i="1"/>
  <c r="E107" i="1"/>
  <c r="I106" i="1"/>
  <c r="F106" i="1"/>
  <c r="E106" i="1"/>
  <c r="I105" i="1"/>
  <c r="F105" i="1"/>
  <c r="E105" i="1"/>
  <c r="I104" i="1"/>
  <c r="F104" i="1"/>
  <c r="E104" i="1"/>
  <c r="I103" i="1"/>
  <c r="F103" i="1"/>
  <c r="E103" i="1"/>
  <c r="I102" i="1"/>
  <c r="F102" i="1"/>
  <c r="E102" i="1"/>
  <c r="I101" i="1"/>
  <c r="F101" i="1"/>
  <c r="E101" i="1"/>
  <c r="I100" i="1"/>
  <c r="F100" i="1"/>
  <c r="E100" i="1"/>
  <c r="I99" i="1"/>
  <c r="F99" i="1"/>
  <c r="E99" i="1"/>
  <c r="I98" i="1"/>
  <c r="F98" i="1"/>
  <c r="E98" i="1"/>
  <c r="I97" i="1"/>
  <c r="F97" i="1"/>
  <c r="E97" i="1"/>
  <c r="G92" i="1"/>
  <c r="J91" i="1"/>
  <c r="J90" i="1"/>
  <c r="J89" i="1"/>
  <c r="J88" i="1"/>
  <c r="J87" i="1"/>
  <c r="J86" i="1"/>
  <c r="J85" i="1"/>
  <c r="J84" i="1"/>
  <c r="J83" i="1"/>
  <c r="J82" i="1"/>
  <c r="J81" i="1"/>
  <c r="J80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E8" i="1"/>
  <c r="E7" i="1"/>
  <c r="F8" i="1"/>
  <c r="F7" i="1"/>
</calcChain>
</file>

<file path=xl/sharedStrings.xml><?xml version="1.0" encoding="utf-8"?>
<sst xmlns="http://schemas.openxmlformats.org/spreadsheetml/2006/main" count="1250" uniqueCount="95">
  <si>
    <t>AH201 high Tet Resistance) vs AH214 (Low Tet Resistance)</t>
  </si>
  <si>
    <t>AH201can grow on tet but not Chloramphenicol</t>
  </si>
  <si>
    <t>AH214 can grow on Chloramphenicol but not Tet</t>
  </si>
  <si>
    <t>Kamba used at 5mM</t>
  </si>
  <si>
    <t>Run 1</t>
  </si>
  <si>
    <t>Starting Overnight Titres (cfu/ml):</t>
  </si>
  <si>
    <t>cfu  added to Comp</t>
  </si>
  <si>
    <t>Starting cfu/ml</t>
  </si>
  <si>
    <t>Starting Proportion</t>
  </si>
  <si>
    <t>AH201</t>
  </si>
  <si>
    <t>0.58ul of each ONC were added to each 10 ml tube.</t>
  </si>
  <si>
    <t>AH214</t>
  </si>
  <si>
    <t>Time 0</t>
  </si>
  <si>
    <t>LB</t>
  </si>
  <si>
    <t>ratio 201/214</t>
  </si>
  <si>
    <t>ratio 214/201</t>
  </si>
  <si>
    <t>Proportion 201 (out of 1)</t>
  </si>
  <si>
    <t>Proportion 214</t>
  </si>
  <si>
    <t>condition (Tet conc +/- Kamba)</t>
  </si>
  <si>
    <t>0-</t>
  </si>
  <si>
    <t>0.05-</t>
  </si>
  <si>
    <t>0.1-</t>
  </si>
  <si>
    <t>0.25-</t>
  </si>
  <si>
    <t>0.5-</t>
  </si>
  <si>
    <t>1-</t>
  </si>
  <si>
    <t>0+</t>
  </si>
  <si>
    <t>0.05+</t>
  </si>
  <si>
    <t>0.1+</t>
  </si>
  <si>
    <t>0.25+</t>
  </si>
  <si>
    <t>0.5+</t>
  </si>
  <si>
    <t>1+</t>
  </si>
  <si>
    <t>Day 1 am- Following Overnight Incubation:</t>
  </si>
  <si>
    <t>Treatment:</t>
  </si>
  <si>
    <t>LB Titre</t>
  </si>
  <si>
    <t>Tet</t>
  </si>
  <si>
    <t>Cm</t>
  </si>
  <si>
    <t>Overall generations</t>
  </si>
  <si>
    <t>nd</t>
  </si>
  <si>
    <t>Day 1 pm - Following 1:1000 Dilution, and a growth to stat phase:</t>
  </si>
  <si>
    <t>Day 2 am - Following 1:1000 Dilution, and a growth to stat phase:</t>
  </si>
  <si>
    <t>201/214Ratio at the end of the experiment</t>
  </si>
  <si>
    <t>Selection coefficient (number&gt;1 means the resistant strain (201) is winning)</t>
  </si>
  <si>
    <t>Tet conc</t>
  </si>
  <si>
    <t>no K</t>
  </si>
  <si>
    <t xml:space="preserve">K </t>
  </si>
  <si>
    <t>Comment: for t I used the same number as Amy (4) because we had the same number of 'rounds of growth', about 40 generations</t>
  </si>
  <si>
    <t>Day 2 pm - Following 1:1000 Dilution, and a growth to stat phase:</t>
  </si>
  <si>
    <t xml:space="preserve"> </t>
  </si>
  <si>
    <t>Total Generations</t>
  </si>
  <si>
    <t>Condition</t>
  </si>
  <si>
    <t>OVERALL:</t>
  </si>
  <si>
    <t>proportion of 201 (out of 1)</t>
  </si>
  <si>
    <t>RUN 2</t>
  </si>
  <si>
    <t>Reality</t>
  </si>
  <si>
    <t>proportion 201 (out of 1)</t>
  </si>
  <si>
    <t>(Average)</t>
  </si>
  <si>
    <t>Run 3</t>
  </si>
  <si>
    <t>proportion 214</t>
  </si>
  <si>
    <t>Summary of 3 runs:</t>
  </si>
  <si>
    <t>Final Ratio 201/214</t>
  </si>
  <si>
    <t>SEM ratio</t>
  </si>
  <si>
    <t>Average # generations</t>
  </si>
  <si>
    <t>Average Proportion 201 (out of 1) at the end</t>
  </si>
  <si>
    <t>SEM proportion</t>
  </si>
  <si>
    <t>No K</t>
  </si>
  <si>
    <t>K</t>
  </si>
  <si>
    <t>Selection Coefficient</t>
  </si>
  <si>
    <t>SEM</t>
  </si>
  <si>
    <t>Data reported in MS</t>
  </si>
  <si>
    <t>Rup  used at 311 ppm ae (11.6 ul/10ml)</t>
  </si>
  <si>
    <t>Resistance frequency of AH201</t>
  </si>
  <si>
    <t>condition (Tet conc +/- Rupamba)</t>
  </si>
  <si>
    <t>0.005-</t>
  </si>
  <si>
    <t>0.01-</t>
  </si>
  <si>
    <t>0.025-</t>
  </si>
  <si>
    <t>0.075-</t>
  </si>
  <si>
    <t>0.005+</t>
  </si>
  <si>
    <t>0.01+</t>
  </si>
  <si>
    <t>0.025+</t>
  </si>
  <si>
    <t>0.075+</t>
  </si>
  <si>
    <t>no Rup</t>
  </si>
  <si>
    <t>Rup</t>
  </si>
  <si>
    <t>Resistance frequency AH201</t>
  </si>
  <si>
    <t>Resistance frequency 201 per generation (end of experiment)</t>
  </si>
  <si>
    <t>frequency 214 end</t>
  </si>
  <si>
    <t xml:space="preserve">Rup </t>
  </si>
  <si>
    <t>resistance frequency</t>
  </si>
  <si>
    <t>Resistance frequency/generation</t>
  </si>
  <si>
    <t>Resistance frequency end</t>
  </si>
  <si>
    <t>non-resistance frequency end</t>
  </si>
  <si>
    <t>Average Prop201 end</t>
  </si>
  <si>
    <t>Average Prop 214 end</t>
  </si>
  <si>
    <t>No Rup</t>
  </si>
  <si>
    <t>Resistance frequency/generation end</t>
  </si>
  <si>
    <t>non-resistance frequency per gen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</si>
</sst>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2" borderId="0" xfId="0" applyFill="1"/>
    <xf numFmtId="11" fontId="0" fillId="0" borderId="0" xfId="0" applyNumberFormat="1"/>
    <xf numFmtId="164" fontId="0" fillId="0" borderId="0" xfId="0" applyNumberFormat="1"/>
    <xf numFmtId="2" fontId="0" fillId="0" borderId="0" xfId="0" applyNumberFormat="1"/>
    <xf numFmtId="11" fontId="1" fillId="0" borderId="0" xfId="0" applyNumberFormat="1" applyFont="1"/>
    <xf numFmtId="0" fontId="0" fillId="3" borderId="0" xfId="0" applyFill="1"/>
    <xf numFmtId="11" fontId="0" fillId="3" borderId="0" xfId="0" applyNumberFormat="1" applyFill="1"/>
    <xf numFmtId="2" fontId="0" fillId="3" borderId="0" xfId="0" applyNumberFormat="1" applyFill="1"/>
    <xf numFmtId="11" fontId="1" fillId="3" borderId="0" xfId="0" applyNumberFormat="1" applyFont="1" applyFill="1"/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Fill="1" applyBorder="1"/>
    <xf numFmtId="11" fontId="0" fillId="0" borderId="1" xfId="0" applyNumberFormat="1" applyBorder="1"/>
    <xf numFmtId="0" fontId="0" fillId="0" borderId="0" xfId="0" applyBorder="1"/>
    <xf numFmtId="11" fontId="0" fillId="0" borderId="0" xfId="0" applyNumberFormat="1" applyBorder="1"/>
    <xf numFmtId="0" fontId="5" fillId="0" borderId="0" xfId="0" applyFont="1"/>
    <xf numFmtId="2" fontId="0" fillId="0" borderId="0" xfId="0" applyNumberFormat="1" applyFont="1"/>
    <xf numFmtId="0" fontId="1" fillId="0" borderId="4" xfId="0" applyFont="1" applyFill="1" applyBorder="1"/>
    <xf numFmtId="0" fontId="1" fillId="0" borderId="0" xfId="0" applyFont="1"/>
    <xf numFmtId="0" fontId="1" fillId="4" borderId="4" xfId="0" applyFont="1" applyFill="1" applyBorder="1"/>
    <xf numFmtId="0" fontId="0" fillId="4" borderId="0" xfId="0" applyFill="1"/>
    <xf numFmtId="2" fontId="0" fillId="4" borderId="0" xfId="0" applyNumberFormat="1" applyFill="1"/>
    <xf numFmtId="0" fontId="2" fillId="0" borderId="0" xfId="0" applyFont="1" applyAlignment="1"/>
    <xf numFmtId="165" fontId="1" fillId="0" borderId="0" xfId="0" applyNumberFormat="1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11" fontId="0" fillId="0" borderId="0" xfId="0" applyNumberFormat="1" applyFill="1"/>
    <xf numFmtId="2" fontId="0" fillId="0" borderId="0" xfId="0" applyNumberFormat="1" applyFill="1"/>
    <xf numFmtId="11" fontId="0" fillId="2" borderId="0" xfId="0" applyNumberFormat="1" applyFill="1"/>
    <xf numFmtId="0" fontId="0" fillId="5" borderId="0" xfId="0" applyFill="1"/>
    <xf numFmtId="11" fontId="0" fillId="5" borderId="0" xfId="0" applyNumberFormat="1" applyFill="1"/>
    <xf numFmtId="2" fontId="0" fillId="5" borderId="0" xfId="0" applyNumberFormat="1" applyFill="1"/>
    <xf numFmtId="165" fontId="0" fillId="0" borderId="0" xfId="0" applyNumberFormat="1"/>
    <xf numFmtId="11" fontId="1" fillId="0" borderId="0" xfId="0" applyNumberFormat="1" applyFont="1" applyFill="1"/>
    <xf numFmtId="0" fontId="0" fillId="6" borderId="0" xfId="0" applyFill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0" borderId="0" xfId="0" applyFont="1"/>
    <xf numFmtId="0" fontId="0" fillId="5" borderId="1" xfId="0" applyFill="1" applyBorder="1"/>
    <xf numFmtId="2" fontId="0" fillId="5" borderId="1" xfId="0" applyNumberFormat="1" applyFill="1" applyBorder="1"/>
    <xf numFmtId="2" fontId="1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2" fontId="1" fillId="0" borderId="0" xfId="0" applyNumberFormat="1" applyFont="1" applyFill="1"/>
    <xf numFmtId="0" fontId="8" fillId="5" borderId="0" xfId="0" applyFont="1" applyFill="1"/>
    <xf numFmtId="0" fontId="7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itta/Dropbox/Dicamba%20project/Heterogeneity%20Experiments/Genetic%20Headroom%20(decrease%20in%20resistance)/Tet&amp;Kamba%20MSC%20selection%20B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itta/Dropbox/Dicamba%20project/Heterogeneity%20Experiments/Genetic%20Headroom%20(decrease%20in%20resistance)/Tet+Rup%20MSC%20selection%20B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1">
          <cell r="I71" t="str">
            <v>no K</v>
          </cell>
          <cell r="J71" t="str">
            <v xml:space="preserve">K </v>
          </cell>
          <cell r="M71" t="str">
            <v>no K</v>
          </cell>
          <cell r="N71" t="str">
            <v xml:space="preserve">K </v>
          </cell>
        </row>
        <row r="72">
          <cell r="H72">
            <v>0</v>
          </cell>
          <cell r="I72">
            <v>0.66666666666666663</v>
          </cell>
          <cell r="J72">
            <v>0.85</v>
          </cell>
          <cell r="L72">
            <v>0</v>
          </cell>
          <cell r="M72">
            <v>-0.21019579484150244</v>
          </cell>
          <cell r="N72">
            <v>-0.21391652751443005</v>
          </cell>
        </row>
        <row r="73">
          <cell r="H73">
            <v>0.05</v>
          </cell>
          <cell r="I73">
            <v>2</v>
          </cell>
          <cell r="J73">
            <v>0.18518518518518517</v>
          </cell>
          <cell r="L73">
            <v>0.05</v>
          </cell>
          <cell r="M73">
            <v>5.763091465295804E-2</v>
          </cell>
          <cell r="N73">
            <v>-0.58059693007255631</v>
          </cell>
        </row>
        <row r="74">
          <cell r="H74">
            <v>0.1</v>
          </cell>
          <cell r="I74">
            <v>122.22222222222223</v>
          </cell>
          <cell r="J74">
            <v>0.4</v>
          </cell>
          <cell r="L74">
            <v>0.1</v>
          </cell>
          <cell r="M74">
            <v>1.1616940467051373</v>
          </cell>
          <cell r="N74">
            <v>-0.45814536593707755</v>
          </cell>
        </row>
        <row r="75">
          <cell r="H75">
            <v>0.25</v>
          </cell>
          <cell r="I75">
            <v>100000</v>
          </cell>
          <cell r="J75">
            <v>0.99875156054931336</v>
          </cell>
          <cell r="L75">
            <v>0.25</v>
          </cell>
          <cell r="M75">
            <v>2.7177678947008226</v>
          </cell>
          <cell r="N75">
            <v>-0.15184625574268684</v>
          </cell>
        </row>
        <row r="76">
          <cell r="H76">
            <v>0.5</v>
          </cell>
          <cell r="I76">
            <v>70000000</v>
          </cell>
          <cell r="J76">
            <v>10344827.586206896</v>
          </cell>
          <cell r="L76">
            <v>0.5</v>
          </cell>
          <cell r="M76">
            <v>4.3093318071532325</v>
          </cell>
          <cell r="N76">
            <v>3.8383723765440569</v>
          </cell>
        </row>
        <row r="77">
          <cell r="H77">
            <v>1</v>
          </cell>
          <cell r="I77">
            <v>80000000</v>
          </cell>
          <cell r="J77">
            <v>30000000</v>
          </cell>
          <cell r="L77">
            <v>1</v>
          </cell>
          <cell r="M77">
            <v>4.4067480841574493</v>
          </cell>
          <cell r="N77">
            <v>4.1885211045445079</v>
          </cell>
        </row>
        <row r="158">
          <cell r="I158" t="str">
            <v>no K</v>
          </cell>
          <cell r="J158" t="str">
            <v xml:space="preserve">K </v>
          </cell>
          <cell r="M158" t="str">
            <v>no K</v>
          </cell>
          <cell r="N158" t="str">
            <v xml:space="preserve">K </v>
          </cell>
        </row>
        <row r="159">
          <cell r="H159">
            <v>0</v>
          </cell>
          <cell r="I159">
            <v>0.8571428571428571</v>
          </cell>
          <cell r="J159">
            <v>1.2</v>
          </cell>
          <cell r="L159">
            <v>0</v>
          </cell>
          <cell r="M159">
            <v>-0.48647753726382831</v>
          </cell>
          <cell r="N159">
            <v>-0.45192834929257419</v>
          </cell>
        </row>
        <row r="160">
          <cell r="H160">
            <v>0.05</v>
          </cell>
          <cell r="I160">
            <v>3.2</v>
          </cell>
          <cell r="J160">
            <v>1.6666666666666667</v>
          </cell>
          <cell r="L160">
            <v>0.05</v>
          </cell>
          <cell r="M160">
            <v>-5.5785887828552497E-2</v>
          </cell>
          <cell r="N160">
            <v>-0.53794055081486547</v>
          </cell>
        </row>
        <row r="161">
          <cell r="H161">
            <v>0.1</v>
          </cell>
          <cell r="I161">
            <v>5</v>
          </cell>
          <cell r="J161">
            <v>0.47619047619047616</v>
          </cell>
          <cell r="L161">
            <v>0.1</v>
          </cell>
          <cell r="M161">
            <v>0.211824465096801</v>
          </cell>
          <cell r="N161">
            <v>-0.82536849227104103</v>
          </cell>
        </row>
        <row r="162">
          <cell r="H162">
            <v>0.25</v>
          </cell>
          <cell r="I162">
            <v>1800000</v>
          </cell>
          <cell r="J162">
            <v>55.555555555555557</v>
          </cell>
          <cell r="L162">
            <v>0.25</v>
          </cell>
          <cell r="M162">
            <v>3.2805908443495331</v>
          </cell>
          <cell r="N162">
            <v>0.41861178314208974</v>
          </cell>
        </row>
        <row r="163">
          <cell r="H163">
            <v>0.5</v>
          </cell>
          <cell r="I163">
            <v>1875000</v>
          </cell>
          <cell r="J163">
            <v>4666666.666666667</v>
          </cell>
          <cell r="L163">
            <v>0.5</v>
          </cell>
          <cell r="M163">
            <v>3.0760132634976842</v>
          </cell>
          <cell r="N163">
            <v>3.2930726378946269</v>
          </cell>
        </row>
        <row r="164">
          <cell r="H164">
            <v>1</v>
          </cell>
          <cell r="I164">
            <v>50000000</v>
          </cell>
          <cell r="J164">
            <v>30000000</v>
          </cell>
          <cell r="L164">
            <v>1</v>
          </cell>
          <cell r="M164">
            <v>3.8004512304537452</v>
          </cell>
          <cell r="N164">
            <v>3.7335813886124045</v>
          </cell>
        </row>
        <row r="242">
          <cell r="I242" t="str">
            <v>no K</v>
          </cell>
          <cell r="J242" t="str">
            <v xml:space="preserve">K </v>
          </cell>
          <cell r="M242" t="str">
            <v>no K</v>
          </cell>
          <cell r="N242" t="str">
            <v xml:space="preserve">K </v>
          </cell>
        </row>
        <row r="243">
          <cell r="H243">
            <v>0</v>
          </cell>
          <cell r="I243">
            <v>0.48333333333333334</v>
          </cell>
          <cell r="J243">
            <v>0.66666666666666663</v>
          </cell>
          <cell r="L243">
            <v>0</v>
          </cell>
          <cell r="M243">
            <v>-0.38569955872197603</v>
          </cell>
          <cell r="N243">
            <v>-0.35877113132233063</v>
          </cell>
        </row>
        <row r="244">
          <cell r="H244">
            <v>0.05</v>
          </cell>
          <cell r="I244">
            <v>3</v>
          </cell>
          <cell r="J244">
            <v>1.8</v>
          </cell>
          <cell r="L244">
            <v>0.05</v>
          </cell>
          <cell r="M244">
            <v>0.13714148793720943</v>
          </cell>
          <cell r="N244">
            <v>-7.9480489410374805E-2</v>
          </cell>
        </row>
        <row r="245">
          <cell r="H245">
            <v>0.1</v>
          </cell>
          <cell r="I245">
            <v>500</v>
          </cell>
          <cell r="J245">
            <v>2</v>
          </cell>
          <cell r="L245">
            <v>0.1</v>
          </cell>
          <cell r="M245">
            <v>1.2874743403574342</v>
          </cell>
          <cell r="N245">
            <v>-4.1075762822819072E-2</v>
          </cell>
        </row>
        <row r="246">
          <cell r="H246">
            <v>0.25</v>
          </cell>
          <cell r="I246">
            <v>1666666.6666666667</v>
          </cell>
          <cell r="J246">
            <v>4.3478260869565224</v>
          </cell>
          <cell r="L246">
            <v>0.25</v>
          </cell>
          <cell r="M246">
            <v>3.2420531744060548</v>
          </cell>
          <cell r="N246">
            <v>0.21099251757363222</v>
          </cell>
        </row>
        <row r="247">
          <cell r="H247">
            <v>0.5</v>
          </cell>
          <cell r="I247">
            <v>40000000</v>
          </cell>
          <cell r="J247">
            <v>10000</v>
          </cell>
          <cell r="L247">
            <v>0.5</v>
          </cell>
          <cell r="M247">
            <v>4.134201496164386</v>
          </cell>
          <cell r="N247">
            <v>2.0943578122602284</v>
          </cell>
        </row>
        <row r="248">
          <cell r="H248">
            <v>1</v>
          </cell>
          <cell r="I248">
            <v>60000000</v>
          </cell>
          <cell r="J248">
            <v>3333333.3333333335</v>
          </cell>
          <cell r="L248">
            <v>1</v>
          </cell>
          <cell r="M248">
            <v>4.3086816114105355</v>
          </cell>
          <cell r="N248">
            <v>3.5815840454117134</v>
          </cell>
        </row>
        <row r="270">
          <cell r="I270" t="str">
            <v>No K</v>
          </cell>
          <cell r="J270" t="str">
            <v>K</v>
          </cell>
        </row>
        <row r="271">
          <cell r="H271">
            <v>0</v>
          </cell>
          <cell r="I271">
            <v>0.669047619047619</v>
          </cell>
          <cell r="J271">
            <v>0.90555555555555545</v>
          </cell>
          <cell r="K271">
            <v>0.10791608116704371</v>
          </cell>
          <cell r="L271">
            <v>0.1564458648925417</v>
          </cell>
        </row>
        <row r="272">
          <cell r="H272">
            <v>0.05</v>
          </cell>
          <cell r="I272">
            <v>2.7333333333333329</v>
          </cell>
          <cell r="J272">
            <v>1.2172839506172839</v>
          </cell>
          <cell r="K272">
            <v>0.37118429085533589</v>
          </cell>
          <cell r="L272">
            <v>0.5174827986349857</v>
          </cell>
        </row>
        <row r="273">
          <cell r="H273">
            <v>0.1</v>
          </cell>
          <cell r="I273">
            <v>209.07407407407405</v>
          </cell>
          <cell r="J273">
            <v>0.95873015873015877</v>
          </cell>
          <cell r="K273">
            <v>149.34711594980334</v>
          </cell>
          <cell r="L273">
            <v>0.52109928961735086</v>
          </cell>
        </row>
        <row r="274">
          <cell r="H274">
            <v>0.25</v>
          </cell>
          <cell r="I274">
            <v>1188888.888888889</v>
          </cell>
          <cell r="J274">
            <v>20.300711067687132</v>
          </cell>
          <cell r="K274">
            <v>545803.29292511696</v>
          </cell>
          <cell r="L274">
            <v>17.653914768342435</v>
          </cell>
        </row>
        <row r="275">
          <cell r="H275">
            <v>0.5</v>
          </cell>
          <cell r="I275">
            <v>37291666.666666664</v>
          </cell>
          <cell r="J275">
            <v>5007164.7509578541</v>
          </cell>
          <cell r="K275">
            <v>19712561.209656253</v>
          </cell>
          <cell r="L275">
            <v>2988261.4520938569</v>
          </cell>
        </row>
        <row r="276">
          <cell r="H276">
            <v>1</v>
          </cell>
          <cell r="I276">
            <v>63333333.333333336</v>
          </cell>
          <cell r="J276">
            <v>21111111.111111112</v>
          </cell>
          <cell r="K276">
            <v>8819171.0368819628</v>
          </cell>
          <cell r="L276">
            <v>8888888.8888888862</v>
          </cell>
        </row>
        <row r="279">
          <cell r="I279" t="str">
            <v>No K</v>
          </cell>
          <cell r="J279" t="str">
            <v>K</v>
          </cell>
        </row>
        <row r="280">
          <cell r="H280">
            <v>0</v>
          </cell>
          <cell r="I280">
            <v>-0.36079096360910229</v>
          </cell>
          <cell r="J280">
            <v>-0.341538669376445</v>
          </cell>
          <cell r="K280">
            <v>8.0722216854783008E-2</v>
          </cell>
          <cell r="L280">
            <v>6.9246239693514608E-2</v>
          </cell>
        </row>
        <row r="281">
          <cell r="H281">
            <v>0.05</v>
          </cell>
          <cell r="I281">
            <v>4.6328838253871657E-2</v>
          </cell>
          <cell r="J281">
            <v>-0.39933932343259887</v>
          </cell>
          <cell r="K281">
            <v>5.5979299085060497E-2</v>
          </cell>
          <cell r="L281">
            <v>0.16040277112047913</v>
          </cell>
        </row>
        <row r="282">
          <cell r="H282">
            <v>0.1</v>
          </cell>
          <cell r="I282">
            <v>0.88699761738645755</v>
          </cell>
          <cell r="J282">
            <v>-0.44152987367697921</v>
          </cell>
          <cell r="K282">
            <v>0.33953363100355666</v>
          </cell>
          <cell r="L282">
            <v>0.2265581803890703</v>
          </cell>
        </row>
        <row r="283">
          <cell r="H283">
            <v>0.25</v>
          </cell>
          <cell r="I283">
            <v>3.0801373044854703</v>
          </cell>
          <cell r="J283">
            <v>0.15925268165767836</v>
          </cell>
          <cell r="K283">
            <v>0.18152592088727851</v>
          </cell>
          <cell r="L283">
            <v>0.16669668212807326</v>
          </cell>
        </row>
        <row r="284">
          <cell r="H284">
            <v>0.5</v>
          </cell>
          <cell r="I284">
            <v>3.8398488556051014</v>
          </cell>
          <cell r="J284">
            <v>3.075267608899638</v>
          </cell>
          <cell r="K284">
            <v>0.38524938472125786</v>
          </cell>
          <cell r="L284">
            <v>0.51509739308864544</v>
          </cell>
        </row>
        <row r="285">
          <cell r="H285">
            <v>1</v>
          </cell>
          <cell r="I285">
            <v>4.1719603086739099</v>
          </cell>
          <cell r="J285">
            <v>3.8345621795228753</v>
          </cell>
          <cell r="K285">
            <v>0.18789935663297047</v>
          </cell>
          <cell r="L285">
            <v>0.18233758849715134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mba+Rup selection combined"/>
      <sheetName val="Sheet3"/>
    </sheetNames>
    <sheetDataSet>
      <sheetData sheetId="0">
        <row r="74">
          <cell r="I74" t="str">
            <v>no Rup</v>
          </cell>
          <cell r="J74" t="str">
            <v>Rup</v>
          </cell>
          <cell r="M74" t="str">
            <v>no Rup</v>
          </cell>
          <cell r="N74" t="str">
            <v>Rup</v>
          </cell>
        </row>
        <row r="75">
          <cell r="H75">
            <v>0</v>
          </cell>
          <cell r="I75">
            <v>0.22222222222222221</v>
          </cell>
          <cell r="J75">
            <v>1.4285714285714286</v>
          </cell>
          <cell r="L75">
            <v>0</v>
          </cell>
          <cell r="M75">
            <v>-0.65067242136109604</v>
          </cell>
          <cell r="N75">
            <v>-3.0724534080788443E-2</v>
          </cell>
        </row>
        <row r="76">
          <cell r="H76">
            <v>5.0000000000000001E-3</v>
          </cell>
          <cell r="I76">
            <v>0.53333333333333333</v>
          </cell>
          <cell r="J76">
            <v>1.2222222222222221</v>
          </cell>
          <cell r="L76">
            <v>5.0000000000000001E-3</v>
          </cell>
          <cell r="M76">
            <v>-0.37479084549346131</v>
          </cell>
          <cell r="N76">
            <v>-0.15469255260552164</v>
          </cell>
        </row>
        <row r="77">
          <cell r="H77">
            <v>0.01</v>
          </cell>
          <cell r="I77">
            <v>1.3888888888888891</v>
          </cell>
          <cell r="J77">
            <v>1.1111111111111112</v>
          </cell>
          <cell r="L77">
            <v>0.01</v>
          </cell>
          <cell r="M77">
            <v>-0.40992795989939396</v>
          </cell>
          <cell r="N77">
            <v>-0.27214048820365194</v>
          </cell>
        </row>
        <row r="78">
          <cell r="H78">
            <v>2.5000000000000001E-2</v>
          </cell>
          <cell r="I78">
            <v>1.0555555555555554</v>
          </cell>
          <cell r="J78">
            <v>0.61111111111111105</v>
          </cell>
          <cell r="L78">
            <v>2.5000000000000001E-2</v>
          </cell>
          <cell r="M78">
            <v>-0.33781883370507743</v>
          </cell>
          <cell r="N78">
            <v>-0.46060080051170244</v>
          </cell>
        </row>
        <row r="79">
          <cell r="H79">
            <v>0.05</v>
          </cell>
          <cell r="I79">
            <v>1.1666666666666667</v>
          </cell>
          <cell r="J79">
            <v>96.296296296296291</v>
          </cell>
          <cell r="L79">
            <v>0.05</v>
          </cell>
          <cell r="M79">
            <v>-0.32528413819489599</v>
          </cell>
          <cell r="N79">
            <v>0.97650784393996892</v>
          </cell>
        </row>
        <row r="80">
          <cell r="H80">
            <v>7.4999999999999997E-2</v>
          </cell>
          <cell r="I80">
            <v>8.6666666666666661</v>
          </cell>
          <cell r="J80">
            <v>366666.66666666663</v>
          </cell>
          <cell r="L80">
            <v>7.4999999999999997E-2</v>
          </cell>
          <cell r="M80">
            <v>8.5081451484300741E-2</v>
          </cell>
          <cell r="N80">
            <v>2.8803060669467615</v>
          </cell>
        </row>
        <row r="160">
          <cell r="I160" t="str">
            <v>no Rup</v>
          </cell>
          <cell r="J160" t="str">
            <v xml:space="preserve">Rup </v>
          </cell>
          <cell r="M160" t="str">
            <v>no Rup</v>
          </cell>
          <cell r="N160" t="str">
            <v xml:space="preserve">Rup </v>
          </cell>
        </row>
        <row r="161">
          <cell r="H161">
            <v>0</v>
          </cell>
          <cell r="I161">
            <v>0.77777777777777779</v>
          </cell>
          <cell r="J161">
            <v>10.333333333333334</v>
          </cell>
          <cell r="L161">
            <v>0</v>
          </cell>
          <cell r="M161">
            <v>-0.19997009500743596</v>
          </cell>
          <cell r="N161">
            <v>0.40467430946172395</v>
          </cell>
        </row>
        <row r="162">
          <cell r="H162">
            <v>5.0000000000000001E-3</v>
          </cell>
          <cell r="I162">
            <v>0.53333333333333333</v>
          </cell>
          <cell r="J162">
            <v>26.666666666666668</v>
          </cell>
          <cell r="L162">
            <v>5.0000000000000001E-3</v>
          </cell>
          <cell r="M162">
            <v>-0.286105456174851</v>
          </cell>
          <cell r="N162">
            <v>0.68765245388025142</v>
          </cell>
        </row>
        <row r="163">
          <cell r="H163">
            <v>0.01</v>
          </cell>
          <cell r="I163">
            <v>1.4</v>
          </cell>
          <cell r="J163">
            <v>8.0952380952380967</v>
          </cell>
          <cell r="L163">
            <v>0.01</v>
          </cell>
          <cell r="M163">
            <v>5.2942189530063938E-2</v>
          </cell>
          <cell r="N163">
            <v>0.35586165668779601</v>
          </cell>
        </row>
        <row r="164">
          <cell r="H164">
            <v>2.5000000000000001E-2</v>
          </cell>
          <cell r="I164">
            <v>0.55555555555555558</v>
          </cell>
          <cell r="J164">
            <v>222.22222222222226</v>
          </cell>
          <cell r="L164">
            <v>2.5000000000000001E-2</v>
          </cell>
          <cell r="M164">
            <v>-0.15794161475466337</v>
          </cell>
          <cell r="N164">
            <v>1.2532028933797115</v>
          </cell>
        </row>
        <row r="165">
          <cell r="H165">
            <v>0.05</v>
          </cell>
          <cell r="I165">
            <v>1.1666666666666667</v>
          </cell>
          <cell r="J165">
            <v>90000000</v>
          </cell>
          <cell r="L165">
            <v>0.05</v>
          </cell>
          <cell r="M165">
            <v>-7.1920518112945309E-2</v>
          </cell>
          <cell r="N165">
            <v>4.4198328644127809</v>
          </cell>
        </row>
        <row r="166">
          <cell r="H166">
            <v>7.4999999999999997E-2</v>
          </cell>
          <cell r="I166">
            <v>6.666666666666667</v>
          </cell>
          <cell r="J166">
            <v>27777.777777777777</v>
          </cell>
          <cell r="L166">
            <v>7.4999999999999997E-2</v>
          </cell>
          <cell r="M166">
            <v>0.37517617807440862</v>
          </cell>
          <cell r="N166">
            <v>2.3847111097367972</v>
          </cell>
        </row>
        <row r="243">
          <cell r="I243" t="str">
            <v>no Rup</v>
          </cell>
          <cell r="J243" t="str">
            <v xml:space="preserve">Rup </v>
          </cell>
          <cell r="M243" t="str">
            <v>no Rup</v>
          </cell>
          <cell r="N243" t="str">
            <v xml:space="preserve">Rup </v>
          </cell>
        </row>
        <row r="244">
          <cell r="H244">
            <v>0</v>
          </cell>
          <cell r="I244">
            <v>0.77777777777777779</v>
          </cell>
          <cell r="J244">
            <v>1.75</v>
          </cell>
          <cell r="L244">
            <v>0</v>
          </cell>
          <cell r="M244">
            <v>-0.2402477276980155</v>
          </cell>
          <cell r="N244">
            <v>3.0340214251066835E-2</v>
          </cell>
        </row>
        <row r="245">
          <cell r="H245">
            <v>5.0000000000000001E-3</v>
          </cell>
          <cell r="I245">
            <v>2.6666666666666665</v>
          </cell>
          <cell r="J245">
            <v>5</v>
          </cell>
          <cell r="L245">
            <v>5.0000000000000001E-3</v>
          </cell>
          <cell r="M245">
            <v>9.7366191690430828E-2</v>
          </cell>
          <cell r="N245">
            <v>0.19366005370278208</v>
          </cell>
        </row>
        <row r="246">
          <cell r="H246">
            <v>0.01</v>
          </cell>
          <cell r="I246">
            <v>0.91666666666666652</v>
          </cell>
          <cell r="J246">
            <v>3.8333333333333339</v>
          </cell>
          <cell r="L246">
            <v>0.01</v>
          </cell>
          <cell r="M246">
            <v>-0.17651264634896341</v>
          </cell>
          <cell r="N246">
            <v>0.15822199726043717</v>
          </cell>
        </row>
        <row r="247">
          <cell r="H247">
            <v>2.5000000000000001E-2</v>
          </cell>
          <cell r="I247">
            <v>0.8</v>
          </cell>
          <cell r="J247">
            <v>0.66666666666666674</v>
          </cell>
          <cell r="L247">
            <v>2.5000000000000001E-2</v>
          </cell>
          <cell r="M247">
            <v>-0.19805952080104408</v>
          </cell>
          <cell r="N247">
            <v>-0.3402441382839001</v>
          </cell>
        </row>
        <row r="248">
          <cell r="H248">
            <v>0.05</v>
          </cell>
          <cell r="I248">
            <v>3.1666666666666661</v>
          </cell>
          <cell r="J248">
            <v>6825.396825396826</v>
          </cell>
          <cell r="L248">
            <v>0.05</v>
          </cell>
          <cell r="M248">
            <v>0.14122321125906662</v>
          </cell>
          <cell r="N248">
            <v>2.0576421901306623</v>
          </cell>
        </row>
        <row r="249">
          <cell r="H249">
            <v>7.4999999999999997E-2</v>
          </cell>
          <cell r="I249">
            <v>7.6190476190476186</v>
          </cell>
          <cell r="J249">
            <v>120000</v>
          </cell>
          <cell r="L249">
            <v>7.4999999999999997E-2</v>
          </cell>
          <cell r="M249">
            <v>0.36566683497611641</v>
          </cell>
          <cell r="N249">
            <v>2.7539263733142465</v>
          </cell>
        </row>
        <row r="271">
          <cell r="I271" t="str">
            <v>No Rup</v>
          </cell>
          <cell r="J271" t="str">
            <v>Rup</v>
          </cell>
        </row>
        <row r="272">
          <cell r="H272">
            <v>0</v>
          </cell>
          <cell r="I272">
            <v>0.59259259259259256</v>
          </cell>
          <cell r="J272">
            <v>4.503968253968254</v>
          </cell>
          <cell r="K272">
            <v>0.18518518518518529</v>
          </cell>
          <cell r="L272">
            <v>2.9161591179165471</v>
          </cell>
        </row>
        <row r="273">
          <cell r="H273">
            <v>5.0000000000000001E-3</v>
          </cell>
          <cell r="I273">
            <v>1.2444444444444445</v>
          </cell>
          <cell r="J273">
            <v>10.962962962962962</v>
          </cell>
          <cell r="K273">
            <v>0.71111111111111114</v>
          </cell>
          <cell r="L273">
            <v>7.927223846653507</v>
          </cell>
        </row>
        <row r="274">
          <cell r="H274">
            <v>0.01</v>
          </cell>
          <cell r="I274">
            <v>1.2351851851851852</v>
          </cell>
          <cell r="J274">
            <v>4.3465608465608474</v>
          </cell>
          <cell r="K274">
            <v>0.15929155572613296</v>
          </cell>
          <cell r="L274">
            <v>2.0324090215679971</v>
          </cell>
        </row>
        <row r="275">
          <cell r="H275">
            <v>2.5000000000000001E-2</v>
          </cell>
          <cell r="I275">
            <v>0.8037037037037037</v>
          </cell>
          <cell r="J275">
            <v>74.500000000000014</v>
          </cell>
          <cell r="K275">
            <v>0.14434944644374126</v>
          </cell>
          <cell r="L275">
            <v>73.861112852227933</v>
          </cell>
        </row>
        <row r="276">
          <cell r="H276">
            <v>0.05</v>
          </cell>
          <cell r="I276">
            <v>1.8333333333333333</v>
          </cell>
          <cell r="J276">
            <v>30002307.231040567</v>
          </cell>
          <cell r="K276">
            <v>0.66666666666666619</v>
          </cell>
          <cell r="L276">
            <v>29998846.447372131</v>
          </cell>
        </row>
        <row r="277">
          <cell r="H277">
            <v>7.4999999999999997E-2</v>
          </cell>
          <cell r="I277">
            <v>7.6507936507936494</v>
          </cell>
          <cell r="J277">
            <v>171481.48148148146</v>
          </cell>
          <cell r="K277">
            <v>0.57756842535430053</v>
          </cell>
          <cell r="L277">
            <v>101158.58334768648</v>
          </cell>
        </row>
        <row r="280">
          <cell r="I280" t="str">
            <v>No Rup</v>
          </cell>
          <cell r="J280" t="str">
            <v>Rup</v>
          </cell>
        </row>
        <row r="281">
          <cell r="H281">
            <v>0</v>
          </cell>
          <cell r="I281">
            <v>-0.36363008135551583</v>
          </cell>
          <cell r="J281">
            <v>0.13476332987733411</v>
          </cell>
          <cell r="K281">
            <v>0.14399137779823096</v>
          </cell>
          <cell r="L281">
            <v>0.13610189632203501</v>
          </cell>
        </row>
        <row r="282">
          <cell r="H282">
            <v>5.0000000000000001E-3</v>
          </cell>
          <cell r="I282">
            <v>-0.18784336999262716</v>
          </cell>
          <cell r="J282">
            <v>0.24220665165917063</v>
          </cell>
          <cell r="K282">
            <v>0.14488460365204434</v>
          </cell>
          <cell r="L282">
            <v>0.2443725684398951</v>
          </cell>
        </row>
        <row r="283">
          <cell r="H283">
            <v>0.01</v>
          </cell>
          <cell r="I283">
            <v>-0.17783280557276449</v>
          </cell>
          <cell r="J283">
            <v>8.0647721914860415E-2</v>
          </cell>
          <cell r="K283">
            <v>0.13362073307623873</v>
          </cell>
          <cell r="L283">
            <v>0.18539147736938388</v>
          </cell>
        </row>
        <row r="284">
          <cell r="H284">
            <v>2.5000000000000001E-2</v>
          </cell>
          <cell r="I284">
            <v>-0.23127332308692827</v>
          </cell>
          <cell r="J284">
            <v>0.15078598486136965</v>
          </cell>
          <cell r="K284">
            <v>5.4517033946734378E-2</v>
          </cell>
          <cell r="L284">
            <v>0.55230236636465957</v>
          </cell>
        </row>
        <row r="285">
          <cell r="H285">
            <v>0.05</v>
          </cell>
          <cell r="I285">
            <v>-8.5327148349591556E-2</v>
          </cell>
          <cell r="J285">
            <v>2.4846609661611372</v>
          </cell>
          <cell r="K285">
            <v>0.13483580147024138</v>
          </cell>
          <cell r="L285">
            <v>1.0166744112489912</v>
          </cell>
        </row>
        <row r="286">
          <cell r="H286">
            <v>7.4999999999999997E-2</v>
          </cell>
          <cell r="I286">
            <v>0.27530815484494192</v>
          </cell>
          <cell r="J286">
            <v>2.672981183332602</v>
          </cell>
          <cell r="K286">
            <v>9.5152957398659421E-2</v>
          </cell>
          <cell r="L286">
            <v>0.14868051120760023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tabSelected="1" topLeftCell="A241" workbookViewId="0">
      <selection activeCell="F272" sqref="F272"/>
    </sheetView>
  </sheetViews>
  <sheetFormatPr defaultColWidth="12.44140625" defaultRowHeight="14.4" x14ac:dyDescent="0.3"/>
  <cols>
    <col min="1" max="1" width="14.21875" customWidth="1"/>
    <col min="5" max="5" width="18" bestFit="1" customWidth="1"/>
    <col min="6" max="6" width="11.6640625" customWidth="1"/>
    <col min="8" max="8" width="16.33203125" bestFit="1" customWidth="1"/>
    <col min="13" max="14" width="12.44140625" customWidth="1"/>
    <col min="15" max="15" width="15.88671875" customWidth="1"/>
  </cols>
  <sheetData>
    <row r="1" spans="1:9" ht="15.6" x14ac:dyDescent="0.3">
      <c r="A1" s="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5" spans="1:9" s="2" customFormat="1" ht="21" x14ac:dyDescent="0.4">
      <c r="A5" s="41" t="s">
        <v>4</v>
      </c>
    </row>
    <row r="6" spans="1:9" s="3" customFormat="1" x14ac:dyDescent="0.3">
      <c r="A6" t="s">
        <v>5</v>
      </c>
      <c r="B6"/>
      <c r="C6"/>
      <c r="D6" t="s">
        <v>6</v>
      </c>
      <c r="E6" t="s">
        <v>7</v>
      </c>
      <c r="F6" t="s">
        <v>8</v>
      </c>
    </row>
    <row r="7" spans="1:9" s="3" customFormat="1" x14ac:dyDescent="0.3">
      <c r="A7" t="s">
        <v>9</v>
      </c>
      <c r="B7" s="4">
        <v>1700000000</v>
      </c>
      <c r="C7"/>
      <c r="D7" s="4">
        <v>1000000</v>
      </c>
      <c r="E7" s="4">
        <f>D7/10</f>
        <v>100000</v>
      </c>
      <c r="F7" s="5">
        <f>E7/(E7+E8)</f>
        <v>0.5</v>
      </c>
      <c r="H7" s="3" t="s">
        <v>10</v>
      </c>
    </row>
    <row r="8" spans="1:9" s="3" customFormat="1" x14ac:dyDescent="0.3">
      <c r="A8" t="s">
        <v>11</v>
      </c>
      <c r="B8" s="4">
        <v>1700000000</v>
      </c>
      <c r="C8"/>
      <c r="D8" s="4">
        <v>1000000</v>
      </c>
      <c r="E8" s="4">
        <f>D8/10</f>
        <v>100000</v>
      </c>
      <c r="F8" s="5">
        <f>E8/(E8+E7)</f>
        <v>0.5</v>
      </c>
    </row>
    <row r="9" spans="1:9" s="3" customFormat="1" x14ac:dyDescent="0.3">
      <c r="A9"/>
      <c r="B9" s="4"/>
      <c r="C9"/>
      <c r="D9" s="4"/>
      <c r="E9" s="4"/>
      <c r="F9" s="5"/>
    </row>
    <row r="10" spans="1:9" ht="15.6" x14ac:dyDescent="0.3">
      <c r="A10" s="1" t="s">
        <v>12</v>
      </c>
      <c r="B10" t="s">
        <v>13</v>
      </c>
      <c r="C10" t="s">
        <v>9</v>
      </c>
      <c r="D10" t="s">
        <v>11</v>
      </c>
      <c r="E10" t="s">
        <v>14</v>
      </c>
      <c r="F10" t="s">
        <v>15</v>
      </c>
      <c r="G10" t="s">
        <v>16</v>
      </c>
      <c r="I10" t="s">
        <v>17</v>
      </c>
    </row>
    <row r="11" spans="1:9" x14ac:dyDescent="0.3">
      <c r="A11" t="s">
        <v>18</v>
      </c>
    </row>
    <row r="12" spans="1:9" x14ac:dyDescent="0.3">
      <c r="A12" t="s">
        <v>19</v>
      </c>
      <c r="B12" s="4">
        <f>AVERAGE(5,12,11)*10000</f>
        <v>93333.333333333343</v>
      </c>
      <c r="C12" s="4">
        <f>AVERAGE(2,4,5)*10000</f>
        <v>36666.666666666664</v>
      </c>
      <c r="D12" s="4">
        <f>AVERAGE(2,2,2)*10000</f>
        <v>20000</v>
      </c>
      <c r="E12" s="6">
        <f>C12/D12</f>
        <v>1.8333333333333333</v>
      </c>
      <c r="F12" s="6">
        <f>D12/C12</f>
        <v>0.54545454545454553</v>
      </c>
      <c r="G12" s="7">
        <f>C12/(C12+D12)</f>
        <v>0.6470588235294118</v>
      </c>
      <c r="H12" s="4"/>
      <c r="I12" s="7">
        <f>1-G12</f>
        <v>0.3529411764705882</v>
      </c>
    </row>
    <row r="13" spans="1:9" x14ac:dyDescent="0.3">
      <c r="A13" t="s">
        <v>20</v>
      </c>
      <c r="B13" s="4">
        <f>AVERAGE(10,5,18)*10000</f>
        <v>110000</v>
      </c>
      <c r="C13" s="4">
        <f>AVERAGE(5,7,5)*10000</f>
        <v>56666.666666666672</v>
      </c>
      <c r="D13" s="4">
        <f>AVERAGE(4,1,5)*10000</f>
        <v>33333.333333333336</v>
      </c>
      <c r="E13" s="6">
        <f t="shared" ref="E13:E23" si="0">C13/D13</f>
        <v>1.7</v>
      </c>
      <c r="F13" s="6">
        <f t="shared" ref="F13:F23" si="1">D13/C13</f>
        <v>0.58823529411764708</v>
      </c>
      <c r="G13" s="7">
        <f t="shared" ref="G13:G23" si="2">C13/(C13+D13)</f>
        <v>0.62962962962962965</v>
      </c>
      <c r="H13" s="4"/>
      <c r="I13" s="7">
        <f t="shared" ref="I13:I23" si="3">1-G13</f>
        <v>0.37037037037037035</v>
      </c>
    </row>
    <row r="14" spans="1:9" x14ac:dyDescent="0.3">
      <c r="A14" t="s">
        <v>21</v>
      </c>
      <c r="B14" s="4">
        <f>AVERAGE(12,9,9)*10000</f>
        <v>100000</v>
      </c>
      <c r="C14" s="4">
        <f>AVERAGE(9,8,12)*10000</f>
        <v>96666.666666666657</v>
      </c>
      <c r="D14" s="4">
        <f>AVERAGE(2,1,2)*10000</f>
        <v>16666.666666666668</v>
      </c>
      <c r="E14" s="6">
        <f t="shared" si="0"/>
        <v>5.7999999999999989</v>
      </c>
      <c r="F14" s="6">
        <f>D14/C14</f>
        <v>0.17241379310344832</v>
      </c>
      <c r="G14" s="7">
        <f t="shared" si="2"/>
        <v>0.8529411764705882</v>
      </c>
      <c r="H14" s="4"/>
      <c r="I14" s="7">
        <f t="shared" si="3"/>
        <v>0.1470588235294118</v>
      </c>
    </row>
    <row r="15" spans="1:9" x14ac:dyDescent="0.3">
      <c r="A15" t="s">
        <v>22</v>
      </c>
      <c r="B15" s="4">
        <f>AVERAGE(3,6,7)*10000</f>
        <v>53333.333333333328</v>
      </c>
      <c r="C15" s="4">
        <f>AVERAGE(5,3,2)*10000</f>
        <v>33333.333333333336</v>
      </c>
      <c r="D15" s="4">
        <f>AVERAGE(2,4,3)*10000</f>
        <v>30000</v>
      </c>
      <c r="E15" s="6">
        <f t="shared" si="0"/>
        <v>1.1111111111111112</v>
      </c>
      <c r="F15" s="6">
        <f t="shared" si="1"/>
        <v>0.89999999999999991</v>
      </c>
      <c r="G15" s="7">
        <f t="shared" si="2"/>
        <v>0.52631578947368418</v>
      </c>
      <c r="H15" s="4"/>
      <c r="I15" s="7">
        <f t="shared" si="3"/>
        <v>0.47368421052631582</v>
      </c>
    </row>
    <row r="16" spans="1:9" x14ac:dyDescent="0.3">
      <c r="A16" t="s">
        <v>23</v>
      </c>
      <c r="B16" s="4">
        <f>AVERAGE(7,14,8)*10000</f>
        <v>96666.666666666657</v>
      </c>
      <c r="C16" s="4">
        <f>AVERAGE(1,5,1)*10000</f>
        <v>23333.333333333336</v>
      </c>
      <c r="D16" s="4">
        <f>AVERAGE(2,2,5)*10000</f>
        <v>30000</v>
      </c>
      <c r="E16" s="6">
        <f t="shared" si="0"/>
        <v>0.7777777777777779</v>
      </c>
      <c r="F16" s="6">
        <f t="shared" si="1"/>
        <v>1.2857142857142856</v>
      </c>
      <c r="G16" s="7">
        <f t="shared" si="2"/>
        <v>0.4375</v>
      </c>
      <c r="H16" s="4"/>
      <c r="I16" s="7">
        <f t="shared" si="3"/>
        <v>0.5625</v>
      </c>
    </row>
    <row r="17" spans="1:9" x14ac:dyDescent="0.3">
      <c r="A17" t="s">
        <v>24</v>
      </c>
      <c r="B17" s="4">
        <f>AVERAGE(4,6,7)*10000</f>
        <v>56666.666666666672</v>
      </c>
      <c r="C17" s="4">
        <f>AVERAGE(6,3,4)*10000</f>
        <v>43333.333333333328</v>
      </c>
      <c r="D17" s="4">
        <f>AVERAGE(5,3,2)*10000</f>
        <v>33333.333333333336</v>
      </c>
      <c r="E17" s="6">
        <f t="shared" si="0"/>
        <v>1.2999999999999998</v>
      </c>
      <c r="F17" s="6">
        <f t="shared" si="1"/>
        <v>0.76923076923076938</v>
      </c>
      <c r="G17" s="7">
        <f t="shared" si="2"/>
        <v>0.56521739130434778</v>
      </c>
      <c r="H17" s="4"/>
      <c r="I17" s="7">
        <f t="shared" si="3"/>
        <v>0.43478260869565222</v>
      </c>
    </row>
    <row r="18" spans="1:9" x14ac:dyDescent="0.3">
      <c r="A18" t="s">
        <v>25</v>
      </c>
      <c r="B18" s="4">
        <f>AVERAGE(7,6,12)*10000</f>
        <v>83333.333333333343</v>
      </c>
      <c r="C18" s="4">
        <f>AVERAGE(4,5,4)*10000</f>
        <v>43333.333333333328</v>
      </c>
      <c r="D18" s="4">
        <f>AVERAGE(6,3,4)*10000</f>
        <v>43333.333333333328</v>
      </c>
      <c r="E18" s="6">
        <f t="shared" si="0"/>
        <v>1</v>
      </c>
      <c r="F18" s="6">
        <f t="shared" si="1"/>
        <v>1</v>
      </c>
      <c r="G18" s="7">
        <f t="shared" si="2"/>
        <v>0.5</v>
      </c>
      <c r="H18" s="4"/>
      <c r="I18" s="7">
        <f t="shared" si="3"/>
        <v>0.5</v>
      </c>
    </row>
    <row r="19" spans="1:9" x14ac:dyDescent="0.3">
      <c r="A19" t="s">
        <v>26</v>
      </c>
      <c r="B19" s="4">
        <f>AVERAGE(11,6,3)*10000</f>
        <v>66666.666666666672</v>
      </c>
      <c r="C19" s="4">
        <f>AVERAGE(4,3,2)*10000</f>
        <v>30000</v>
      </c>
      <c r="D19" s="4">
        <f>AVERAGE(2,3,3)*10000</f>
        <v>26666.666666666664</v>
      </c>
      <c r="E19" s="6">
        <f t="shared" si="0"/>
        <v>1.125</v>
      </c>
      <c r="F19" s="6">
        <f t="shared" si="1"/>
        <v>0.88888888888888884</v>
      </c>
      <c r="G19" s="7">
        <f t="shared" si="2"/>
        <v>0.52941176470588236</v>
      </c>
      <c r="H19" s="4"/>
      <c r="I19" s="7">
        <f t="shared" si="3"/>
        <v>0.47058823529411764</v>
      </c>
    </row>
    <row r="20" spans="1:9" x14ac:dyDescent="0.3">
      <c r="A20" t="s">
        <v>27</v>
      </c>
      <c r="B20" s="4">
        <f>AVERAGE(8,4,7)*10000</f>
        <v>63333.333333333328</v>
      </c>
      <c r="C20" s="4">
        <f>AVERAGE(4,3,1)*10000</f>
        <v>26666.666666666664</v>
      </c>
      <c r="D20" s="4">
        <f>AVERAGE(5,4,3)*10000</f>
        <v>40000</v>
      </c>
      <c r="E20" s="6">
        <f t="shared" si="0"/>
        <v>0.66666666666666663</v>
      </c>
      <c r="F20" s="6">
        <f t="shared" si="1"/>
        <v>1.5000000000000002</v>
      </c>
      <c r="G20" s="7">
        <f t="shared" si="2"/>
        <v>0.4</v>
      </c>
      <c r="H20" s="4"/>
      <c r="I20" s="7">
        <f t="shared" si="3"/>
        <v>0.6</v>
      </c>
    </row>
    <row r="21" spans="1:9" x14ac:dyDescent="0.3">
      <c r="A21" t="s">
        <v>28</v>
      </c>
      <c r="B21" s="4">
        <f>AVERAGE(15,13,14)*10000</f>
        <v>140000</v>
      </c>
      <c r="C21" s="4">
        <f>AVERAGE(4,4,4)*10000</f>
        <v>40000</v>
      </c>
      <c r="D21" s="4">
        <f>AVERAGE(5,2,3)*10000</f>
        <v>33333.333333333336</v>
      </c>
      <c r="E21" s="6">
        <f t="shared" si="0"/>
        <v>1.2</v>
      </c>
      <c r="F21" s="6">
        <f t="shared" si="1"/>
        <v>0.83333333333333337</v>
      </c>
      <c r="G21" s="7">
        <f t="shared" si="2"/>
        <v>0.54545454545454541</v>
      </c>
      <c r="H21" s="4"/>
      <c r="I21" s="7">
        <f t="shared" si="3"/>
        <v>0.45454545454545459</v>
      </c>
    </row>
    <row r="22" spans="1:9" x14ac:dyDescent="0.3">
      <c r="A22" t="s">
        <v>29</v>
      </c>
      <c r="B22" s="4">
        <f>AVERAGE(11,5,9)*10000</f>
        <v>83333.333333333343</v>
      </c>
      <c r="C22" s="4">
        <f>AVERAGE(2,2,5)*10000</f>
        <v>30000</v>
      </c>
      <c r="D22" s="4">
        <f>AVERAGE(5,4,2)*10000</f>
        <v>36666.666666666664</v>
      </c>
      <c r="E22" s="6">
        <f t="shared" si="0"/>
        <v>0.81818181818181823</v>
      </c>
      <c r="F22" s="6">
        <f t="shared" si="1"/>
        <v>1.2222222222222221</v>
      </c>
      <c r="G22" s="7">
        <f t="shared" si="2"/>
        <v>0.45000000000000007</v>
      </c>
      <c r="H22" s="4"/>
      <c r="I22" s="7">
        <f t="shared" si="3"/>
        <v>0.54999999999999993</v>
      </c>
    </row>
    <row r="23" spans="1:9" x14ac:dyDescent="0.3">
      <c r="A23" t="s">
        <v>30</v>
      </c>
      <c r="B23" s="4">
        <f>AVERAGE(10,13,9)*10000</f>
        <v>106666.66666666666</v>
      </c>
      <c r="C23" s="4">
        <f>AVERAGE(5,7,5)*10000</f>
        <v>56666.666666666672</v>
      </c>
      <c r="D23" s="4">
        <f>AVERAGE(2,4,4)*10000</f>
        <v>33333.333333333336</v>
      </c>
      <c r="E23" s="6">
        <f t="shared" si="0"/>
        <v>1.7</v>
      </c>
      <c r="F23" s="6">
        <f t="shared" si="1"/>
        <v>0.58823529411764708</v>
      </c>
      <c r="G23" s="7">
        <f t="shared" si="2"/>
        <v>0.62962962962962965</v>
      </c>
      <c r="H23" s="4"/>
      <c r="I23" s="7">
        <f t="shared" si="3"/>
        <v>0.37037037037037035</v>
      </c>
    </row>
    <row r="24" spans="1:9" s="8" customFormat="1" x14ac:dyDescent="0.3">
      <c r="B24" s="9"/>
      <c r="C24" s="9"/>
      <c r="D24" s="9"/>
      <c r="E24" s="10"/>
      <c r="F24" s="10"/>
      <c r="G24" s="11"/>
      <c r="H24" s="9"/>
      <c r="I24" s="11"/>
    </row>
    <row r="25" spans="1:9" x14ac:dyDescent="0.3">
      <c r="B25" s="4"/>
      <c r="D25" s="4"/>
      <c r="E25" s="5"/>
      <c r="G25" s="5"/>
    </row>
    <row r="26" spans="1:9" x14ac:dyDescent="0.3">
      <c r="A26" t="s">
        <v>31</v>
      </c>
      <c r="G26" s="5"/>
    </row>
    <row r="27" spans="1:9" ht="15.6" x14ac:dyDescent="0.3">
      <c r="A27" s="12" t="s">
        <v>32</v>
      </c>
      <c r="B27" s="13" t="s">
        <v>33</v>
      </c>
      <c r="C27" s="13" t="s">
        <v>34</v>
      </c>
      <c r="D27" s="13" t="s">
        <v>35</v>
      </c>
      <c r="E27" s="14" t="s">
        <v>36</v>
      </c>
      <c r="G27" s="5"/>
    </row>
    <row r="28" spans="1:9" x14ac:dyDescent="0.3">
      <c r="A28" t="s">
        <v>19</v>
      </c>
      <c r="B28" s="15">
        <f>AVERAGE(5,10,9)*100000000</f>
        <v>800000000</v>
      </c>
      <c r="C28" s="15" t="s">
        <v>37</v>
      </c>
      <c r="D28" s="15" t="s">
        <v>37</v>
      </c>
      <c r="E28" s="6">
        <f>LOG10(B28/B12)/LOG10(2)</f>
        <v>13.065319958213001</v>
      </c>
    </row>
    <row r="29" spans="1:9" x14ac:dyDescent="0.3">
      <c r="A29" t="s">
        <v>20</v>
      </c>
      <c r="B29" s="15">
        <f>AVERAGE(11,3,6)*100000000</f>
        <v>666666666.66666675</v>
      </c>
      <c r="C29" s="15" t="s">
        <v>37</v>
      </c>
      <c r="D29" s="15" t="s">
        <v>37</v>
      </c>
      <c r="E29" s="6">
        <f>LOG10(B29/B13)/LOG10(2)</f>
        <v>12.565246355078358</v>
      </c>
    </row>
    <row r="30" spans="1:9" x14ac:dyDescent="0.3">
      <c r="A30" t="s">
        <v>21</v>
      </c>
      <c r="B30" s="15">
        <f>AVERAGE(3,2,3)*100000000</f>
        <v>266666666.66666666</v>
      </c>
      <c r="C30" s="15" t="s">
        <v>37</v>
      </c>
      <c r="D30" s="15" t="s">
        <v>37</v>
      </c>
      <c r="E30" s="6">
        <f>LOG10(B30/B14)/LOG10(2)</f>
        <v>11.380821783940931</v>
      </c>
    </row>
    <row r="31" spans="1:9" x14ac:dyDescent="0.3">
      <c r="A31" t="s">
        <v>22</v>
      </c>
      <c r="B31" s="15">
        <f>AVERAGE(3,4,2)*100000000</f>
        <v>300000000</v>
      </c>
      <c r="C31" s="15" t="s">
        <v>37</v>
      </c>
      <c r="D31" s="15" t="s">
        <v>37</v>
      </c>
      <c r="E31" s="6">
        <f>LOG10(B31/B15)/LOG10(2)</f>
        <v>12.457637380991763</v>
      </c>
    </row>
    <row r="32" spans="1:9" x14ac:dyDescent="0.3">
      <c r="A32" t="s">
        <v>23</v>
      </c>
      <c r="B32" s="15">
        <f>AVERAGE(3,5,4)*100000000</f>
        <v>400000000</v>
      </c>
      <c r="C32" s="15" t="s">
        <v>37</v>
      </c>
      <c r="D32" s="15" t="s">
        <v>37</v>
      </c>
      <c r="E32" s="6">
        <f>LOG10(B32/B16)/LOG10(2)</f>
        <v>12.014693885143032</v>
      </c>
    </row>
    <row r="33" spans="1:5" x14ac:dyDescent="0.3">
      <c r="A33" t="s">
        <v>24</v>
      </c>
      <c r="B33" s="15">
        <f>AVERAGE(1,3,7)*100000000</f>
        <v>366666666.66666663</v>
      </c>
      <c r="C33" s="15" t="s">
        <v>37</v>
      </c>
      <c r="D33" s="15" t="s">
        <v>37</v>
      </c>
      <c r="E33" s="6">
        <f>LOG10(B33/B17)/LOG10(2)</f>
        <v>12.659681156936406</v>
      </c>
    </row>
    <row r="34" spans="1:5" x14ac:dyDescent="0.3">
      <c r="A34" t="s">
        <v>25</v>
      </c>
      <c r="B34" s="15">
        <f>AVERAGE(3,2,1)*100000000</f>
        <v>200000000</v>
      </c>
      <c r="C34" s="15" t="s">
        <v>37</v>
      </c>
      <c r="D34" s="15" t="s">
        <v>37</v>
      </c>
      <c r="E34" s="6">
        <f>LOG10(B34/B18)/LOG10(2)</f>
        <v>11.22881869049588</v>
      </c>
    </row>
    <row r="35" spans="1:5" x14ac:dyDescent="0.3">
      <c r="A35" t="s">
        <v>26</v>
      </c>
      <c r="B35" s="15">
        <f>AVERAGE(9,9,6)*100000000</f>
        <v>800000000</v>
      </c>
      <c r="C35" s="15" t="s">
        <v>37</v>
      </c>
      <c r="D35" s="15" t="s">
        <v>37</v>
      </c>
      <c r="E35" s="6">
        <f>LOG10(B35/B19)/LOG10(2)</f>
        <v>13.550746785383245</v>
      </c>
    </row>
    <row r="36" spans="1:5" x14ac:dyDescent="0.3">
      <c r="A36" t="s">
        <v>27</v>
      </c>
      <c r="B36" s="15">
        <f>AVERAGE(3,8,4)*100000000</f>
        <v>500000000</v>
      </c>
      <c r="C36" s="15" t="s">
        <v>37</v>
      </c>
      <c r="D36" s="15" t="s">
        <v>37</v>
      </c>
      <c r="E36" s="6">
        <f>LOG10(B36/B20)/LOG10(2)</f>
        <v>12.946675461714383</v>
      </c>
    </row>
    <row r="37" spans="1:5" x14ac:dyDescent="0.3">
      <c r="A37" t="s">
        <v>28</v>
      </c>
      <c r="B37" s="15">
        <f>AVERAGE(1,1,3)*100000000</f>
        <v>166666666.66666669</v>
      </c>
      <c r="C37" s="15" t="s">
        <v>37</v>
      </c>
      <c r="D37" s="15" t="s">
        <v>37</v>
      </c>
      <c r="E37" s="6">
        <f>LOG10(B37/B21)/LOG10(2)</f>
        <v>10.217323051658052</v>
      </c>
    </row>
    <row r="38" spans="1:5" x14ac:dyDescent="0.3">
      <c r="A38" t="s">
        <v>29</v>
      </c>
      <c r="B38" s="15">
        <f>AVERAGE(6,10,12)*100000000</f>
        <v>933333333.33333337</v>
      </c>
      <c r="C38" s="15" t="s">
        <v>37</v>
      </c>
      <c r="D38" s="15" t="s">
        <v>37</v>
      </c>
      <c r="E38" s="6">
        <f>LOG10(B38/B22)/LOG10(2)</f>
        <v>13.451211111832329</v>
      </c>
    </row>
    <row r="39" spans="1:5" x14ac:dyDescent="0.3">
      <c r="A39" t="s">
        <v>30</v>
      </c>
      <c r="B39" s="15">
        <f>AVERAGE(9,4,5)*100000000</f>
        <v>600000000</v>
      </c>
      <c r="C39" s="15" t="s">
        <v>37</v>
      </c>
      <c r="D39" s="15" t="s">
        <v>37</v>
      </c>
      <c r="E39" s="6">
        <f>LOG10(B39/B23)/LOG10(2)</f>
        <v>12.457637380991763</v>
      </c>
    </row>
    <row r="40" spans="1:5" x14ac:dyDescent="0.3">
      <c r="A40" s="16"/>
      <c r="B40" s="17"/>
      <c r="C40" s="17"/>
      <c r="D40" s="17"/>
    </row>
    <row r="42" spans="1:5" x14ac:dyDescent="0.3">
      <c r="A42" t="s">
        <v>38</v>
      </c>
    </row>
    <row r="43" spans="1:5" ht="15.6" x14ac:dyDescent="0.3">
      <c r="A43" s="12" t="s">
        <v>32</v>
      </c>
      <c r="B43" s="13" t="s">
        <v>33</v>
      </c>
      <c r="C43" s="13" t="s">
        <v>34</v>
      </c>
      <c r="D43" s="13" t="s">
        <v>35</v>
      </c>
    </row>
    <row r="44" spans="1:5" x14ac:dyDescent="0.3">
      <c r="A44" t="s">
        <v>19</v>
      </c>
      <c r="B44" s="15">
        <f>AVERAGE(14,12,7)*100000000</f>
        <v>1100000000</v>
      </c>
      <c r="C44" s="15" t="s">
        <v>37</v>
      </c>
      <c r="D44" s="15" t="s">
        <v>37</v>
      </c>
      <c r="E44" s="6">
        <f t="shared" ref="E44:E55" si="4">LOG10(B44/((B28)/1000))/LOG(2)</f>
        <v>10.425215903299385</v>
      </c>
    </row>
    <row r="45" spans="1:5" x14ac:dyDescent="0.3">
      <c r="A45" t="s">
        <v>20</v>
      </c>
      <c r="B45" s="15">
        <f>AVERAGE(24,17,31)*100000000</f>
        <v>2400000000</v>
      </c>
      <c r="C45" s="15" t="s">
        <v>37</v>
      </c>
      <c r="D45" s="15" t="s">
        <v>37</v>
      </c>
      <c r="E45" s="6">
        <f t="shared" si="4"/>
        <v>11.813781191217037</v>
      </c>
    </row>
    <row r="46" spans="1:5" x14ac:dyDescent="0.3">
      <c r="A46" t="s">
        <v>21</v>
      </c>
      <c r="B46" s="15">
        <f>AVERAGE(8,9,11)*100000000</f>
        <v>933333333.33333337</v>
      </c>
      <c r="C46" s="15" t="s">
        <v>37</v>
      </c>
      <c r="D46" s="15" t="s">
        <v>37</v>
      </c>
      <c r="E46" s="6">
        <f t="shared" si="4"/>
        <v>11.773139206719691</v>
      </c>
    </row>
    <row r="47" spans="1:5" x14ac:dyDescent="0.3">
      <c r="A47" t="s">
        <v>22</v>
      </c>
      <c r="B47" s="15">
        <f>AVERAGE(10,20,13)*100000000</f>
        <v>1433333333.3333335</v>
      </c>
      <c r="C47" s="15" t="s">
        <v>37</v>
      </c>
      <c r="D47" s="15" t="s">
        <v>37</v>
      </c>
      <c r="E47" s="6">
        <f t="shared" si="4"/>
        <v>12.222124037921873</v>
      </c>
    </row>
    <row r="48" spans="1:5" x14ac:dyDescent="0.3">
      <c r="A48" t="s">
        <v>23</v>
      </c>
      <c r="B48" s="15">
        <f>AVERAGE(16,22,15)*100000000</f>
        <v>1766666666.6666667</v>
      </c>
      <c r="C48" s="15" t="s">
        <v>37</v>
      </c>
      <c r="D48" s="15" t="s">
        <v>37</v>
      </c>
      <c r="E48" s="6">
        <f t="shared" si="4"/>
        <v>12.10874223850413</v>
      </c>
    </row>
    <row r="49" spans="1:5" x14ac:dyDescent="0.3">
      <c r="A49" t="s">
        <v>24</v>
      </c>
      <c r="B49" s="15">
        <f>AVERAGE(7,8,7)*100000000</f>
        <v>733333333.33333325</v>
      </c>
      <c r="C49" s="15" t="s">
        <v>37</v>
      </c>
      <c r="D49" s="15" t="s">
        <v>37</v>
      </c>
      <c r="E49" s="6">
        <f t="shared" si="4"/>
        <v>10.965784284662087</v>
      </c>
    </row>
    <row r="50" spans="1:5" x14ac:dyDescent="0.3">
      <c r="A50" t="s">
        <v>25</v>
      </c>
      <c r="B50" s="15">
        <f>AVERAGE(13,8,10)*100000000</f>
        <v>1033333333.3333334</v>
      </c>
      <c r="C50" s="15" t="s">
        <v>37</v>
      </c>
      <c r="D50" s="15" t="s">
        <v>37</v>
      </c>
      <c r="E50" s="6">
        <f t="shared" si="4"/>
        <v>12.335018094327806</v>
      </c>
    </row>
    <row r="51" spans="1:5" x14ac:dyDescent="0.3">
      <c r="A51" t="s">
        <v>26</v>
      </c>
      <c r="B51" s="15">
        <f>AVERAGE(6,7,7)*100000000</f>
        <v>666666666.66666675</v>
      </c>
      <c r="C51" s="15" t="s">
        <v>37</v>
      </c>
      <c r="D51" s="15" t="s">
        <v>37</v>
      </c>
      <c r="E51" s="6">
        <f t="shared" si="4"/>
        <v>9.7027498788282944</v>
      </c>
    </row>
    <row r="52" spans="1:5" x14ac:dyDescent="0.3">
      <c r="A52" t="s">
        <v>27</v>
      </c>
      <c r="B52" s="15">
        <f>AVERAGE(8,14,11)*100000000</f>
        <v>1100000000</v>
      </c>
      <c r="C52" s="15" t="s">
        <v>37</v>
      </c>
      <c r="D52" s="15" t="s">
        <v>37</v>
      </c>
      <c r="E52" s="6">
        <f t="shared" si="4"/>
        <v>11.103287808412022</v>
      </c>
    </row>
    <row r="53" spans="1:5" x14ac:dyDescent="0.3">
      <c r="A53" t="s">
        <v>28</v>
      </c>
      <c r="B53" s="15">
        <f>AVERAGE(6,7,7)*100000000</f>
        <v>666666666.66666675</v>
      </c>
      <c r="C53" s="15" t="s">
        <v>37</v>
      </c>
      <c r="D53" s="15" t="s">
        <v>37</v>
      </c>
      <c r="E53" s="6">
        <f t="shared" si="4"/>
        <v>11.965784284662087</v>
      </c>
    </row>
    <row r="54" spans="1:5" x14ac:dyDescent="0.3">
      <c r="A54" t="s">
        <v>29</v>
      </c>
      <c r="B54" s="15">
        <f>AVERAGE(12,7,8)*100000000</f>
        <v>900000000</v>
      </c>
      <c r="C54" s="15" t="s">
        <v>37</v>
      </c>
      <c r="D54" s="15" t="s">
        <v>37</v>
      </c>
      <c r="E54" s="6">
        <f t="shared" si="4"/>
        <v>9.9133168647679515</v>
      </c>
    </row>
    <row r="55" spans="1:5" x14ac:dyDescent="0.3">
      <c r="A55" t="s">
        <v>30</v>
      </c>
      <c r="B55" s="15">
        <f>AVERAGE(11,9,6)*100000000</f>
        <v>866666666.66666663</v>
      </c>
      <c r="C55" s="15" t="s">
        <v>37</v>
      </c>
      <c r="D55" s="15" t="s">
        <v>37</v>
      </c>
      <c r="E55" s="6">
        <f t="shared" si="4"/>
        <v>10.496299001360866</v>
      </c>
    </row>
    <row r="56" spans="1:5" x14ac:dyDescent="0.3">
      <c r="A56" s="16"/>
      <c r="B56" s="17"/>
      <c r="C56" s="17"/>
      <c r="D56" s="17"/>
    </row>
    <row r="58" spans="1:5" x14ac:dyDescent="0.3">
      <c r="A58" t="s">
        <v>39</v>
      </c>
    </row>
    <row r="59" spans="1:5" ht="15.6" x14ac:dyDescent="0.3">
      <c r="A59" s="12" t="s">
        <v>32</v>
      </c>
      <c r="B59" s="13" t="s">
        <v>33</v>
      </c>
      <c r="C59" s="13" t="s">
        <v>34</v>
      </c>
      <c r="D59" s="13" t="s">
        <v>35</v>
      </c>
    </row>
    <row r="60" spans="1:5" x14ac:dyDescent="0.3">
      <c r="A60" t="s">
        <v>19</v>
      </c>
      <c r="B60" s="15">
        <f>AVERAGE(7,5,17)*100000000</f>
        <v>966666666.66666663</v>
      </c>
      <c r="C60" s="15" t="s">
        <v>37</v>
      </c>
      <c r="D60" s="15" t="s">
        <v>37</v>
      </c>
      <c r="E60" s="6">
        <f t="shared" ref="E60:E71" si="5">LOG10(B60/((B44)/1000))/LOG(2)</f>
        <v>9.7793711604312055</v>
      </c>
    </row>
    <row r="61" spans="1:5" x14ac:dyDescent="0.3">
      <c r="A61" t="s">
        <v>20</v>
      </c>
      <c r="B61" s="15">
        <f>AVERAGE(3,7,4)*100000000</f>
        <v>466666666.66666669</v>
      </c>
      <c r="C61" s="15" t="s">
        <v>37</v>
      </c>
      <c r="D61" s="15" t="s">
        <v>37</v>
      </c>
      <c r="E61" s="6">
        <f t="shared" si="5"/>
        <v>7.6032142052773795</v>
      </c>
    </row>
    <row r="62" spans="1:5" x14ac:dyDescent="0.3">
      <c r="A62" t="s">
        <v>21</v>
      </c>
      <c r="B62" s="15">
        <f>AVERAGE(12,10,7)*100000000</f>
        <v>966666666.66666663</v>
      </c>
      <c r="C62" s="15" t="s">
        <v>37</v>
      </c>
      <c r="D62" s="15" t="s">
        <v>37</v>
      </c>
      <c r="E62" s="6">
        <f t="shared" si="5"/>
        <v>10.016410357732054</v>
      </c>
    </row>
    <row r="63" spans="1:5" x14ac:dyDescent="0.3">
      <c r="A63" t="s">
        <v>22</v>
      </c>
      <c r="B63" s="15">
        <f>AVERAGE(16,22,15)*100000000</f>
        <v>1766666666.6666667</v>
      </c>
      <c r="C63" s="15" t="s">
        <v>37</v>
      </c>
      <c r="D63" s="15" t="s">
        <v>37</v>
      </c>
      <c r="E63" s="6">
        <f t="shared" si="5"/>
        <v>10.267439984523188</v>
      </c>
    </row>
    <row r="64" spans="1:5" x14ac:dyDescent="0.3">
      <c r="A64" t="s">
        <v>23</v>
      </c>
      <c r="B64" s="15">
        <f>AVERAGE(9,6,8)*100000000</f>
        <v>766666666.66666675</v>
      </c>
      <c r="C64" s="15" t="s">
        <v>37</v>
      </c>
      <c r="D64" s="15" t="s">
        <v>37</v>
      </c>
      <c r="E64" s="6">
        <f t="shared" si="5"/>
        <v>8.7614257861559004</v>
      </c>
    </row>
    <row r="65" spans="1:15" x14ac:dyDescent="0.3">
      <c r="A65" t="s">
        <v>24</v>
      </c>
      <c r="B65" s="15">
        <f>AVERAGE(7,9,12)*100000000</f>
        <v>933333333.33333337</v>
      </c>
      <c r="C65" s="15" t="s">
        <v>37</v>
      </c>
      <c r="D65" s="15" t="s">
        <v>37</v>
      </c>
      <c r="E65" s="6">
        <f t="shared" si="5"/>
        <v>10.313707588082394</v>
      </c>
    </row>
    <row r="66" spans="1:15" x14ac:dyDescent="0.3">
      <c r="A66" t="s">
        <v>25</v>
      </c>
      <c r="B66" s="15">
        <f>AVERAGE(7,5,17)*100000000</f>
        <v>966666666.66666663</v>
      </c>
      <c r="C66" s="15" t="s">
        <v>37</v>
      </c>
      <c r="D66" s="15" t="s">
        <v>37</v>
      </c>
      <c r="E66" s="6">
        <f t="shared" si="5"/>
        <v>9.8695689694027848</v>
      </c>
    </row>
    <row r="67" spans="1:15" x14ac:dyDescent="0.3">
      <c r="A67" t="s">
        <v>26</v>
      </c>
      <c r="B67" s="15">
        <f>AVERAGE(3,7,4)*100000000</f>
        <v>466666666.66666669</v>
      </c>
      <c r="C67" s="15" t="s">
        <v>37</v>
      </c>
      <c r="D67" s="15" t="s">
        <v>37</v>
      </c>
      <c r="E67" s="6">
        <f t="shared" si="5"/>
        <v>9.451211111832329</v>
      </c>
    </row>
    <row r="68" spans="1:15" x14ac:dyDescent="0.3">
      <c r="A68" t="s">
        <v>27</v>
      </c>
      <c r="B68" s="15">
        <f>AVERAGE(12,10,7)*100000000</f>
        <v>966666666.66666663</v>
      </c>
      <c r="C68" s="15" t="s">
        <v>37</v>
      </c>
      <c r="D68" s="15" t="s">
        <v>37</v>
      </c>
      <c r="E68" s="6">
        <f t="shared" si="5"/>
        <v>9.7793711604312055</v>
      </c>
    </row>
    <row r="69" spans="1:15" x14ac:dyDescent="0.3">
      <c r="A69" t="s">
        <v>28</v>
      </c>
      <c r="B69" s="15">
        <f>AVERAGE(16,22,15)*100000000</f>
        <v>1766666666.6666667</v>
      </c>
      <c r="C69" s="15" t="s">
        <v>37</v>
      </c>
      <c r="D69" s="15" t="s">
        <v>37</v>
      </c>
      <c r="E69" s="6">
        <f t="shared" si="5"/>
        <v>11.371776644337924</v>
      </c>
    </row>
    <row r="70" spans="1:15" ht="18" x14ac:dyDescent="0.35">
      <c r="A70" t="s">
        <v>29</v>
      </c>
      <c r="B70" s="15">
        <f>AVERAGE(9,6,8)*100000000</f>
        <v>766666666.66666675</v>
      </c>
      <c r="C70" s="15" t="s">
        <v>37</v>
      </c>
      <c r="D70" s="15" t="s">
        <v>37</v>
      </c>
      <c r="E70" s="6">
        <f t="shared" si="5"/>
        <v>9.7344587385556309</v>
      </c>
      <c r="H70" s="18" t="s">
        <v>40</v>
      </c>
      <c r="L70" s="18" t="s">
        <v>41</v>
      </c>
    </row>
    <row r="71" spans="1:15" x14ac:dyDescent="0.3">
      <c r="A71" t="s">
        <v>30</v>
      </c>
      <c r="B71" s="15">
        <f>AVERAGE(7,9,12)*100000000</f>
        <v>933333333.33333337</v>
      </c>
      <c r="C71" s="15" t="s">
        <v>37</v>
      </c>
      <c r="D71" s="15" t="s">
        <v>37</v>
      </c>
      <c r="E71" s="6">
        <f t="shared" si="5"/>
        <v>10.072699488578598</v>
      </c>
      <c r="H71" t="s">
        <v>42</v>
      </c>
      <c r="I71" t="s">
        <v>43</v>
      </c>
      <c r="J71" t="s">
        <v>44</v>
      </c>
      <c r="L71" t="s">
        <v>42</v>
      </c>
      <c r="M71" t="s">
        <v>43</v>
      </c>
      <c r="N71" t="s">
        <v>44</v>
      </c>
    </row>
    <row r="72" spans="1:15" x14ac:dyDescent="0.3">
      <c r="A72" s="16"/>
      <c r="B72" s="17"/>
      <c r="C72" s="17"/>
      <c r="D72" s="17"/>
      <c r="H72">
        <v>0</v>
      </c>
      <c r="I72" s="4">
        <f t="shared" ref="I72:I77" si="6">C76/D76</f>
        <v>0.66666666666666663</v>
      </c>
      <c r="J72" s="4">
        <f t="shared" ref="J72:J77" si="7">C82/D82</f>
        <v>0.85</v>
      </c>
      <c r="L72">
        <v>0</v>
      </c>
      <c r="M72" s="19">
        <f>LN((H80*G12)/(1-H80))/4</f>
        <v>-0.21019579484150244</v>
      </c>
      <c r="N72" s="19">
        <f>LN((H86*G18)/(1-H86))/4</f>
        <v>-0.21391652751443005</v>
      </c>
      <c r="O72" t="s">
        <v>45</v>
      </c>
    </row>
    <row r="73" spans="1:15" x14ac:dyDescent="0.3">
      <c r="H73">
        <v>0.05</v>
      </c>
      <c r="I73" s="4">
        <f t="shared" si="6"/>
        <v>2</v>
      </c>
      <c r="J73" s="4">
        <f t="shared" si="7"/>
        <v>0.18518518518518517</v>
      </c>
      <c r="L73">
        <v>0.05</v>
      </c>
      <c r="M73" s="19">
        <f>LN((H81*G13)/(1-H81))/4</f>
        <v>5.763091465295804E-2</v>
      </c>
      <c r="N73" s="19">
        <f>LN((H87*G19)/(1-H87))/4</f>
        <v>-0.58059693007255631</v>
      </c>
    </row>
    <row r="74" spans="1:15" x14ac:dyDescent="0.3">
      <c r="A74" t="s">
        <v>46</v>
      </c>
      <c r="G74" t="s">
        <v>47</v>
      </c>
      <c r="H74">
        <v>0.1</v>
      </c>
      <c r="I74" s="4">
        <f t="shared" si="6"/>
        <v>122.22222222222223</v>
      </c>
      <c r="J74" s="4">
        <f t="shared" si="7"/>
        <v>0.4</v>
      </c>
      <c r="L74">
        <v>0.1</v>
      </c>
      <c r="M74" s="19">
        <f>LN((H82*G14)/(1-H82))/4</f>
        <v>1.1616940467051373</v>
      </c>
      <c r="N74" s="19">
        <f>LN((H88*G20)/(1-H88))/4</f>
        <v>-0.45814536593707755</v>
      </c>
    </row>
    <row r="75" spans="1:15" ht="15.6" x14ac:dyDescent="0.3">
      <c r="A75" s="12" t="s">
        <v>32</v>
      </c>
      <c r="B75" s="13" t="s">
        <v>33</v>
      </c>
      <c r="C75" s="13" t="s">
        <v>34</v>
      </c>
      <c r="D75" s="13" t="s">
        <v>35</v>
      </c>
      <c r="F75" s="20"/>
      <c r="H75">
        <v>0.25</v>
      </c>
      <c r="I75" s="4">
        <f t="shared" si="6"/>
        <v>100000</v>
      </c>
      <c r="J75" s="4">
        <f t="shared" si="7"/>
        <v>0.99875156054931336</v>
      </c>
      <c r="L75">
        <v>0.25</v>
      </c>
      <c r="M75" s="19">
        <f>LN((H83*G15)/(1-H83))/4</f>
        <v>2.7177678947008226</v>
      </c>
      <c r="N75" s="19">
        <f>LN((H89*G21)/(1-H89))/4</f>
        <v>-0.15184625574268684</v>
      </c>
    </row>
    <row r="76" spans="1:15" x14ac:dyDescent="0.3">
      <c r="A76" t="s">
        <v>19</v>
      </c>
      <c r="B76" s="15">
        <f>AVERAGE(5,6)*100000000</f>
        <v>550000000</v>
      </c>
      <c r="C76" s="15">
        <f>AVERAGE(2)*100000000</f>
        <v>200000000</v>
      </c>
      <c r="D76" s="15">
        <f>AVERAGE(3)*100000000</f>
        <v>300000000</v>
      </c>
      <c r="E76" s="6">
        <f t="shared" ref="E76:E87" si="8">LOG10(B76/((B60)/1000))/LOG(2)</f>
        <v>9.1521974088929685</v>
      </c>
      <c r="F76" s="20"/>
      <c r="H76">
        <v>0.5</v>
      </c>
      <c r="I76" s="4">
        <f t="shared" si="6"/>
        <v>70000000</v>
      </c>
      <c r="J76" s="4">
        <f t="shared" si="7"/>
        <v>10344827.586206896</v>
      </c>
      <c r="L76">
        <v>0.5</v>
      </c>
      <c r="M76" s="19">
        <f>LN((H84*G16)/(1-H84))/4</f>
        <v>4.3093318071532325</v>
      </c>
      <c r="N76" s="19">
        <f>LN((H90*G22)/(1-H90))/4</f>
        <v>3.8383723765440569</v>
      </c>
    </row>
    <row r="77" spans="1:15" x14ac:dyDescent="0.3">
      <c r="A77" t="s">
        <v>20</v>
      </c>
      <c r="B77" s="15">
        <f>AVERAGE(11,7,13)*100000000</f>
        <v>1033333333.3333334</v>
      </c>
      <c r="C77" s="15">
        <f>AVERAGE(4)*100000000</f>
        <v>400000000</v>
      </c>
      <c r="D77" s="15">
        <f>AVERAGE(2)*100000000</f>
        <v>200000000</v>
      </c>
      <c r="E77" s="6">
        <f t="shared" si="8"/>
        <v>11.112625672991358</v>
      </c>
      <c r="F77" s="20"/>
      <c r="H77">
        <v>1</v>
      </c>
      <c r="I77" s="4">
        <f t="shared" si="6"/>
        <v>80000000</v>
      </c>
      <c r="J77" s="4">
        <f t="shared" si="7"/>
        <v>30000000</v>
      </c>
      <c r="L77">
        <v>1</v>
      </c>
      <c r="M77" s="19">
        <f>LN((H85*G17)/(1-H85))/4</f>
        <v>4.4067480841574493</v>
      </c>
      <c r="N77" s="19">
        <f>LN((H91*G23)/(1-H91))/4</f>
        <v>4.1885211045445079</v>
      </c>
    </row>
    <row r="78" spans="1:15" x14ac:dyDescent="0.3">
      <c r="A78" t="s">
        <v>21</v>
      </c>
      <c r="B78" s="15">
        <f>AVERAGE(11,14,10)*100000000</f>
        <v>1166666666.6666665</v>
      </c>
      <c r="C78" s="15">
        <f>AVERAGE(11)*100000000</f>
        <v>1100000000</v>
      </c>
      <c r="D78" s="15">
        <f>AVERAGE(9)*1000000</f>
        <v>9000000</v>
      </c>
      <c r="E78" s="6">
        <f t="shared" si="8"/>
        <v>10.237086306479481</v>
      </c>
      <c r="F78" s="20"/>
      <c r="G78" s="21" t="s">
        <v>48</v>
      </c>
      <c r="H78" s="21"/>
    </row>
    <row r="79" spans="1:15" x14ac:dyDescent="0.3">
      <c r="A79" t="s">
        <v>22</v>
      </c>
      <c r="B79" s="15">
        <f>AVERAGE(12,12,6)*100000000</f>
        <v>1000000000</v>
      </c>
      <c r="C79" s="15">
        <f>AVERAGE(11)*100000000</f>
        <v>1100000000</v>
      </c>
      <c r="D79" s="15">
        <f>AVERAGE(1.1)*10000</f>
        <v>11000</v>
      </c>
      <c r="E79" s="6">
        <f t="shared" si="8"/>
        <v>9.144754425707406</v>
      </c>
      <c r="F79" s="22" t="s">
        <v>49</v>
      </c>
      <c r="G79" s="23" t="s">
        <v>50</v>
      </c>
      <c r="H79" t="s">
        <v>51</v>
      </c>
      <c r="J79" t="s">
        <v>17</v>
      </c>
    </row>
    <row r="80" spans="1:15" x14ac:dyDescent="0.3">
      <c r="A80" t="s">
        <v>23</v>
      </c>
      <c r="B80" s="15">
        <f>AVERAGE(9,7,8)*100000000</f>
        <v>800000000</v>
      </c>
      <c r="C80" s="15">
        <f>AVERAGE(7)*100000000</f>
        <v>700000000</v>
      </c>
      <c r="D80" s="15">
        <v>10</v>
      </c>
      <c r="E80" s="6">
        <f t="shared" si="8"/>
        <v>10.027184829326229</v>
      </c>
      <c r="F80" s="22" t="s">
        <v>19</v>
      </c>
      <c r="G80" s="24">
        <f t="shared" ref="G80:G91" si="9">SUM(E76,E60,E44,E28)</f>
        <v>42.422104430836562</v>
      </c>
      <c r="H80" s="7">
        <f t="shared" ref="H80:H91" si="10">C76/(C76+D76)</f>
        <v>0.4</v>
      </c>
      <c r="J80" s="7">
        <f>1-H80</f>
        <v>0.6</v>
      </c>
    </row>
    <row r="81" spans="1:10" x14ac:dyDescent="0.3">
      <c r="A81" t="s">
        <v>24</v>
      </c>
      <c r="B81" s="15">
        <f>AVERAGE(3,7,6)*100000000</f>
        <v>533333333.33333331</v>
      </c>
      <c r="C81" s="15">
        <f>AVERAGE(8)*100000000</f>
        <v>800000000</v>
      </c>
      <c r="D81" s="15">
        <v>10</v>
      </c>
      <c r="E81" s="6">
        <f t="shared" si="8"/>
        <v>9.1584293626044833</v>
      </c>
      <c r="F81" s="22" t="s">
        <v>20</v>
      </c>
      <c r="G81" s="24">
        <f t="shared" si="9"/>
        <v>43.094867424564136</v>
      </c>
      <c r="H81" s="7">
        <f t="shared" si="10"/>
        <v>0.66666666666666663</v>
      </c>
      <c r="J81" s="7">
        <f t="shared" ref="J81:J91" si="11">1-H81</f>
        <v>0.33333333333333337</v>
      </c>
    </row>
    <row r="82" spans="1:10" x14ac:dyDescent="0.3">
      <c r="A82" t="s">
        <v>25</v>
      </c>
      <c r="B82" s="15">
        <f>AVERAGE(6,1,3)*100000000</f>
        <v>333333333.33333337</v>
      </c>
      <c r="C82" s="15">
        <f>AVERAGE(7,10)*100000000</f>
        <v>850000000</v>
      </c>
      <c r="D82" s="15">
        <f>AVERAGE(10)*100000000</f>
        <v>1000000000</v>
      </c>
      <c r="E82" s="6">
        <f t="shared" si="8"/>
        <v>8.4297313844218777</v>
      </c>
      <c r="F82" s="22" t="s">
        <v>21</v>
      </c>
      <c r="G82" s="24">
        <f t="shared" si="9"/>
        <v>43.407457654872161</v>
      </c>
      <c r="H82" s="7">
        <f t="shared" si="10"/>
        <v>0.99188458070333629</v>
      </c>
      <c r="J82" s="7">
        <f t="shared" si="11"/>
        <v>8.1154192966637062E-3</v>
      </c>
    </row>
    <row r="83" spans="1:10" x14ac:dyDescent="0.3">
      <c r="A83" t="s">
        <v>26</v>
      </c>
      <c r="B83" s="15">
        <f>AVERAGE(9,4,5)*100000000</f>
        <v>600000000</v>
      </c>
      <c r="C83" s="15">
        <f>AVERAGE(1,0.5)*100000000</f>
        <v>75000000</v>
      </c>
      <c r="D83" s="15">
        <f>AVERAGE(4,4.1)*100000000</f>
        <v>405000000</v>
      </c>
      <c r="E83" s="6">
        <f t="shared" si="8"/>
        <v>10.328354364046794</v>
      </c>
      <c r="F83" s="22" t="s">
        <v>22</v>
      </c>
      <c r="G83" s="24">
        <f t="shared" si="9"/>
        <v>44.091955829144226</v>
      </c>
      <c r="H83" s="7">
        <f t="shared" si="10"/>
        <v>0.99999000009999905</v>
      </c>
      <c r="J83" s="7">
        <f t="shared" si="11"/>
        <v>9.9999000009454164E-6</v>
      </c>
    </row>
    <row r="84" spans="1:10" x14ac:dyDescent="0.3">
      <c r="A84" t="s">
        <v>27</v>
      </c>
      <c r="B84" s="15">
        <f>AVERAGE(6,4,1)*100000000</f>
        <v>366666666.66666663</v>
      </c>
      <c r="C84" s="15">
        <f>AVERAGE(2)*100000000</f>
        <v>200000000</v>
      </c>
      <c r="D84" s="15">
        <f>AVERAGE(5)*100000000</f>
        <v>500000000</v>
      </c>
      <c r="E84" s="6">
        <f t="shared" si="8"/>
        <v>8.5672349081718124</v>
      </c>
      <c r="F84" s="22" t="s">
        <v>23</v>
      </c>
      <c r="G84" s="24">
        <f t="shared" si="9"/>
        <v>42.912046739129288</v>
      </c>
      <c r="H84" s="7">
        <f t="shared" si="10"/>
        <v>0.99999998571428594</v>
      </c>
      <c r="J84" s="7">
        <f t="shared" si="11"/>
        <v>1.4285714056150312E-8</v>
      </c>
    </row>
    <row r="85" spans="1:10" x14ac:dyDescent="0.3">
      <c r="A85" t="s">
        <v>28</v>
      </c>
      <c r="B85" s="15">
        <f>AVERAGE(6,7,7)*100000000</f>
        <v>666666666.66666675</v>
      </c>
      <c r="C85" s="15">
        <f>AVERAGE(4)*100000000</f>
        <v>400000000</v>
      </c>
      <c r="D85" s="15">
        <f>AVERAGE(4,4.01)*100000000</f>
        <v>400500000</v>
      </c>
      <c r="E85" s="6">
        <f t="shared" si="8"/>
        <v>8.55979192498625</v>
      </c>
      <c r="F85" s="22" t="s">
        <v>24</v>
      </c>
      <c r="G85" s="24">
        <f t="shared" si="9"/>
        <v>43.097602392285374</v>
      </c>
      <c r="H85" s="7">
        <f t="shared" si="10"/>
        <v>0.99999998750000019</v>
      </c>
      <c r="J85" s="7">
        <f t="shared" si="11"/>
        <v>1.249999981300931E-8</v>
      </c>
    </row>
    <row r="86" spans="1:10" x14ac:dyDescent="0.3">
      <c r="A86" t="s">
        <v>29</v>
      </c>
      <c r="B86" s="15">
        <f>AVERAGE(4,5,2)*100000000</f>
        <v>366666666.66666663</v>
      </c>
      <c r="C86" s="15">
        <f>AVERAGE(3)*100000000</f>
        <v>300000000</v>
      </c>
      <c r="D86" s="15">
        <v>29</v>
      </c>
      <c r="E86" s="6">
        <f t="shared" si="8"/>
        <v>8.9016539472423695</v>
      </c>
      <c r="F86" s="22" t="s">
        <v>25</v>
      </c>
      <c r="G86" s="24">
        <f t="shared" si="9"/>
        <v>41.863137138648348</v>
      </c>
      <c r="H86" s="7">
        <f t="shared" si="10"/>
        <v>0.45945945945945948</v>
      </c>
      <c r="J86" s="7">
        <f t="shared" si="11"/>
        <v>0.54054054054054057</v>
      </c>
    </row>
    <row r="87" spans="1:10" x14ac:dyDescent="0.3">
      <c r="A87" t="s">
        <v>30</v>
      </c>
      <c r="B87" s="15">
        <f>AVERAGE(2,4,5)*100000000</f>
        <v>366666666.66666663</v>
      </c>
      <c r="C87" s="15">
        <f>AVERAGE(3)*100000000</f>
        <v>300000000</v>
      </c>
      <c r="D87" s="15">
        <v>10</v>
      </c>
      <c r="E87" s="6">
        <f t="shared" si="8"/>
        <v>8.6178609812417797</v>
      </c>
      <c r="F87" s="22" t="s">
        <v>26</v>
      </c>
      <c r="G87" s="24">
        <f t="shared" si="9"/>
        <v>43.033062140090664</v>
      </c>
      <c r="H87" s="7">
        <f t="shared" si="10"/>
        <v>0.15625</v>
      </c>
      <c r="J87" s="7">
        <f t="shared" si="11"/>
        <v>0.84375</v>
      </c>
    </row>
    <row r="88" spans="1:10" x14ac:dyDescent="0.3">
      <c r="F88" s="22" t="s">
        <v>27</v>
      </c>
      <c r="G88" s="24">
        <f t="shared" si="9"/>
        <v>42.396569338729421</v>
      </c>
      <c r="H88" s="7">
        <f t="shared" si="10"/>
        <v>0.2857142857142857</v>
      </c>
      <c r="J88" s="7">
        <f t="shared" si="11"/>
        <v>0.7142857142857143</v>
      </c>
    </row>
    <row r="89" spans="1:10" x14ac:dyDescent="0.3">
      <c r="F89" s="22" t="s">
        <v>28</v>
      </c>
      <c r="G89" s="24">
        <f t="shared" si="9"/>
        <v>42.114675905644319</v>
      </c>
      <c r="H89" s="7">
        <f t="shared" si="10"/>
        <v>0.49968769519050593</v>
      </c>
      <c r="J89" s="7">
        <f t="shared" si="11"/>
        <v>0.50031230480949407</v>
      </c>
    </row>
    <row r="90" spans="1:10" ht="15.6" x14ac:dyDescent="0.3">
      <c r="B90" s="25"/>
      <c r="C90" s="25"/>
      <c r="D90" s="25"/>
      <c r="E90" s="25"/>
      <c r="F90" s="22" t="s">
        <v>29</v>
      </c>
      <c r="G90" s="24">
        <f t="shared" si="9"/>
        <v>42.000640662398283</v>
      </c>
      <c r="H90" s="26">
        <f t="shared" si="10"/>
        <v>0.99999990333334265</v>
      </c>
      <c r="J90" s="7">
        <f t="shared" si="11"/>
        <v>9.6666657345423346E-8</v>
      </c>
    </row>
    <row r="91" spans="1:10" ht="15.6" x14ac:dyDescent="0.3">
      <c r="A91" s="1"/>
      <c r="B91" s="1"/>
      <c r="C91" s="1"/>
      <c r="D91" s="1"/>
      <c r="E91" s="1"/>
      <c r="F91" s="22" t="s">
        <v>30</v>
      </c>
      <c r="G91" s="24">
        <f t="shared" si="9"/>
        <v>41.644496852173006</v>
      </c>
      <c r="H91" s="26">
        <f t="shared" si="10"/>
        <v>0.99999996666666779</v>
      </c>
      <c r="J91" s="7">
        <f t="shared" si="11"/>
        <v>3.3333332205565114E-8</v>
      </c>
    </row>
    <row r="92" spans="1:10" x14ac:dyDescent="0.3">
      <c r="B92" s="4"/>
      <c r="C92" s="4"/>
      <c r="D92" s="4"/>
      <c r="E92" s="4"/>
      <c r="G92" s="6">
        <f>AVERAGE(G80:G91)</f>
        <v>42.673218042376313</v>
      </c>
    </row>
    <row r="93" spans="1:10" x14ac:dyDescent="0.3">
      <c r="B93" s="4"/>
      <c r="C93" s="4"/>
      <c r="D93" s="4"/>
      <c r="E93" s="4"/>
    </row>
    <row r="94" spans="1:10" s="3" customFormat="1" ht="21" x14ac:dyDescent="0.4">
      <c r="A94" s="41" t="s">
        <v>52</v>
      </c>
    </row>
    <row r="95" spans="1:10" ht="15.6" x14ac:dyDescent="0.3">
      <c r="A95" s="27" t="s">
        <v>12</v>
      </c>
      <c r="B95" s="28" t="s">
        <v>13</v>
      </c>
      <c r="C95" s="28" t="s">
        <v>9</v>
      </c>
      <c r="D95" s="28" t="s">
        <v>11</v>
      </c>
      <c r="E95" s="28" t="s">
        <v>14</v>
      </c>
      <c r="F95" s="28" t="s">
        <v>15</v>
      </c>
      <c r="G95" s="29" t="s">
        <v>54</v>
      </c>
      <c r="I95" t="s">
        <v>17</v>
      </c>
    </row>
    <row r="96" spans="1:10" x14ac:dyDescent="0.3">
      <c r="A96" s="28" t="s">
        <v>18</v>
      </c>
      <c r="B96" s="28"/>
      <c r="C96" s="28"/>
      <c r="D96" s="28"/>
      <c r="E96" s="28"/>
      <c r="F96" s="28"/>
      <c r="G96" s="21"/>
    </row>
    <row r="97" spans="1:9" x14ac:dyDescent="0.3">
      <c r="A97" s="28" t="s">
        <v>19</v>
      </c>
      <c r="B97" s="30">
        <f>AVERAGE(8,3,3)*10000</f>
        <v>46666.666666666672</v>
      </c>
      <c r="C97" s="30">
        <f>AVERAGE(1,1,0)*10000</f>
        <v>6666.6666666666661</v>
      </c>
      <c r="D97" s="30">
        <f>AVERAGE(3,3,4)*10000</f>
        <v>33333.333333333336</v>
      </c>
      <c r="E97" s="31">
        <f>C97/D97</f>
        <v>0.19999999999999996</v>
      </c>
      <c r="F97" s="31">
        <f>D97/C97</f>
        <v>5.0000000000000009</v>
      </c>
      <c r="G97" s="7">
        <f>C97/(C97+D97)</f>
        <v>0.16666666666666666</v>
      </c>
      <c r="H97" s="4"/>
      <c r="I97" s="7">
        <f>1-G97</f>
        <v>0.83333333333333337</v>
      </c>
    </row>
    <row r="98" spans="1:9" s="3" customFormat="1" ht="13.8" customHeight="1" x14ac:dyDescent="0.3">
      <c r="A98" s="28" t="s">
        <v>20</v>
      </c>
      <c r="B98" s="30">
        <f>AVERAGE(7,5,8)*10000</f>
        <v>66666.666666666672</v>
      </c>
      <c r="C98" s="30">
        <f>AVERAGE(1,2,1)*10000</f>
        <v>13333.333333333332</v>
      </c>
      <c r="D98" s="30">
        <f>AVERAGE(4,3,5)*10000</f>
        <v>40000</v>
      </c>
      <c r="E98" s="31">
        <f t="shared" ref="E98:E108" si="12">C98/D98</f>
        <v>0.33333333333333331</v>
      </c>
      <c r="F98" s="31">
        <f>D98/C98</f>
        <v>3.0000000000000004</v>
      </c>
      <c r="G98" s="7">
        <f t="shared" ref="G98:G109" si="13">C98/(C98+D98)</f>
        <v>0.25</v>
      </c>
      <c r="H98" s="32"/>
      <c r="I98" s="7">
        <f t="shared" ref="I98:I109" si="14">1-G98</f>
        <v>0.75</v>
      </c>
    </row>
    <row r="99" spans="1:9" s="28" customFormat="1" ht="13.8" customHeight="1" x14ac:dyDescent="0.3">
      <c r="A99" s="28" t="s">
        <v>21</v>
      </c>
      <c r="B99" s="30">
        <f>AVERAGE(5,4,8)*10000</f>
        <v>56666.666666666672</v>
      </c>
      <c r="C99" s="30">
        <f>AVERAGE(2,2,3)*10000</f>
        <v>23333.333333333336</v>
      </c>
      <c r="D99" s="30">
        <f>AVERAGE(4,2,2)*10000</f>
        <v>26666.666666666664</v>
      </c>
      <c r="E99" s="31">
        <f t="shared" si="12"/>
        <v>0.87500000000000022</v>
      </c>
      <c r="F99" s="31">
        <f>D99/C99</f>
        <v>1.1428571428571426</v>
      </c>
      <c r="G99" s="7">
        <f t="shared" si="13"/>
        <v>0.46666666666666673</v>
      </c>
      <c r="H99" s="30"/>
      <c r="I99" s="7">
        <f t="shared" si="14"/>
        <v>0.53333333333333321</v>
      </c>
    </row>
    <row r="100" spans="1:9" s="28" customFormat="1" ht="13.8" customHeight="1" x14ac:dyDescent="0.3">
      <c r="A100" s="28" t="s">
        <v>22</v>
      </c>
      <c r="B100" s="30">
        <f>AVERAGE(2,7,3)*10000</f>
        <v>40000</v>
      </c>
      <c r="C100" s="30">
        <f>AVERAGE(1,1,3)*10000</f>
        <v>16666.666666666668</v>
      </c>
      <c r="D100" s="30">
        <f>AVERAGE(3,3,7)*10000</f>
        <v>43333.333333333328</v>
      </c>
      <c r="E100" s="31">
        <f t="shared" si="12"/>
        <v>0.38461538461538469</v>
      </c>
      <c r="F100" s="31">
        <f t="shared" ref="F100:F109" si="15">D100/C100</f>
        <v>2.5999999999999996</v>
      </c>
      <c r="G100" s="7">
        <f t="shared" si="13"/>
        <v>0.27777777777777779</v>
      </c>
      <c r="H100" s="30"/>
      <c r="I100" s="7">
        <f t="shared" si="14"/>
        <v>0.72222222222222221</v>
      </c>
    </row>
    <row r="101" spans="1:9" s="28" customFormat="1" ht="13.8" customHeight="1" x14ac:dyDescent="0.3">
      <c r="A101" s="28" t="s">
        <v>23</v>
      </c>
      <c r="B101" s="30">
        <f>AVERAGE(7,8,11)*10000</f>
        <v>86666.666666666657</v>
      </c>
      <c r="C101" s="30">
        <f>AVERAGE(1,2,1)*10000</f>
        <v>13333.333333333332</v>
      </c>
      <c r="D101" s="30">
        <f>AVERAGE(9,9,12)*10000</f>
        <v>100000</v>
      </c>
      <c r="E101" s="31">
        <f t="shared" si="12"/>
        <v>0.13333333333333333</v>
      </c>
      <c r="F101" s="31">
        <f t="shared" si="15"/>
        <v>7.5000000000000009</v>
      </c>
      <c r="G101" s="7">
        <f t="shared" si="13"/>
        <v>0.11764705882352941</v>
      </c>
      <c r="H101" s="30"/>
      <c r="I101" s="7">
        <f t="shared" si="14"/>
        <v>0.88235294117647056</v>
      </c>
    </row>
    <row r="102" spans="1:9" s="28" customFormat="1" ht="13.8" customHeight="1" x14ac:dyDescent="0.3">
      <c r="A102" s="28" t="s">
        <v>24</v>
      </c>
      <c r="B102" s="30">
        <f>AVERAGE(8,7,10)*10000</f>
        <v>83333.333333333343</v>
      </c>
      <c r="C102" s="30">
        <f>AVERAGE(1,0,1)*10000</f>
        <v>6666.6666666666661</v>
      </c>
      <c r="D102" s="30">
        <f>AVERAGE(7,11,5)*10000</f>
        <v>76666.666666666672</v>
      </c>
      <c r="E102" s="31">
        <f t="shared" si="12"/>
        <v>8.6956521739130418E-2</v>
      </c>
      <c r="F102" s="31">
        <f t="shared" si="15"/>
        <v>11.500000000000002</v>
      </c>
      <c r="G102" s="7">
        <f t="shared" si="13"/>
        <v>7.9999999999999988E-2</v>
      </c>
      <c r="H102" s="30"/>
      <c r="I102" s="7">
        <f t="shared" si="14"/>
        <v>0.92</v>
      </c>
    </row>
    <row r="103" spans="1:9" s="28" customFormat="1" ht="13.8" customHeight="1" x14ac:dyDescent="0.3">
      <c r="A103" s="28" t="s">
        <v>25</v>
      </c>
      <c r="B103" s="30">
        <f>AVERAGE(12,4,11)*10000</f>
        <v>90000</v>
      </c>
      <c r="C103" s="30">
        <f>AVERAGE(0.7,1.2)*10000</f>
        <v>9500</v>
      </c>
      <c r="D103" s="30">
        <f>AVERAGE(4,6,8)*10000</f>
        <v>60000</v>
      </c>
      <c r="E103" s="31">
        <f t="shared" si="12"/>
        <v>0.15833333333333333</v>
      </c>
      <c r="F103" s="31">
        <f t="shared" si="15"/>
        <v>6.3157894736842106</v>
      </c>
      <c r="G103" s="7">
        <f t="shared" si="13"/>
        <v>0.1366906474820144</v>
      </c>
      <c r="H103" s="30"/>
      <c r="I103" s="7">
        <f t="shared" si="14"/>
        <v>0.86330935251798557</v>
      </c>
    </row>
    <row r="104" spans="1:9" s="28" customFormat="1" ht="13.8" customHeight="1" x14ac:dyDescent="0.3">
      <c r="A104" s="28" t="s">
        <v>26</v>
      </c>
      <c r="B104" s="30">
        <f>AVERAGE(13,14,13)*10000</f>
        <v>133333.33333333334</v>
      </c>
      <c r="C104" s="30">
        <f>AVERAGE(0.7,1.3,1,1)*10000</f>
        <v>10000</v>
      </c>
      <c r="D104" s="30">
        <f>AVERAGE(8,17,15)*10000</f>
        <v>133333.33333333334</v>
      </c>
      <c r="E104" s="31">
        <f t="shared" si="12"/>
        <v>7.4999999999999997E-2</v>
      </c>
      <c r="F104" s="31">
        <f t="shared" si="15"/>
        <v>13.333333333333334</v>
      </c>
      <c r="G104" s="7">
        <f t="shared" si="13"/>
        <v>6.9767441860465115E-2</v>
      </c>
      <c r="H104" s="30"/>
      <c r="I104" s="7">
        <f t="shared" si="14"/>
        <v>0.93023255813953487</v>
      </c>
    </row>
    <row r="105" spans="1:9" s="28" customFormat="1" ht="13.8" customHeight="1" x14ac:dyDescent="0.3">
      <c r="A105" s="28" t="s">
        <v>27</v>
      </c>
      <c r="B105" s="30">
        <f>AVERAGE(12,17,13)*10000</f>
        <v>140000</v>
      </c>
      <c r="C105" s="30">
        <f>AVERAGE(0.8,1.1)*10000</f>
        <v>9500</v>
      </c>
      <c r="D105" s="30">
        <f>AVERAGE(8,6,20)*10000</f>
        <v>113333.33333333334</v>
      </c>
      <c r="E105" s="31">
        <f t="shared" si="12"/>
        <v>8.38235294117647E-2</v>
      </c>
      <c r="F105" s="31">
        <f t="shared" si="15"/>
        <v>11.92982456140351</v>
      </c>
      <c r="G105" s="7">
        <f t="shared" si="13"/>
        <v>7.7340569877883306E-2</v>
      </c>
      <c r="H105" s="30"/>
      <c r="I105" s="7">
        <f t="shared" si="14"/>
        <v>0.92265943012211671</v>
      </c>
    </row>
    <row r="106" spans="1:9" s="28" customFormat="1" ht="13.8" customHeight="1" x14ac:dyDescent="0.3">
      <c r="A106" s="28" t="s">
        <v>28</v>
      </c>
      <c r="B106" s="30">
        <f>AVERAGE(7,4,4)*10000</f>
        <v>50000</v>
      </c>
      <c r="C106" s="30">
        <f>AVERAGE(0.8,0.9)*10000</f>
        <v>8500</v>
      </c>
      <c r="D106" s="30">
        <f>AVERAGE(8,7,9)*10000</f>
        <v>80000</v>
      </c>
      <c r="E106" s="31">
        <f t="shared" si="12"/>
        <v>0.10625</v>
      </c>
      <c r="F106" s="31">
        <f t="shared" si="15"/>
        <v>9.4117647058823533</v>
      </c>
      <c r="G106" s="7">
        <f t="shared" si="13"/>
        <v>9.6045197740112997E-2</v>
      </c>
      <c r="H106" s="30"/>
      <c r="I106" s="7">
        <f t="shared" si="14"/>
        <v>0.903954802259887</v>
      </c>
    </row>
    <row r="107" spans="1:9" s="28" customFormat="1" ht="13.8" customHeight="1" x14ac:dyDescent="0.3">
      <c r="A107" s="28" t="s">
        <v>29</v>
      </c>
      <c r="B107" s="30">
        <f>AVERAGE(6,9,7)*10000</f>
        <v>73333.333333333328</v>
      </c>
      <c r="C107" s="30">
        <f>AVERAGE(0.7,0.4)*10000</f>
        <v>5500</v>
      </c>
      <c r="D107" s="30">
        <f>AVERAGE(4,4,5)*10000</f>
        <v>43333.333333333328</v>
      </c>
      <c r="E107" s="31">
        <f t="shared" si="12"/>
        <v>0.12692307692307694</v>
      </c>
      <c r="F107" s="31">
        <f t="shared" si="15"/>
        <v>7.878787878787878</v>
      </c>
      <c r="G107" s="7">
        <f t="shared" si="13"/>
        <v>0.11262798634812288</v>
      </c>
      <c r="H107" s="30"/>
      <c r="I107" s="7">
        <f t="shared" si="14"/>
        <v>0.88737201365187712</v>
      </c>
    </row>
    <row r="108" spans="1:9" s="28" customFormat="1" ht="13.8" customHeight="1" x14ac:dyDescent="0.3">
      <c r="A108" s="28" t="s">
        <v>30</v>
      </c>
      <c r="B108" s="30">
        <f>AVERAGE(5,10,5)*10000</f>
        <v>66666.666666666672</v>
      </c>
      <c r="C108" s="30">
        <f>AVERAGE(0.8,0.7,1)*10000</f>
        <v>8333.3333333333339</v>
      </c>
      <c r="D108" s="30">
        <f>AVERAGE(5,6,11)*10000</f>
        <v>73333.333333333328</v>
      </c>
      <c r="E108" s="31">
        <f t="shared" si="12"/>
        <v>0.11363636363636365</v>
      </c>
      <c r="F108" s="31">
        <f t="shared" si="15"/>
        <v>8.7999999999999989</v>
      </c>
      <c r="G108" s="7">
        <f t="shared" si="13"/>
        <v>0.10204081632653063</v>
      </c>
      <c r="H108" s="30"/>
      <c r="I108" s="7">
        <f t="shared" si="14"/>
        <v>0.89795918367346939</v>
      </c>
    </row>
    <row r="109" spans="1:9" s="28" customFormat="1" ht="13.8" customHeight="1" x14ac:dyDescent="0.3">
      <c r="A109" s="33" t="s">
        <v>55</v>
      </c>
      <c r="B109" s="34">
        <f>AVERAGE(B97:B108)</f>
        <v>77777.777777777781</v>
      </c>
      <c r="C109" s="34">
        <f>AVERAGE(C97:C108)</f>
        <v>10944.444444444445</v>
      </c>
      <c r="D109" s="34">
        <f>AVERAGE(D97:D108)</f>
        <v>68611.111111111124</v>
      </c>
      <c r="E109" s="35">
        <f>C109/D109</f>
        <v>0.15951417004048582</v>
      </c>
      <c r="F109" s="35">
        <f t="shared" si="15"/>
        <v>6.2690355329949243</v>
      </c>
      <c r="G109" s="7">
        <f t="shared" si="13"/>
        <v>0.13756983240223464</v>
      </c>
      <c r="H109" s="30"/>
      <c r="I109" s="7">
        <f t="shared" si="14"/>
        <v>0.86243016759776536</v>
      </c>
    </row>
    <row r="110" spans="1:9" s="28" customFormat="1" ht="13.8" customHeight="1" x14ac:dyDescent="0.3"/>
    <row r="111" spans="1:9" s="28" customFormat="1" ht="13.8" customHeight="1" x14ac:dyDescent="0.3"/>
    <row r="112" spans="1:9" s="28" customFormat="1" ht="13.8" customHeight="1" x14ac:dyDescent="0.3"/>
    <row r="113" spans="1:6" s="28" customFormat="1" x14ac:dyDescent="0.3">
      <c r="A113" t="s">
        <v>31</v>
      </c>
      <c r="B113"/>
      <c r="C113"/>
      <c r="D113"/>
      <c r="E113"/>
      <c r="F113"/>
    </row>
    <row r="114" spans="1:6" s="28" customFormat="1" ht="15.6" x14ac:dyDescent="0.3">
      <c r="A114" s="12" t="s">
        <v>32</v>
      </c>
      <c r="B114" s="13" t="s">
        <v>33</v>
      </c>
      <c r="C114" s="13" t="s">
        <v>34</v>
      </c>
      <c r="D114" s="13" t="s">
        <v>35</v>
      </c>
      <c r="E114" s="14" t="s">
        <v>36</v>
      </c>
      <c r="F114"/>
    </row>
    <row r="115" spans="1:6" s="28" customFormat="1" x14ac:dyDescent="0.3">
      <c r="A115" t="s">
        <v>19</v>
      </c>
      <c r="B115" s="15">
        <f>AVERAGE(2,7,8)*100000000</f>
        <v>566666666.66666675</v>
      </c>
      <c r="C115" s="15" t="s">
        <v>37</v>
      </c>
      <c r="D115" s="15" t="s">
        <v>37</v>
      </c>
      <c r="E115" s="6">
        <f>LOG10(B115/B97)/LOG10(2)</f>
        <v>13.567820298742184</v>
      </c>
      <c r="F115"/>
    </row>
    <row r="116" spans="1:6" s="28" customFormat="1" x14ac:dyDescent="0.3">
      <c r="A116" t="s">
        <v>20</v>
      </c>
      <c r="B116" s="15">
        <f>AVERAGE(9,14,8)*100000000</f>
        <v>1033333333.3333334</v>
      </c>
      <c r="C116" s="15" t="s">
        <v>37</v>
      </c>
      <c r="D116" s="15" t="s">
        <v>37</v>
      </c>
      <c r="E116" s="6">
        <f t="shared" ref="E116:E126" si="16">LOG10(B116/B98)/LOG10(2)</f>
        <v>13.919980595048964</v>
      </c>
      <c r="F116"/>
    </row>
    <row r="117" spans="1:6" x14ac:dyDescent="0.3">
      <c r="A117" t="s">
        <v>21</v>
      </c>
      <c r="B117" s="15">
        <f>AVERAGE(8,8,5)*100000000</f>
        <v>700000000</v>
      </c>
      <c r="C117" s="15" t="s">
        <v>37</v>
      </c>
      <c r="D117" s="15" t="s">
        <v>37</v>
      </c>
      <c r="E117" s="6">
        <f t="shared" si="16"/>
        <v>13.592566961077871</v>
      </c>
    </row>
    <row r="118" spans="1:6" x14ac:dyDescent="0.3">
      <c r="A118" t="s">
        <v>22</v>
      </c>
      <c r="B118" s="15">
        <f>AVERAGE(2,3,5)*100000000</f>
        <v>333333333.33333337</v>
      </c>
      <c r="C118" s="15" t="s">
        <v>37</v>
      </c>
      <c r="D118" s="15" t="s">
        <v>37</v>
      </c>
      <c r="E118" s="6">
        <f t="shared" si="16"/>
        <v>13.024677973715656</v>
      </c>
    </row>
    <row r="119" spans="1:6" x14ac:dyDescent="0.3">
      <c r="A119" t="s">
        <v>23</v>
      </c>
      <c r="B119" s="15">
        <f>AVERAGE(2,1,3)*100000000</f>
        <v>200000000</v>
      </c>
      <c r="C119" s="15" t="s">
        <v>37</v>
      </c>
      <c r="D119" s="15" t="s">
        <v>37</v>
      </c>
      <c r="E119" s="6">
        <f t="shared" si="16"/>
        <v>11.172235162129514</v>
      </c>
    </row>
    <row r="120" spans="1:6" x14ac:dyDescent="0.3">
      <c r="A120" t="s">
        <v>24</v>
      </c>
      <c r="B120" s="15">
        <f>AVERAGE(1,4,4)*100000000</f>
        <v>300000000</v>
      </c>
      <c r="C120" s="15" t="s">
        <v>37</v>
      </c>
      <c r="D120" s="15" t="s">
        <v>37</v>
      </c>
      <c r="E120" s="6">
        <f t="shared" si="16"/>
        <v>11.813781191217037</v>
      </c>
    </row>
    <row r="121" spans="1:6" x14ac:dyDescent="0.3">
      <c r="A121" t="s">
        <v>25</v>
      </c>
      <c r="B121" s="15">
        <f>AVERAGE(1,5,6)*100000000</f>
        <v>400000000</v>
      </c>
      <c r="C121" s="15" t="s">
        <v>37</v>
      </c>
      <c r="D121" s="15" t="s">
        <v>37</v>
      </c>
      <c r="E121" s="6">
        <f t="shared" si="16"/>
        <v>12.117787378107137</v>
      </c>
    </row>
    <row r="122" spans="1:6" x14ac:dyDescent="0.3">
      <c r="A122" t="s">
        <v>26</v>
      </c>
      <c r="B122" s="15">
        <f>AVERAGE(9,7,4)*100000000</f>
        <v>666666666.66666675</v>
      </c>
      <c r="C122" s="15" t="s">
        <v>37</v>
      </c>
      <c r="D122" s="15" t="s">
        <v>37</v>
      </c>
      <c r="E122" s="6">
        <f t="shared" si="16"/>
        <v>12.287712379549449</v>
      </c>
    </row>
    <row r="123" spans="1:6" x14ac:dyDescent="0.3">
      <c r="A123" t="s">
        <v>27</v>
      </c>
      <c r="B123" s="15">
        <f>AVERAGE(8,5,3)*100000000</f>
        <v>533333333.33333331</v>
      </c>
      <c r="C123" s="15" t="s">
        <v>37</v>
      </c>
      <c r="D123" s="15" t="s">
        <v>37</v>
      </c>
      <c r="E123" s="6">
        <f t="shared" si="16"/>
        <v>11.895394956770689</v>
      </c>
    </row>
    <row r="124" spans="1:6" x14ac:dyDescent="0.3">
      <c r="A124" t="s">
        <v>28</v>
      </c>
      <c r="B124" s="15">
        <f>AVERAGE(5,6,2)*100000000</f>
        <v>433333333.33333331</v>
      </c>
      <c r="C124" s="15" t="s">
        <v>37</v>
      </c>
      <c r="D124" s="15" t="s">
        <v>37</v>
      </c>
      <c r="E124" s="6">
        <f t="shared" si="16"/>
        <v>13.081261502082024</v>
      </c>
    </row>
    <row r="125" spans="1:6" x14ac:dyDescent="0.3">
      <c r="A125" t="s">
        <v>29</v>
      </c>
      <c r="B125" s="15">
        <f>AVERAGE(14,9,10)*100000000</f>
        <v>1100000000</v>
      </c>
      <c r="C125" s="15" t="s">
        <v>37</v>
      </c>
      <c r="D125" s="15" t="s">
        <v>37</v>
      </c>
      <c r="E125" s="6">
        <f t="shared" si="16"/>
        <v>13.872674880270607</v>
      </c>
    </row>
    <row r="126" spans="1:6" x14ac:dyDescent="0.3">
      <c r="A126" t="s">
        <v>30</v>
      </c>
      <c r="B126" s="15">
        <f>AVERAGE(8,12,7)*100000000</f>
        <v>900000000</v>
      </c>
      <c r="C126" s="15" t="s">
        <v>37</v>
      </c>
      <c r="D126" s="15" t="s">
        <v>37</v>
      </c>
      <c r="E126" s="6">
        <f t="shared" si="16"/>
        <v>13.720671786825553</v>
      </c>
    </row>
    <row r="127" spans="1:6" x14ac:dyDescent="0.3">
      <c r="A127" s="16"/>
      <c r="B127" s="17"/>
      <c r="C127" s="17"/>
      <c r="D127" s="17"/>
    </row>
    <row r="129" spans="1:5" x14ac:dyDescent="0.3">
      <c r="A129" t="s">
        <v>38</v>
      </c>
    </row>
    <row r="130" spans="1:5" ht="15.6" x14ac:dyDescent="0.3">
      <c r="A130" s="12" t="s">
        <v>32</v>
      </c>
      <c r="B130" s="13" t="s">
        <v>33</v>
      </c>
      <c r="C130" s="13" t="s">
        <v>34</v>
      </c>
      <c r="D130" s="13" t="s">
        <v>35</v>
      </c>
    </row>
    <row r="131" spans="1:5" x14ac:dyDescent="0.3">
      <c r="A131" t="s">
        <v>19</v>
      </c>
      <c r="B131" s="15">
        <f>AVERAGE(5,7,9)*100000000</f>
        <v>700000000</v>
      </c>
      <c r="C131" s="15" t="s">
        <v>37</v>
      </c>
      <c r="D131" s="15" t="s">
        <v>37</v>
      </c>
      <c r="E131" s="6">
        <f t="shared" ref="E131:E142" si="17">LOG10(B131/((B115)/1000))/LOG(2)</f>
        <v>10.270638866190508</v>
      </c>
    </row>
    <row r="132" spans="1:5" x14ac:dyDescent="0.3">
      <c r="A132" t="s">
        <v>20</v>
      </c>
      <c r="B132" s="15">
        <f>AVERAGE(13,5,12)*100000000</f>
        <v>1000000000</v>
      </c>
      <c r="C132" s="15" t="s">
        <v>37</v>
      </c>
      <c r="D132" s="15" t="s">
        <v>37</v>
      </c>
      <c r="E132" s="6">
        <f t="shared" si="17"/>
        <v>9.9184785698837317</v>
      </c>
    </row>
    <row r="133" spans="1:5" x14ac:dyDescent="0.3">
      <c r="A133" t="s">
        <v>21</v>
      </c>
      <c r="B133" s="15">
        <f>AVERAGE(2,3,3)*100000000</f>
        <v>266666666.66666666</v>
      </c>
      <c r="C133" s="15" t="s">
        <v>37</v>
      </c>
      <c r="D133" s="15" t="s">
        <v>37</v>
      </c>
      <c r="E133" s="6">
        <f t="shared" si="17"/>
        <v>8.5734668618833272</v>
      </c>
    </row>
    <row r="134" spans="1:5" x14ac:dyDescent="0.3">
      <c r="A134" t="s">
        <v>22</v>
      </c>
      <c r="B134" s="15">
        <f>AVERAGE(5,6,5)*100000000</f>
        <v>533333333.33333331</v>
      </c>
      <c r="C134" s="15" t="s">
        <v>37</v>
      </c>
      <c r="D134" s="15" t="s">
        <v>37</v>
      </c>
      <c r="E134" s="6">
        <f t="shared" si="17"/>
        <v>10.643856189774723</v>
      </c>
    </row>
    <row r="135" spans="1:5" x14ac:dyDescent="0.3">
      <c r="A135" t="s">
        <v>23</v>
      </c>
      <c r="B135" s="15">
        <f>AVERAGE(3,4,6)*100000000</f>
        <v>433333333.33333331</v>
      </c>
      <c r="C135" s="15" t="s">
        <v>37</v>
      </c>
      <c r="D135" s="15" t="s">
        <v>37</v>
      </c>
      <c r="E135" s="6">
        <f t="shared" si="17"/>
        <v>11.081261502082024</v>
      </c>
    </row>
    <row r="136" spans="1:5" x14ac:dyDescent="0.3">
      <c r="A136" t="s">
        <v>24</v>
      </c>
      <c r="B136" s="15">
        <f>AVERAGE(7,4,13)*100000000</f>
        <v>800000000</v>
      </c>
      <c r="C136" s="15" t="s">
        <v>37</v>
      </c>
      <c r="D136" s="15" t="s">
        <v>37</v>
      </c>
      <c r="E136" s="6">
        <f t="shared" si="17"/>
        <v>11.380821783940931</v>
      </c>
    </row>
    <row r="137" spans="1:5" x14ac:dyDescent="0.3">
      <c r="A137" t="s">
        <v>25</v>
      </c>
      <c r="B137" s="15">
        <f>AVERAGE(4,3,1)*100000000</f>
        <v>266666666.66666666</v>
      </c>
      <c r="C137" s="15" t="s">
        <v>37</v>
      </c>
      <c r="D137" s="15" t="s">
        <v>37</v>
      </c>
      <c r="E137" s="6">
        <f t="shared" si="17"/>
        <v>9.3808217839409309</v>
      </c>
    </row>
    <row r="138" spans="1:5" x14ac:dyDescent="0.3">
      <c r="A138" t="s">
        <v>26</v>
      </c>
      <c r="B138" s="15">
        <f>AVERAGE(6,6,8)*100000000</f>
        <v>666666666.66666675</v>
      </c>
      <c r="C138" s="15" t="s">
        <v>37</v>
      </c>
      <c r="D138" s="15" t="s">
        <v>37</v>
      </c>
      <c r="E138" s="6">
        <f t="shared" si="17"/>
        <v>9.965784284662087</v>
      </c>
    </row>
    <row r="139" spans="1:5" x14ac:dyDescent="0.3">
      <c r="A139" t="s">
        <v>27</v>
      </c>
      <c r="B139" s="15">
        <f>AVERAGE(5,5,2)*100000000</f>
        <v>400000000</v>
      </c>
      <c r="C139" s="15" t="s">
        <v>37</v>
      </c>
      <c r="D139" s="15" t="s">
        <v>37</v>
      </c>
      <c r="E139" s="6">
        <f t="shared" si="17"/>
        <v>9.5507467853832431</v>
      </c>
    </row>
    <row r="140" spans="1:5" x14ac:dyDescent="0.3">
      <c r="A140" t="s">
        <v>28</v>
      </c>
      <c r="B140" s="15">
        <f>AVERAGE(4,3,27)*100000000</f>
        <v>1133333333.3333335</v>
      </c>
      <c r="C140" s="15" t="s">
        <v>37</v>
      </c>
      <c r="D140" s="15" t="s">
        <v>37</v>
      </c>
      <c r="E140" s="6">
        <f t="shared" si="17"/>
        <v>11.352807407771335</v>
      </c>
    </row>
    <row r="141" spans="1:5" x14ac:dyDescent="0.3">
      <c r="A141" t="s">
        <v>29</v>
      </c>
      <c r="B141" s="15">
        <f>AVERAGE(5,3,3)*100000000</f>
        <v>366666666.66666663</v>
      </c>
      <c r="C141" s="15" t="s">
        <v>37</v>
      </c>
      <c r="D141" s="15" t="s">
        <v>37</v>
      </c>
      <c r="E141" s="6">
        <f t="shared" si="17"/>
        <v>8.3808217839409309</v>
      </c>
    </row>
    <row r="142" spans="1:5" x14ac:dyDescent="0.3">
      <c r="A142" t="s">
        <v>30</v>
      </c>
      <c r="B142" s="15">
        <f>AVERAGE(1,3,2)*100000000</f>
        <v>200000000</v>
      </c>
      <c r="C142" s="15" t="s">
        <v>37</v>
      </c>
      <c r="D142" s="15" t="s">
        <v>37</v>
      </c>
      <c r="E142" s="6">
        <f t="shared" si="17"/>
        <v>7.7958592832197748</v>
      </c>
    </row>
    <row r="143" spans="1:5" x14ac:dyDescent="0.3">
      <c r="A143" s="16"/>
      <c r="B143" s="17"/>
      <c r="C143" s="17"/>
      <c r="D143" s="17"/>
    </row>
    <row r="145" spans="1:15" x14ac:dyDescent="0.3">
      <c r="A145" t="s">
        <v>39</v>
      </c>
    </row>
    <row r="146" spans="1:15" ht="15.6" x14ac:dyDescent="0.3">
      <c r="A146" s="12" t="s">
        <v>32</v>
      </c>
      <c r="B146" s="13" t="s">
        <v>33</v>
      </c>
      <c r="C146" s="13" t="s">
        <v>34</v>
      </c>
      <c r="D146" s="13" t="s">
        <v>35</v>
      </c>
    </row>
    <row r="147" spans="1:15" x14ac:dyDescent="0.3">
      <c r="A147" t="s">
        <v>19</v>
      </c>
      <c r="B147" s="15">
        <f>AVERAGE(8,10,8)*100000000</f>
        <v>866666666.66666663</v>
      </c>
      <c r="C147" s="15" t="s">
        <v>37</v>
      </c>
      <c r="D147" s="15" t="s">
        <v>37</v>
      </c>
      <c r="E147" s="6">
        <f t="shared" ref="E147:E158" si="18">LOG10(B147/((B131)/1000))/LOG(2)</f>
        <v>10.273906580024418</v>
      </c>
    </row>
    <row r="148" spans="1:15" x14ac:dyDescent="0.3">
      <c r="A148" t="s">
        <v>20</v>
      </c>
      <c r="B148" s="15">
        <f>AVERAGE(4,8,11)*100000000</f>
        <v>766666666.66666675</v>
      </c>
      <c r="C148" s="15" t="s">
        <v>37</v>
      </c>
      <c r="D148" s="15" t="s">
        <v>37</v>
      </c>
      <c r="E148" s="6">
        <f t="shared" si="18"/>
        <v>9.5824556451105813</v>
      </c>
    </row>
    <row r="149" spans="1:15" x14ac:dyDescent="0.3">
      <c r="A149" t="s">
        <v>21</v>
      </c>
      <c r="B149" s="15">
        <f>AVERAGE(2,5,7)*100000000</f>
        <v>466666666.66666669</v>
      </c>
      <c r="C149" s="15" t="s">
        <v>37</v>
      </c>
      <c r="D149" s="15" t="s">
        <v>37</v>
      </c>
      <c r="E149" s="6">
        <f t="shared" si="18"/>
        <v>10.773139206719691</v>
      </c>
    </row>
    <row r="150" spans="1:15" x14ac:dyDescent="0.3">
      <c r="A150" t="s">
        <v>22</v>
      </c>
      <c r="B150" s="15">
        <f>AVERAGE(4,5,12)*100000000</f>
        <v>700000000</v>
      </c>
      <c r="C150" s="15" t="s">
        <v>37</v>
      </c>
      <c r="D150" s="15" t="s">
        <v>37</v>
      </c>
      <c r="E150" s="6">
        <f t="shared" si="18"/>
        <v>10.358101707440847</v>
      </c>
    </row>
    <row r="151" spans="1:15" x14ac:dyDescent="0.3">
      <c r="A151" t="s">
        <v>23</v>
      </c>
      <c r="B151" s="15">
        <f>AVERAGE(6,10,5)*100000000</f>
        <v>700000000</v>
      </c>
      <c r="C151" s="15" t="s">
        <v>37</v>
      </c>
      <c r="D151" s="15" t="s">
        <v>37</v>
      </c>
      <c r="E151" s="6">
        <f t="shared" si="18"/>
        <v>10.657661989299756</v>
      </c>
    </row>
    <row r="152" spans="1:15" x14ac:dyDescent="0.3">
      <c r="A152" t="s">
        <v>24</v>
      </c>
      <c r="B152" s="15">
        <f>AVERAGE(2,3,5)*100000000</f>
        <v>333333333.33333337</v>
      </c>
      <c r="C152" s="15" t="s">
        <v>37</v>
      </c>
      <c r="D152" s="15" t="s">
        <v>37</v>
      </c>
      <c r="E152" s="6">
        <f t="shared" si="18"/>
        <v>8.7027498788282927</v>
      </c>
    </row>
    <row r="153" spans="1:15" x14ac:dyDescent="0.3">
      <c r="A153" t="s">
        <v>25</v>
      </c>
      <c r="B153" s="15">
        <f>AVERAGE(3,8,4)*100000000</f>
        <v>500000000</v>
      </c>
      <c r="C153" s="15" t="s">
        <v>37</v>
      </c>
      <c r="D153" s="15" t="s">
        <v>37</v>
      </c>
      <c r="E153" s="6">
        <f t="shared" si="18"/>
        <v>10.872674880270605</v>
      </c>
    </row>
    <row r="154" spans="1:15" x14ac:dyDescent="0.3">
      <c r="A154" t="s">
        <v>26</v>
      </c>
      <c r="B154" s="15">
        <f>AVERAGE(3,5,5)*100000000</f>
        <v>433333333.33333331</v>
      </c>
      <c r="C154" s="15" t="s">
        <v>37</v>
      </c>
      <c r="D154" s="15" t="s">
        <v>37</v>
      </c>
      <c r="E154" s="6">
        <f t="shared" si="18"/>
        <v>9.3442959079158179</v>
      </c>
    </row>
    <row r="155" spans="1:15" x14ac:dyDescent="0.3">
      <c r="A155" t="s">
        <v>27</v>
      </c>
      <c r="B155" s="15">
        <f>AVERAGE(6,2,7)*100000000</f>
        <v>500000000</v>
      </c>
      <c r="C155" s="15" t="s">
        <v>37</v>
      </c>
      <c r="D155" s="15" t="s">
        <v>37</v>
      </c>
      <c r="E155" s="6">
        <f t="shared" si="18"/>
        <v>10.287712379549449</v>
      </c>
    </row>
    <row r="156" spans="1:15" x14ac:dyDescent="0.3">
      <c r="A156" t="s">
        <v>28</v>
      </c>
      <c r="B156" s="15">
        <f>AVERAGE(11,5,7)*100000000</f>
        <v>766666666.66666675</v>
      </c>
      <c r="C156" s="15" t="s">
        <v>37</v>
      </c>
      <c r="D156" s="15" t="s">
        <v>37</v>
      </c>
      <c r="E156" s="6">
        <f t="shared" si="18"/>
        <v>9.4018833994687601</v>
      </c>
    </row>
    <row r="157" spans="1:15" ht="18" x14ac:dyDescent="0.35">
      <c r="A157" t="s">
        <v>29</v>
      </c>
      <c r="B157" s="15">
        <f>AVERAGE(4,4,3)*100000000</f>
        <v>366666666.66666663</v>
      </c>
      <c r="C157" s="15" t="s">
        <v>37</v>
      </c>
      <c r="D157" s="15" t="s">
        <v>37</v>
      </c>
      <c r="E157" s="6">
        <f t="shared" si="18"/>
        <v>9.965784284662087</v>
      </c>
      <c r="H157" s="18" t="s">
        <v>40</v>
      </c>
      <c r="L157" s="18" t="s">
        <v>41</v>
      </c>
    </row>
    <row r="158" spans="1:15" x14ac:dyDescent="0.3">
      <c r="A158" t="s">
        <v>30</v>
      </c>
      <c r="B158" s="15">
        <f>AVERAGE(3,6,8)*100000000</f>
        <v>566666666.66666675</v>
      </c>
      <c r="C158" s="15" t="s">
        <v>37</v>
      </c>
      <c r="D158" s="15" t="s">
        <v>37</v>
      </c>
      <c r="E158" s="6">
        <f t="shared" si="18"/>
        <v>11.46828462519127</v>
      </c>
      <c r="H158" t="s">
        <v>42</v>
      </c>
      <c r="I158" t="s">
        <v>43</v>
      </c>
      <c r="J158" t="s">
        <v>44</v>
      </c>
      <c r="L158" t="s">
        <v>42</v>
      </c>
      <c r="M158" t="s">
        <v>43</v>
      </c>
      <c r="N158" t="s">
        <v>44</v>
      </c>
    </row>
    <row r="159" spans="1:15" x14ac:dyDescent="0.3">
      <c r="A159" s="16"/>
      <c r="B159" s="17"/>
      <c r="C159" s="17"/>
      <c r="D159" s="17"/>
      <c r="H159">
        <v>0</v>
      </c>
      <c r="I159" s="4">
        <f t="shared" ref="I159:I164" si="19">C163/D163</f>
        <v>0.8571428571428571</v>
      </c>
      <c r="J159" s="4">
        <f t="shared" ref="J159:J164" si="20">C169/D169</f>
        <v>1.2</v>
      </c>
      <c r="L159">
        <v>0</v>
      </c>
      <c r="M159" s="19">
        <f t="shared" ref="M159:M164" si="21">LN((H167*G97)/(1-H167))/4</f>
        <v>-0.48647753726382831</v>
      </c>
      <c r="N159" s="19">
        <f t="shared" ref="N159:N164" si="22">LN((H173*G103)/(1-H173))/4</f>
        <v>-0.45192834929257419</v>
      </c>
      <c r="O159" t="s">
        <v>45</v>
      </c>
    </row>
    <row r="160" spans="1:15" x14ac:dyDescent="0.3">
      <c r="H160">
        <v>0.05</v>
      </c>
      <c r="I160" s="4">
        <f t="shared" si="19"/>
        <v>3.2</v>
      </c>
      <c r="J160" s="4">
        <f t="shared" si="20"/>
        <v>1.6666666666666667</v>
      </c>
      <c r="L160">
        <v>0.05</v>
      </c>
      <c r="M160" s="19">
        <f t="shared" si="21"/>
        <v>-5.5785887828552497E-2</v>
      </c>
      <c r="N160" s="19">
        <f t="shared" si="22"/>
        <v>-0.53794055081486547</v>
      </c>
    </row>
    <row r="161" spans="1:14" x14ac:dyDescent="0.3">
      <c r="A161" t="s">
        <v>46</v>
      </c>
      <c r="H161">
        <v>0.1</v>
      </c>
      <c r="I161" s="4">
        <f t="shared" si="19"/>
        <v>5</v>
      </c>
      <c r="J161" s="4">
        <f t="shared" si="20"/>
        <v>0.47619047619047616</v>
      </c>
      <c r="L161">
        <v>0.1</v>
      </c>
      <c r="M161" s="19">
        <f t="shared" si="21"/>
        <v>0.211824465096801</v>
      </c>
      <c r="N161" s="19">
        <f t="shared" si="22"/>
        <v>-0.82536849227104103</v>
      </c>
    </row>
    <row r="162" spans="1:14" ht="15.6" x14ac:dyDescent="0.3">
      <c r="A162" s="12" t="s">
        <v>32</v>
      </c>
      <c r="B162" s="13" t="s">
        <v>33</v>
      </c>
      <c r="C162" s="13" t="s">
        <v>34</v>
      </c>
      <c r="D162" s="13" t="s">
        <v>35</v>
      </c>
      <c r="F162" s="22"/>
      <c r="H162">
        <v>0.25</v>
      </c>
      <c r="I162" s="4">
        <f t="shared" si="19"/>
        <v>1800000</v>
      </c>
      <c r="J162" s="4">
        <f t="shared" si="20"/>
        <v>55.555555555555557</v>
      </c>
      <c r="L162">
        <v>0.25</v>
      </c>
      <c r="M162" s="19">
        <f t="shared" si="21"/>
        <v>3.2805908443495331</v>
      </c>
      <c r="N162" s="19">
        <f t="shared" si="22"/>
        <v>0.41861178314208974</v>
      </c>
    </row>
    <row r="163" spans="1:14" x14ac:dyDescent="0.3">
      <c r="A163" t="s">
        <v>19</v>
      </c>
      <c r="B163" s="15">
        <f>AVERAGE(7,7,11)*100000000</f>
        <v>833333333.33333337</v>
      </c>
      <c r="C163" s="15">
        <f>AVERAGE(6)*100000000</f>
        <v>600000000</v>
      </c>
      <c r="D163" s="15">
        <f>AVERAGE(7)*100000000</f>
        <v>700000000</v>
      </c>
      <c r="E163" s="6">
        <f t="shared" ref="E163:E174" si="23">LOG10(B163/((B147)/1000))/LOG(2)</f>
        <v>9.9092007562957196</v>
      </c>
      <c r="F163" s="22"/>
      <c r="H163">
        <v>0.5</v>
      </c>
      <c r="I163" s="4">
        <f t="shared" si="19"/>
        <v>1875000</v>
      </c>
      <c r="J163" s="4">
        <f t="shared" si="20"/>
        <v>4666666.666666667</v>
      </c>
      <c r="L163">
        <v>0.5</v>
      </c>
      <c r="M163" s="19">
        <f t="shared" si="21"/>
        <v>3.0760132634976842</v>
      </c>
      <c r="N163" s="19">
        <f t="shared" si="22"/>
        <v>3.2930726378946269</v>
      </c>
    </row>
    <row r="164" spans="1:14" x14ac:dyDescent="0.3">
      <c r="A164" t="s">
        <v>20</v>
      </c>
      <c r="B164" s="15">
        <f>AVERAGE(3,6,10)*100000000</f>
        <v>633333333.33333325</v>
      </c>
      <c r="C164" s="15">
        <f>AVERAGE(4)*100000000</f>
        <v>400000000</v>
      </c>
      <c r="D164" s="15">
        <f>AVERAGE(1,1.5)*100000000</f>
        <v>125000000</v>
      </c>
      <c r="E164" s="6">
        <f t="shared" si="23"/>
        <v>9.6901498420486583</v>
      </c>
      <c r="F164" s="22"/>
      <c r="H164">
        <v>1</v>
      </c>
      <c r="I164" s="4">
        <f t="shared" si="19"/>
        <v>50000000</v>
      </c>
      <c r="J164" s="4">
        <f t="shared" si="20"/>
        <v>30000000</v>
      </c>
      <c r="L164">
        <v>1</v>
      </c>
      <c r="M164" s="19">
        <f t="shared" si="21"/>
        <v>3.8004512304537452</v>
      </c>
      <c r="N164" s="19">
        <f t="shared" si="22"/>
        <v>3.7335813886124045</v>
      </c>
    </row>
    <row r="165" spans="1:14" x14ac:dyDescent="0.3">
      <c r="A165" t="s">
        <v>21</v>
      </c>
      <c r="B165" s="15">
        <f>AVERAGE(8,9,13)*100000000</f>
        <v>1000000000</v>
      </c>
      <c r="C165" s="15">
        <f>AVERAGE(25)*100000</f>
        <v>2500000</v>
      </c>
      <c r="D165" s="15">
        <f>AVERAGE(5)*100000</f>
        <v>500000</v>
      </c>
      <c r="E165" s="6">
        <f t="shared" si="23"/>
        <v>11.065319958213001</v>
      </c>
      <c r="F165" s="22"/>
      <c r="G165" s="21" t="s">
        <v>48</v>
      </c>
      <c r="H165" s="21"/>
    </row>
    <row r="166" spans="1:14" x14ac:dyDescent="0.3">
      <c r="A166" t="s">
        <v>22</v>
      </c>
      <c r="B166" s="15">
        <f>AVERAGE(12,8,13)*100000000</f>
        <v>1100000000</v>
      </c>
      <c r="C166" s="15">
        <f>AVERAGE(9)*100000000</f>
        <v>900000000</v>
      </c>
      <c r="D166" s="15">
        <f>AVERAGE(5)*100</f>
        <v>500</v>
      </c>
      <c r="E166" s="6">
        <f t="shared" si="23"/>
        <v>10.61786098124178</v>
      </c>
      <c r="F166" s="22" t="s">
        <v>49</v>
      </c>
      <c r="G166" s="23" t="s">
        <v>50</v>
      </c>
      <c r="H166" t="s">
        <v>51</v>
      </c>
      <c r="J166" t="s">
        <v>17</v>
      </c>
    </row>
    <row r="167" spans="1:14" x14ac:dyDescent="0.3">
      <c r="A167" t="s">
        <v>23</v>
      </c>
      <c r="B167" s="15">
        <f>AVERAGE(6,3,6)*100000000</f>
        <v>500000000</v>
      </c>
      <c r="C167" s="15">
        <v>300000000</v>
      </c>
      <c r="D167" s="15">
        <v>160</v>
      </c>
      <c r="E167" s="6">
        <f t="shared" si="23"/>
        <v>9.480357457491845</v>
      </c>
      <c r="F167" s="22" t="s">
        <v>19</v>
      </c>
      <c r="G167" s="24">
        <f t="shared" ref="G167:G178" si="24">SUM(E163,E147,E131,E115)</f>
        <v>44.021566501252828</v>
      </c>
      <c r="H167" s="4">
        <f t="shared" ref="H167:H178" si="25">C163/(C163+D163)</f>
        <v>0.46153846153846156</v>
      </c>
      <c r="I167" s="4"/>
      <c r="J167" s="7">
        <f>1-H167</f>
        <v>0.53846153846153844</v>
      </c>
    </row>
    <row r="168" spans="1:14" x14ac:dyDescent="0.3">
      <c r="A168" t="s">
        <v>24</v>
      </c>
      <c r="B168" s="15">
        <f>AVERAGE(4,6,5)*100000000</f>
        <v>500000000</v>
      </c>
      <c r="C168" s="15">
        <v>500000000</v>
      </c>
      <c r="D168" s="15">
        <v>10</v>
      </c>
      <c r="E168" s="6">
        <f t="shared" si="23"/>
        <v>10.550746785383243</v>
      </c>
      <c r="F168" s="22" t="s">
        <v>20</v>
      </c>
      <c r="G168" s="24">
        <f t="shared" si="24"/>
        <v>43.111064652091933</v>
      </c>
      <c r="H168" s="4">
        <f t="shared" si="25"/>
        <v>0.76190476190476186</v>
      </c>
      <c r="I168" s="4"/>
      <c r="J168" s="7">
        <f t="shared" ref="J168:J178" si="26">1-H168</f>
        <v>0.23809523809523814</v>
      </c>
    </row>
    <row r="169" spans="1:14" x14ac:dyDescent="0.3">
      <c r="A169" t="s">
        <v>25</v>
      </c>
      <c r="B169" s="15">
        <f>AVERAGE(3,5,8)*100000000</f>
        <v>533333333.33333331</v>
      </c>
      <c r="C169" s="15">
        <f>AVERAGE(6)*100000000</f>
        <v>600000000</v>
      </c>
      <c r="D169" s="15">
        <f>AVERAGE(5)*100000000</f>
        <v>500000000</v>
      </c>
      <c r="E169" s="6">
        <f t="shared" si="23"/>
        <v>10.058893689053569</v>
      </c>
      <c r="F169" s="22" t="s">
        <v>21</v>
      </c>
      <c r="G169" s="24">
        <f t="shared" si="24"/>
        <v>44.00449298789389</v>
      </c>
      <c r="H169" s="4">
        <f t="shared" si="25"/>
        <v>0.83333333333333337</v>
      </c>
      <c r="I169" s="4"/>
      <c r="J169" s="7">
        <f t="shared" si="26"/>
        <v>0.16666666666666663</v>
      </c>
    </row>
    <row r="170" spans="1:14" x14ac:dyDescent="0.3">
      <c r="A170" t="s">
        <v>26</v>
      </c>
      <c r="B170" s="15">
        <f>AVERAGE(6,4,2)*100000000</f>
        <v>400000000</v>
      </c>
      <c r="C170" s="15">
        <f>AVERAGE(5)*100000000</f>
        <v>500000000</v>
      </c>
      <c r="D170" s="15">
        <f>AVERAGE(3)*100000000</f>
        <v>300000000</v>
      </c>
      <c r="E170" s="6">
        <f t="shared" si="23"/>
        <v>9.8503070672421522</v>
      </c>
      <c r="F170" s="22" t="s">
        <v>22</v>
      </c>
      <c r="G170" s="24">
        <f t="shared" si="24"/>
        <v>44.644496852173006</v>
      </c>
      <c r="H170" s="4">
        <f t="shared" si="25"/>
        <v>0.99999944444475308</v>
      </c>
      <c r="I170" s="4"/>
      <c r="J170" s="7">
        <f t="shared" si="26"/>
        <v>5.5555524691719427E-7</v>
      </c>
    </row>
    <row r="171" spans="1:14" x14ac:dyDescent="0.3">
      <c r="A171" t="s">
        <v>27</v>
      </c>
      <c r="B171" s="15">
        <f>AVERAGE(4,5,5)*100000000</f>
        <v>466666666.66666669</v>
      </c>
      <c r="C171" s="15">
        <f>AVERAGE(1)*100000000</f>
        <v>100000000</v>
      </c>
      <c r="D171" s="15">
        <f>AVERAGE(2.1)*100000000</f>
        <v>210000000</v>
      </c>
      <c r="E171" s="6">
        <f t="shared" si="23"/>
        <v>9.8662486111111729</v>
      </c>
      <c r="F171" s="22" t="s">
        <v>23</v>
      </c>
      <c r="G171" s="24">
        <f t="shared" si="24"/>
        <v>42.391516111003142</v>
      </c>
      <c r="H171" s="4">
        <f t="shared" si="25"/>
        <v>0.99999946666695116</v>
      </c>
      <c r="I171" s="4"/>
      <c r="J171" s="7">
        <f t="shared" si="26"/>
        <v>5.3333304883551591E-7</v>
      </c>
    </row>
    <row r="172" spans="1:14" x14ac:dyDescent="0.3">
      <c r="A172" t="s">
        <v>28</v>
      </c>
      <c r="B172" s="15">
        <f>AVERAGE(5,2,7*100000000)</f>
        <v>233333335.66666666</v>
      </c>
      <c r="C172" s="15">
        <f>AVERAGE(1)*100000000</f>
        <v>100000000</v>
      </c>
      <c r="D172" s="15">
        <f>AVERAGE(18)*100000</f>
        <v>1800000</v>
      </c>
      <c r="E172" s="6">
        <f t="shared" si="23"/>
        <v>8.2495772650896271</v>
      </c>
      <c r="F172" s="22" t="s">
        <v>24</v>
      </c>
      <c r="G172" s="24">
        <f t="shared" si="24"/>
        <v>42.448099639369502</v>
      </c>
      <c r="H172" s="4">
        <f t="shared" si="25"/>
        <v>0.99999998000000045</v>
      </c>
      <c r="I172" s="4"/>
      <c r="J172" s="7">
        <f t="shared" si="26"/>
        <v>1.9999999545383673E-8</v>
      </c>
    </row>
    <row r="173" spans="1:14" x14ac:dyDescent="0.3">
      <c r="A173" t="s">
        <v>29</v>
      </c>
      <c r="B173" s="15">
        <f>AVERAGE(2,0,4)*100000000</f>
        <v>200000000</v>
      </c>
      <c r="C173" s="15">
        <v>700000000</v>
      </c>
      <c r="D173" s="15">
        <v>150</v>
      </c>
      <c r="E173" s="6">
        <f t="shared" si="23"/>
        <v>9.0913151667459449</v>
      </c>
      <c r="F173" s="22" t="s">
        <v>25</v>
      </c>
      <c r="G173" s="24">
        <f t="shared" si="24"/>
        <v>42.43017773137224</v>
      </c>
      <c r="H173" s="4">
        <f t="shared" si="25"/>
        <v>0.54545454545454541</v>
      </c>
      <c r="I173" s="4"/>
      <c r="J173" s="7">
        <f t="shared" si="26"/>
        <v>0.45454545454545459</v>
      </c>
    </row>
    <row r="174" spans="1:14" x14ac:dyDescent="0.3">
      <c r="A174" t="s">
        <v>30</v>
      </c>
      <c r="B174" s="15">
        <f>AVERAGE(7,5,6)*100000000</f>
        <v>600000000</v>
      </c>
      <c r="C174" s="15">
        <v>300000000</v>
      </c>
      <c r="D174" s="15">
        <v>10</v>
      </c>
      <c r="E174" s="6">
        <f t="shared" si="23"/>
        <v>10.048246444854058</v>
      </c>
      <c r="F174" s="22" t="s">
        <v>26</v>
      </c>
      <c r="G174" s="24">
        <f t="shared" si="24"/>
        <v>41.448099639369502</v>
      </c>
      <c r="H174" s="4">
        <f t="shared" si="25"/>
        <v>0.625</v>
      </c>
      <c r="I174" s="4"/>
      <c r="J174" s="7">
        <f t="shared" si="26"/>
        <v>0.375</v>
      </c>
    </row>
    <row r="175" spans="1:14" x14ac:dyDescent="0.3">
      <c r="F175" s="22" t="s">
        <v>27</v>
      </c>
      <c r="G175" s="24">
        <f t="shared" si="24"/>
        <v>41.600102732814555</v>
      </c>
      <c r="H175" s="4">
        <f t="shared" si="25"/>
        <v>0.32258064516129031</v>
      </c>
      <c r="I175" s="4"/>
      <c r="J175" s="7">
        <f t="shared" si="26"/>
        <v>0.67741935483870974</v>
      </c>
    </row>
    <row r="176" spans="1:14" x14ac:dyDescent="0.3">
      <c r="F176" s="22" t="s">
        <v>28</v>
      </c>
      <c r="G176" s="24">
        <f t="shared" si="24"/>
        <v>42.085529574411744</v>
      </c>
      <c r="H176" s="4">
        <f t="shared" si="25"/>
        <v>0.98231827111984282</v>
      </c>
      <c r="I176" s="4"/>
      <c r="J176" s="7">
        <f t="shared" si="26"/>
        <v>1.7681728880157177E-2</v>
      </c>
    </row>
    <row r="177" spans="1:15" x14ac:dyDescent="0.3">
      <c r="F177" s="22" t="s">
        <v>29</v>
      </c>
      <c r="G177" s="24">
        <f t="shared" si="24"/>
        <v>41.310596115619568</v>
      </c>
      <c r="H177" s="36">
        <f t="shared" si="25"/>
        <v>0.99999978571433168</v>
      </c>
      <c r="I177" s="4"/>
      <c r="J177" s="7">
        <f t="shared" si="26"/>
        <v>2.1428566832071283E-7</v>
      </c>
    </row>
    <row r="178" spans="1:15" x14ac:dyDescent="0.3">
      <c r="F178" s="22" t="s">
        <v>30</v>
      </c>
      <c r="G178" s="24">
        <f t="shared" si="24"/>
        <v>43.033062140090657</v>
      </c>
      <c r="H178" s="36">
        <f t="shared" si="25"/>
        <v>0.99999996666666779</v>
      </c>
      <c r="I178" s="4"/>
      <c r="J178" s="7">
        <f t="shared" si="26"/>
        <v>3.3333332205565114E-8</v>
      </c>
    </row>
    <row r="179" spans="1:15" x14ac:dyDescent="0.3">
      <c r="G179" s="6">
        <f>AVERAGE(G167:G178)</f>
        <v>42.710733723121876</v>
      </c>
    </row>
    <row r="182" spans="1:15" s="42" customFormat="1" ht="21" x14ac:dyDescent="0.4">
      <c r="A182" s="41" t="s">
        <v>56</v>
      </c>
    </row>
    <row r="183" spans="1:15" ht="15.6" x14ac:dyDescent="0.3">
      <c r="A183" s="27" t="s">
        <v>12</v>
      </c>
      <c r="B183" s="28" t="s">
        <v>13</v>
      </c>
      <c r="C183" s="28" t="s">
        <v>9</v>
      </c>
      <c r="D183" s="28" t="s">
        <v>11</v>
      </c>
      <c r="E183" s="28" t="s">
        <v>14</v>
      </c>
      <c r="F183" s="28" t="s">
        <v>15</v>
      </c>
      <c r="G183" s="29" t="s">
        <v>54</v>
      </c>
      <c r="H183" s="28"/>
      <c r="I183" s="28" t="s">
        <v>17</v>
      </c>
      <c r="J183" s="28"/>
      <c r="K183" s="28"/>
      <c r="L183" s="28"/>
      <c r="M183" s="28"/>
      <c r="N183" s="28"/>
      <c r="O183" s="28"/>
    </row>
    <row r="184" spans="1:15" x14ac:dyDescent="0.3">
      <c r="A184" s="28" t="s">
        <v>18</v>
      </c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x14ac:dyDescent="0.3">
      <c r="A185" s="28" t="s">
        <v>19</v>
      </c>
      <c r="B185" s="30">
        <f>AVERAGE(13,14,13)*10000</f>
        <v>133333.33333333334</v>
      </c>
      <c r="C185" s="30">
        <f>AVERAGE(7,8,8)*10000</f>
        <v>76666.666666666672</v>
      </c>
      <c r="D185" s="30">
        <f>AVERAGE(9,10,10)*10000</f>
        <v>96666.666666666657</v>
      </c>
      <c r="E185" s="31">
        <f>C185/D185</f>
        <v>0.79310344827586221</v>
      </c>
      <c r="F185" s="31">
        <f>D185/C185</f>
        <v>1.2608695652173911</v>
      </c>
      <c r="G185" s="37">
        <f>C185/(C185+D185)</f>
        <v>0.4423076923076924</v>
      </c>
      <c r="H185" s="30"/>
      <c r="I185" s="37">
        <f>1-G185</f>
        <v>0.5576923076923076</v>
      </c>
      <c r="J185" s="28"/>
      <c r="K185" s="28"/>
      <c r="L185" s="28"/>
      <c r="M185" s="28"/>
      <c r="N185" s="28"/>
      <c r="O185" s="28"/>
    </row>
    <row r="186" spans="1:15" x14ac:dyDescent="0.3">
      <c r="A186" s="28" t="s">
        <v>20</v>
      </c>
      <c r="B186" s="30">
        <f>AVERAGE(9,12,10)*10000</f>
        <v>103333.33333333334</v>
      </c>
      <c r="C186" s="30">
        <f>AVERAGE(4,6,5)*10000</f>
        <v>50000</v>
      </c>
      <c r="D186" s="30">
        <f>AVERAGE(1,6,4)*10000</f>
        <v>36666.666666666664</v>
      </c>
      <c r="E186" s="31">
        <f t="shared" ref="E186:E196" si="27">C186/D186</f>
        <v>1.3636363636363638</v>
      </c>
      <c r="F186" s="31">
        <f>D186/C186</f>
        <v>0.73333333333333328</v>
      </c>
      <c r="G186" s="37">
        <f t="shared" ref="G186:G196" si="28">C186/(C186+D186)</f>
        <v>0.57692307692307698</v>
      </c>
      <c r="H186" s="30"/>
      <c r="I186" s="37">
        <f t="shared" ref="I186:I196" si="29">1-G186</f>
        <v>0.42307692307692302</v>
      </c>
      <c r="J186" s="28"/>
      <c r="K186" s="28"/>
      <c r="L186" s="28"/>
      <c r="M186" s="28"/>
      <c r="N186" s="28"/>
      <c r="O186" s="28"/>
    </row>
    <row r="187" spans="1:15" x14ac:dyDescent="0.3">
      <c r="A187" s="28" t="s">
        <v>21</v>
      </c>
      <c r="B187" s="30">
        <f>AVERAGE(12,16,7)*10000</f>
        <v>116666.66666666666</v>
      </c>
      <c r="C187" s="30">
        <f>AVERAGE(4,3,3)*10000</f>
        <v>33333.333333333336</v>
      </c>
      <c r="D187" s="30">
        <f>AVERAGE(7,8,4)*10000</f>
        <v>63333.333333333328</v>
      </c>
      <c r="E187" s="31">
        <f t="shared" si="27"/>
        <v>0.52631578947368429</v>
      </c>
      <c r="F187" s="31">
        <f>D187/C187</f>
        <v>1.8999999999999997</v>
      </c>
      <c r="G187" s="37">
        <f t="shared" si="28"/>
        <v>0.34482758620689663</v>
      </c>
      <c r="H187" s="30"/>
      <c r="I187" s="37">
        <f t="shared" si="29"/>
        <v>0.65517241379310343</v>
      </c>
      <c r="J187" s="28"/>
      <c r="K187" s="28"/>
      <c r="L187" s="28"/>
      <c r="M187" s="28"/>
      <c r="N187" s="28"/>
      <c r="O187" s="28"/>
    </row>
    <row r="188" spans="1:15" x14ac:dyDescent="0.3">
      <c r="A188" s="28" t="s">
        <v>22</v>
      </c>
      <c r="B188" s="30">
        <f>AVERAGE(8,13,14*10000)</f>
        <v>46673.666666666664</v>
      </c>
      <c r="C188" s="30">
        <f>AVERAGE(4,3,2)*10000</f>
        <v>30000</v>
      </c>
      <c r="D188" s="30">
        <f>AVERAGE(10,4,12)*10000</f>
        <v>86666.666666666657</v>
      </c>
      <c r="E188" s="31">
        <f t="shared" si="27"/>
        <v>0.3461538461538462</v>
      </c>
      <c r="F188" s="31">
        <f t="shared" ref="F188:F196" si="30">D188/C188</f>
        <v>2.8888888888888884</v>
      </c>
      <c r="G188" s="37">
        <f t="shared" si="28"/>
        <v>0.25714285714285717</v>
      </c>
      <c r="H188" s="30"/>
      <c r="I188" s="37">
        <f t="shared" si="29"/>
        <v>0.74285714285714288</v>
      </c>
      <c r="J188" s="28"/>
      <c r="K188" s="28"/>
      <c r="L188" s="28"/>
      <c r="M188" s="28"/>
      <c r="N188" s="28"/>
      <c r="O188" s="28"/>
    </row>
    <row r="189" spans="1:15" x14ac:dyDescent="0.3">
      <c r="A189" s="28" t="s">
        <v>23</v>
      </c>
      <c r="B189" s="30">
        <f>AVERAGE(12,13,15)*10000</f>
        <v>133333.33333333334</v>
      </c>
      <c r="C189" s="30">
        <f>AVERAGE(8,6,5)*10000</f>
        <v>63333.333333333328</v>
      </c>
      <c r="D189" s="30">
        <f>AVERAGE(16,7,8)*10000</f>
        <v>103333.33333333334</v>
      </c>
      <c r="E189" s="31">
        <f t="shared" si="27"/>
        <v>0.61290322580645151</v>
      </c>
      <c r="F189" s="31">
        <f t="shared" si="30"/>
        <v>1.6315789473684212</v>
      </c>
      <c r="G189" s="37">
        <f t="shared" si="28"/>
        <v>0.37999999999999995</v>
      </c>
      <c r="H189" s="30"/>
      <c r="I189" s="37">
        <f t="shared" si="29"/>
        <v>0.62000000000000011</v>
      </c>
      <c r="J189" s="28"/>
      <c r="K189" s="28"/>
      <c r="L189" s="28"/>
      <c r="M189" s="28"/>
      <c r="N189" s="28"/>
      <c r="O189" s="28"/>
    </row>
    <row r="190" spans="1:15" x14ac:dyDescent="0.3">
      <c r="A190" s="28" t="s">
        <v>24</v>
      </c>
      <c r="B190" s="30">
        <f>AVERAGE(12,10,14)*10000</f>
        <v>120000</v>
      </c>
      <c r="C190" s="30">
        <f>AVERAGE(12,7,9)*10000</f>
        <v>93333.333333333343</v>
      </c>
      <c r="D190" s="30">
        <f>AVERAGE(9,7,11)*10000</f>
        <v>90000</v>
      </c>
      <c r="E190" s="31">
        <f t="shared" si="27"/>
        <v>1.0370370370370372</v>
      </c>
      <c r="F190" s="31">
        <f t="shared" si="30"/>
        <v>0.96428571428571419</v>
      </c>
      <c r="G190" s="37">
        <f t="shared" si="28"/>
        <v>0.50909090909090915</v>
      </c>
      <c r="H190" s="30"/>
      <c r="I190" s="37">
        <f t="shared" si="29"/>
        <v>0.49090909090909085</v>
      </c>
      <c r="J190" s="28"/>
      <c r="K190" s="28"/>
      <c r="L190" s="28"/>
      <c r="M190" s="28"/>
      <c r="N190" s="28"/>
      <c r="O190" s="28"/>
    </row>
    <row r="191" spans="1:15" x14ac:dyDescent="0.3">
      <c r="A191" s="28" t="s">
        <v>25</v>
      </c>
      <c r="B191" s="30">
        <f>AVERAGE(15,14,6)*10000</f>
        <v>116666.66666666666</v>
      </c>
      <c r="C191" s="30">
        <f>AVERAGE(6,6,3)*10000</f>
        <v>50000</v>
      </c>
      <c r="D191" s="30">
        <f>AVERAGE(6,11,10)*10000</f>
        <v>90000</v>
      </c>
      <c r="E191" s="31">
        <f t="shared" si="27"/>
        <v>0.55555555555555558</v>
      </c>
      <c r="F191" s="31">
        <f t="shared" si="30"/>
        <v>1.8</v>
      </c>
      <c r="G191" s="37">
        <f t="shared" si="28"/>
        <v>0.35714285714285715</v>
      </c>
      <c r="H191" s="30"/>
      <c r="I191" s="37">
        <f t="shared" si="29"/>
        <v>0.64285714285714279</v>
      </c>
      <c r="J191" s="28"/>
      <c r="K191" s="28"/>
      <c r="L191" s="28"/>
      <c r="M191" s="28"/>
      <c r="N191" s="28"/>
      <c r="O191" s="28"/>
    </row>
    <row r="192" spans="1:15" x14ac:dyDescent="0.3">
      <c r="A192" s="28" t="s">
        <v>26</v>
      </c>
      <c r="B192" s="30">
        <f>AVERAGE(17,12,10)*10000</f>
        <v>130000</v>
      </c>
      <c r="C192" s="30">
        <f>AVERAGE(8,6,5)*10000</f>
        <v>63333.333333333328</v>
      </c>
      <c r="D192" s="30">
        <f>AVERAGE(14,8,6)*10000</f>
        <v>93333.333333333343</v>
      </c>
      <c r="E192" s="31">
        <f t="shared" si="27"/>
        <v>0.67857142857142849</v>
      </c>
      <c r="F192" s="31">
        <f t="shared" si="30"/>
        <v>1.4736842105263162</v>
      </c>
      <c r="G192" s="37">
        <f t="shared" si="28"/>
        <v>0.40425531914893609</v>
      </c>
      <c r="H192" s="30"/>
      <c r="I192" s="37">
        <f t="shared" si="29"/>
        <v>0.59574468085106391</v>
      </c>
      <c r="J192" s="28"/>
      <c r="K192" s="28"/>
      <c r="L192" s="28"/>
      <c r="M192" s="28"/>
      <c r="N192" s="28"/>
      <c r="O192" s="28"/>
    </row>
    <row r="193" spans="1:15" x14ac:dyDescent="0.3">
      <c r="A193" s="28" t="s">
        <v>27</v>
      </c>
      <c r="B193" s="30">
        <f>AVERAGE(13,16)*10000</f>
        <v>145000</v>
      </c>
      <c r="C193" s="30">
        <f>AVERAGE(4,5,5)*10000</f>
        <v>46666.666666666672</v>
      </c>
      <c r="D193" s="30">
        <f>AVERAGE(5,6,8)*10000</f>
        <v>63333.333333333328</v>
      </c>
      <c r="E193" s="31">
        <f t="shared" si="27"/>
        <v>0.73684210526315808</v>
      </c>
      <c r="F193" s="31">
        <f t="shared" si="30"/>
        <v>1.357142857142857</v>
      </c>
      <c r="G193" s="37">
        <f t="shared" si="28"/>
        <v>0.42424242424242431</v>
      </c>
      <c r="H193" s="30"/>
      <c r="I193" s="37">
        <f t="shared" si="29"/>
        <v>0.57575757575757569</v>
      </c>
      <c r="J193" s="28"/>
      <c r="K193" s="28"/>
      <c r="L193" s="28"/>
      <c r="M193" s="28"/>
      <c r="N193" s="28"/>
      <c r="O193" s="28"/>
    </row>
    <row r="194" spans="1:15" x14ac:dyDescent="0.3">
      <c r="A194" s="28" t="s">
        <v>28</v>
      </c>
      <c r="B194" s="30">
        <f>AVERAGE(12,21)*10000</f>
        <v>165000</v>
      </c>
      <c r="C194" s="30">
        <f>AVERAGE(9,9,5)*10000</f>
        <v>76666.666666666672</v>
      </c>
      <c r="D194" s="30">
        <f>AVERAGE(2,8,10)*10000</f>
        <v>66666.666666666672</v>
      </c>
      <c r="E194" s="31">
        <f t="shared" si="27"/>
        <v>1.1499999999999999</v>
      </c>
      <c r="F194" s="31">
        <f t="shared" si="30"/>
        <v>0.86956521739130432</v>
      </c>
      <c r="G194" s="37">
        <f t="shared" si="28"/>
        <v>0.53488372093023251</v>
      </c>
      <c r="H194" s="30"/>
      <c r="I194" s="37">
        <f t="shared" si="29"/>
        <v>0.46511627906976749</v>
      </c>
      <c r="J194" s="28"/>
      <c r="K194" s="28"/>
      <c r="L194" s="28"/>
      <c r="M194" s="28"/>
      <c r="N194" s="28"/>
      <c r="O194" s="28"/>
    </row>
    <row r="195" spans="1:15" x14ac:dyDescent="0.3">
      <c r="A195" s="28" t="s">
        <v>29</v>
      </c>
      <c r="B195" s="30">
        <f>AVERAGE(18,7)*10000</f>
        <v>125000</v>
      </c>
      <c r="C195" s="30">
        <f>AVERAGE(8,5,7)*10000</f>
        <v>66666.666666666672</v>
      </c>
      <c r="D195" s="30">
        <f>AVERAGE(8,5,13)*10000</f>
        <v>86666.666666666657</v>
      </c>
      <c r="E195" s="31">
        <f t="shared" si="27"/>
        <v>0.76923076923076938</v>
      </c>
      <c r="F195" s="31">
        <f t="shared" si="30"/>
        <v>1.2999999999999998</v>
      </c>
      <c r="G195" s="37">
        <f t="shared" si="28"/>
        <v>0.43478260869565227</v>
      </c>
      <c r="H195" s="30"/>
      <c r="I195" s="37">
        <f t="shared" si="29"/>
        <v>0.56521739130434767</v>
      </c>
      <c r="J195" s="28"/>
      <c r="K195" s="28"/>
      <c r="L195" s="28"/>
      <c r="M195" s="28"/>
      <c r="N195" s="28"/>
      <c r="O195" s="28"/>
    </row>
    <row r="196" spans="1:15" x14ac:dyDescent="0.3">
      <c r="A196" s="28" t="s">
        <v>30</v>
      </c>
      <c r="B196" s="30">
        <f>AVERAGE(19,13)*10000</f>
        <v>160000</v>
      </c>
      <c r="C196" s="30">
        <f>AVERAGE(11,5,5)*10000</f>
        <v>70000</v>
      </c>
      <c r="D196" s="30">
        <f>AVERAGE(7,9,5)*10000</f>
        <v>70000</v>
      </c>
      <c r="E196" s="31">
        <f t="shared" si="27"/>
        <v>1</v>
      </c>
      <c r="F196" s="31">
        <f t="shared" si="30"/>
        <v>1</v>
      </c>
      <c r="G196" s="37">
        <f t="shared" si="28"/>
        <v>0.5</v>
      </c>
      <c r="H196" s="30"/>
      <c r="I196" s="37">
        <f t="shared" si="29"/>
        <v>0.5</v>
      </c>
      <c r="J196" s="28"/>
      <c r="K196" s="28"/>
      <c r="L196" s="28"/>
      <c r="M196" s="28"/>
      <c r="N196" s="28"/>
      <c r="O196" s="28"/>
    </row>
    <row r="197" spans="1:15" x14ac:dyDescent="0.3">
      <c r="A197" s="8"/>
      <c r="B197" s="9"/>
      <c r="C197" s="9"/>
      <c r="D197" s="9"/>
      <c r="E197" s="10"/>
      <c r="F197" s="10"/>
      <c r="G197" s="37"/>
      <c r="H197" s="30"/>
      <c r="I197" s="37"/>
      <c r="J197" s="28"/>
      <c r="K197" s="28"/>
      <c r="L197" s="28"/>
      <c r="M197" s="28"/>
      <c r="N197" s="28"/>
      <c r="O197" s="28"/>
    </row>
    <row r="198" spans="1:15" x14ac:dyDescent="0.3">
      <c r="A198" s="8"/>
      <c r="B198" s="8"/>
      <c r="C198" s="8"/>
      <c r="D198" s="8"/>
      <c r="E198" s="8"/>
      <c r="F198" s="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x14ac:dyDescent="0.3">
      <c r="A201" t="s">
        <v>31</v>
      </c>
    </row>
    <row r="202" spans="1:15" ht="15.6" x14ac:dyDescent="0.3">
      <c r="A202" s="12" t="s">
        <v>32</v>
      </c>
      <c r="B202" s="13" t="s">
        <v>33</v>
      </c>
      <c r="C202" s="13" t="s">
        <v>34</v>
      </c>
      <c r="D202" s="13" t="s">
        <v>35</v>
      </c>
      <c r="E202" s="14" t="s">
        <v>36</v>
      </c>
    </row>
    <row r="203" spans="1:15" x14ac:dyDescent="0.3">
      <c r="A203" t="s">
        <v>19</v>
      </c>
      <c r="B203" s="15">
        <f>AVERAGE(2,5,6)*100000000</f>
        <v>433333333.33333331</v>
      </c>
      <c r="C203" s="15" t="s">
        <v>37</v>
      </c>
      <c r="D203" s="15" t="s">
        <v>37</v>
      </c>
      <c r="E203" s="6">
        <f>LOG10(B203/B185)/LOG10(2)</f>
        <v>11.66622400280318</v>
      </c>
    </row>
    <row r="204" spans="1:15" x14ac:dyDescent="0.3">
      <c r="A204" t="s">
        <v>20</v>
      </c>
      <c r="B204" s="15">
        <f>AVERAGE(11,11,8)*100000000</f>
        <v>1000000000</v>
      </c>
      <c r="C204" s="15" t="s">
        <v>37</v>
      </c>
      <c r="D204" s="15" t="s">
        <v>37</v>
      </c>
      <c r="E204" s="6">
        <f t="shared" ref="E204:E214" si="31">LOG10(B204/B186)/LOG10(2)</f>
        <v>13.240406664771092</v>
      </c>
    </row>
    <row r="205" spans="1:15" x14ac:dyDescent="0.3">
      <c r="A205" t="s">
        <v>21</v>
      </c>
      <c r="B205" s="15">
        <f>AVERAGE(12,13,75)*100000000</f>
        <v>3333333333.3333335</v>
      </c>
      <c r="C205" s="15" t="s">
        <v>37</v>
      </c>
      <c r="D205" s="15" t="s">
        <v>37</v>
      </c>
      <c r="E205" s="6">
        <f t="shared" si="31"/>
        <v>14.802285552379207</v>
      </c>
    </row>
    <row r="206" spans="1:15" x14ac:dyDescent="0.3">
      <c r="A206" t="s">
        <v>22</v>
      </c>
      <c r="B206" s="15">
        <f>AVERAGE(5,4,13)*100000000</f>
        <v>733333333.33333325</v>
      </c>
      <c r="C206" s="15" t="s">
        <v>37</v>
      </c>
      <c r="D206" s="15" t="s">
        <v>37</v>
      </c>
      <c r="E206" s="6">
        <f t="shared" si="31"/>
        <v>13.939572688101704</v>
      </c>
    </row>
    <row r="207" spans="1:15" x14ac:dyDescent="0.3">
      <c r="A207" t="s">
        <v>23</v>
      </c>
      <c r="B207" s="15">
        <f>AVERAGE(6,9,12)*100000000</f>
        <v>900000000</v>
      </c>
      <c r="C207" s="15" t="s">
        <v>37</v>
      </c>
      <c r="D207" s="15" t="s">
        <v>37</v>
      </c>
      <c r="E207" s="6">
        <f t="shared" si="31"/>
        <v>12.720671786825555</v>
      </c>
    </row>
    <row r="208" spans="1:15" x14ac:dyDescent="0.3">
      <c r="A208" t="s">
        <v>24</v>
      </c>
      <c r="B208" s="15">
        <f>AVERAGE(8,5,6)*100000000</f>
        <v>633333333.33333325</v>
      </c>
      <c r="C208" s="15" t="s">
        <v>37</v>
      </c>
      <c r="D208" s="15" t="s">
        <v>37</v>
      </c>
      <c r="E208" s="6">
        <f t="shared" si="31"/>
        <v>12.365714891550722</v>
      </c>
    </row>
    <row r="209" spans="1:5" x14ac:dyDescent="0.3">
      <c r="A209" t="s">
        <v>25</v>
      </c>
      <c r="B209" s="15">
        <f>AVERAGE(5,5,6)*100000000</f>
        <v>533333333.33333331</v>
      </c>
      <c r="C209" s="15" t="s">
        <v>37</v>
      </c>
      <c r="D209" s="15" t="s">
        <v>37</v>
      </c>
      <c r="E209" s="6">
        <f t="shared" si="31"/>
        <v>12.158429362604483</v>
      </c>
    </row>
    <row r="210" spans="1:5" x14ac:dyDescent="0.3">
      <c r="A210" t="s">
        <v>26</v>
      </c>
      <c r="B210" s="15">
        <f>AVERAGE(8,11,7)*100000000</f>
        <v>866666666.66666663</v>
      </c>
      <c r="C210" s="15" t="s">
        <v>37</v>
      </c>
      <c r="D210" s="15" t="s">
        <v>37</v>
      </c>
      <c r="E210" s="6">
        <f t="shared" si="31"/>
        <v>12.702749878828293</v>
      </c>
    </row>
    <row r="211" spans="1:5" x14ac:dyDescent="0.3">
      <c r="A211" t="s">
        <v>27</v>
      </c>
      <c r="B211" s="15">
        <f>AVERAGE(4,9,10)*100000000</f>
        <v>766666666.66666675</v>
      </c>
      <c r="C211" s="15" t="s">
        <v>37</v>
      </c>
      <c r="D211" s="15" t="s">
        <v>37</v>
      </c>
      <c r="E211" s="6">
        <f t="shared" si="31"/>
        <v>12.368330839757734</v>
      </c>
    </row>
    <row r="212" spans="1:5" x14ac:dyDescent="0.3">
      <c r="A212" t="s">
        <v>28</v>
      </c>
      <c r="B212" s="15">
        <f>AVERAGE(3,6,8)*100000000</f>
        <v>566666666.66666675</v>
      </c>
      <c r="C212" s="15" t="s">
        <v>37</v>
      </c>
      <c r="D212" s="15" t="s">
        <v>37</v>
      </c>
      <c r="E212" s="6">
        <f t="shared" si="31"/>
        <v>11.745818600720179</v>
      </c>
    </row>
    <row r="213" spans="1:5" x14ac:dyDescent="0.3">
      <c r="A213" t="s">
        <v>29</v>
      </c>
      <c r="B213" s="15">
        <f>AVERAGE(3,6,2)*100000000</f>
        <v>366666666.66666663</v>
      </c>
      <c r="C213" s="15" t="s">
        <v>37</v>
      </c>
      <c r="D213" s="15" t="s">
        <v>37</v>
      </c>
      <c r="E213" s="6">
        <f t="shared" si="31"/>
        <v>11.518325307690866</v>
      </c>
    </row>
    <row r="214" spans="1:5" x14ac:dyDescent="0.3">
      <c r="A214" t="s">
        <v>30</v>
      </c>
      <c r="B214" s="15">
        <f>AVERAGE(3,1,5)*100000000</f>
        <v>300000000</v>
      </c>
      <c r="C214" s="15" t="s">
        <v>37</v>
      </c>
      <c r="D214" s="15" t="s">
        <v>37</v>
      </c>
      <c r="E214" s="6">
        <f t="shared" si="31"/>
        <v>10.872674880270605</v>
      </c>
    </row>
    <row r="215" spans="1:5" x14ac:dyDescent="0.3">
      <c r="A215" s="16"/>
      <c r="B215" s="17"/>
      <c r="C215" s="17"/>
      <c r="D215" s="17"/>
    </row>
    <row r="217" spans="1:5" x14ac:dyDescent="0.3">
      <c r="A217" t="s">
        <v>38</v>
      </c>
    </row>
    <row r="218" spans="1:5" ht="15.6" x14ac:dyDescent="0.3">
      <c r="A218" s="12" t="s">
        <v>32</v>
      </c>
      <c r="B218" s="13" t="s">
        <v>33</v>
      </c>
      <c r="C218" s="13" t="s">
        <v>34</v>
      </c>
      <c r="D218" s="13" t="s">
        <v>35</v>
      </c>
    </row>
    <row r="219" spans="1:5" x14ac:dyDescent="0.3">
      <c r="A219" t="s">
        <v>19</v>
      </c>
      <c r="B219" s="15">
        <f>AVERAGE(9,8,9)*100000000</f>
        <v>866666666.66666663</v>
      </c>
      <c r="C219" s="15" t="s">
        <v>37</v>
      </c>
      <c r="D219" s="15" t="s">
        <v>37</v>
      </c>
      <c r="E219" s="6">
        <f t="shared" ref="E219:E230" si="32">LOG10(B219/((B203)/1000))/LOG(2)</f>
        <v>10.965784284662087</v>
      </c>
    </row>
    <row r="220" spans="1:5" x14ac:dyDescent="0.3">
      <c r="A220" t="s">
        <v>20</v>
      </c>
      <c r="B220" s="15">
        <f>AVERAGE(4,7,13)*100000000</f>
        <v>800000000</v>
      </c>
      <c r="C220" s="15" t="s">
        <v>37</v>
      </c>
      <c r="D220" s="15" t="s">
        <v>37</v>
      </c>
      <c r="E220" s="6">
        <f t="shared" si="32"/>
        <v>9.6438561897747253</v>
      </c>
    </row>
    <row r="221" spans="1:5" x14ac:dyDescent="0.3">
      <c r="A221" t="s">
        <v>21</v>
      </c>
      <c r="B221" s="15">
        <f>AVERAGE(10,7,9)*100000000</f>
        <v>866666666.66666663</v>
      </c>
      <c r="C221" s="15" t="s">
        <v>37</v>
      </c>
      <c r="D221" s="15" t="s">
        <v>37</v>
      </c>
      <c r="E221" s="6">
        <f t="shared" si="32"/>
        <v>8.0223678130284544</v>
      </c>
    </row>
    <row r="222" spans="1:5" x14ac:dyDescent="0.3">
      <c r="A222" t="s">
        <v>22</v>
      </c>
      <c r="B222" s="15">
        <f>AVERAGE(7,10,7)*100000000</f>
        <v>800000000</v>
      </c>
      <c r="C222" s="15" t="s">
        <v>37</v>
      </c>
      <c r="D222" s="15" t="s">
        <v>37</v>
      </c>
      <c r="E222" s="6">
        <f t="shared" si="32"/>
        <v>10.091315166745945</v>
      </c>
    </row>
    <row r="223" spans="1:5" x14ac:dyDescent="0.3">
      <c r="A223" t="s">
        <v>23</v>
      </c>
      <c r="B223" s="15">
        <f>AVERAGE(8,8,6*100000000)</f>
        <v>200000005.33333334</v>
      </c>
      <c r="C223" s="15" t="s">
        <v>37</v>
      </c>
      <c r="D223" s="15" t="s">
        <v>37</v>
      </c>
      <c r="E223" s="6">
        <f t="shared" si="32"/>
        <v>7.7958593216916414</v>
      </c>
    </row>
    <row r="224" spans="1:5" x14ac:dyDescent="0.3">
      <c r="A224" t="s">
        <v>24</v>
      </c>
      <c r="B224" s="15">
        <f>AVERAGE(14,11,4)*100000000</f>
        <v>966666666.66666663</v>
      </c>
      <c r="C224" s="15" t="s">
        <v>37</v>
      </c>
      <c r="D224" s="15" t="s">
        <v>37</v>
      </c>
      <c r="E224" s="6">
        <f t="shared" si="32"/>
        <v>10.575837766346075</v>
      </c>
    </row>
    <row r="225" spans="1:5" x14ac:dyDescent="0.3">
      <c r="A225" t="s">
        <v>25</v>
      </c>
      <c r="B225" s="15">
        <f>AVERAGE(3,2,2)*100000000</f>
        <v>233333333.33333334</v>
      </c>
      <c r="C225" s="15" t="s">
        <v>37</v>
      </c>
      <c r="D225" s="15" t="s">
        <v>37</v>
      </c>
      <c r="E225" s="6">
        <f t="shared" si="32"/>
        <v>8.7731392067196907</v>
      </c>
    </row>
    <row r="226" spans="1:5" x14ac:dyDescent="0.3">
      <c r="A226" t="s">
        <v>26</v>
      </c>
      <c r="B226" s="15">
        <f>AVERAGE(6,8,5)*100000000</f>
        <v>633333333.33333325</v>
      </c>
      <c r="C226" s="15" t="s">
        <v>37</v>
      </c>
      <c r="D226" s="15" t="s">
        <v>37</v>
      </c>
      <c r="E226" s="6">
        <f t="shared" si="32"/>
        <v>9.5132720799645814</v>
      </c>
    </row>
    <row r="227" spans="1:5" x14ac:dyDescent="0.3">
      <c r="A227" t="s">
        <v>27</v>
      </c>
      <c r="B227" s="15">
        <f>AVERAGE(3,3,3)*100000000</f>
        <v>300000000</v>
      </c>
      <c r="C227" s="15" t="s">
        <v>37</v>
      </c>
      <c r="D227" s="15" t="s">
        <v>37</v>
      </c>
      <c r="E227" s="6">
        <f t="shared" si="32"/>
        <v>8.612147330047387</v>
      </c>
    </row>
    <row r="228" spans="1:5" x14ac:dyDescent="0.3">
      <c r="A228" t="s">
        <v>28</v>
      </c>
      <c r="B228" s="15">
        <f>AVERAGE(4,2,2)*100000000</f>
        <v>266666666.66666666</v>
      </c>
      <c r="C228" s="15" t="s">
        <v>37</v>
      </c>
      <c r="D228" s="15" t="s">
        <v>37</v>
      </c>
      <c r="E228" s="6">
        <f t="shared" si="32"/>
        <v>8.8783214434117479</v>
      </c>
    </row>
    <row r="229" spans="1:5" x14ac:dyDescent="0.3">
      <c r="A229" t="s">
        <v>29</v>
      </c>
      <c r="B229" s="15">
        <f>AVERAGE(4,5,9)*100000000</f>
        <v>600000000</v>
      </c>
      <c r="C229" s="15" t="s">
        <v>37</v>
      </c>
      <c r="D229" s="15" t="s">
        <v>37</v>
      </c>
      <c r="E229" s="6">
        <f t="shared" si="32"/>
        <v>10.676277667467103</v>
      </c>
    </row>
    <row r="230" spans="1:5" x14ac:dyDescent="0.3">
      <c r="A230" t="s">
        <v>30</v>
      </c>
      <c r="B230" s="15">
        <f>AVERAGE(3,6)*100000000</f>
        <v>450000000</v>
      </c>
      <c r="C230" s="15" t="s">
        <v>37</v>
      </c>
      <c r="D230" s="15" t="s">
        <v>37</v>
      </c>
      <c r="E230" s="6">
        <f t="shared" si="32"/>
        <v>10.550746785383243</v>
      </c>
    </row>
    <row r="231" spans="1:5" x14ac:dyDescent="0.3">
      <c r="A231" s="16"/>
      <c r="B231" s="17"/>
      <c r="C231" s="17"/>
      <c r="D231" s="17"/>
    </row>
    <row r="233" spans="1:5" x14ac:dyDescent="0.3">
      <c r="A233" t="s">
        <v>39</v>
      </c>
    </row>
    <row r="234" spans="1:5" ht="15.6" x14ac:dyDescent="0.3">
      <c r="A234" s="12" t="s">
        <v>32</v>
      </c>
      <c r="B234" s="13" t="s">
        <v>33</v>
      </c>
      <c r="C234" s="13" t="s">
        <v>34</v>
      </c>
      <c r="D234" s="13" t="s">
        <v>35</v>
      </c>
    </row>
    <row r="235" spans="1:5" x14ac:dyDescent="0.3">
      <c r="A235" t="s">
        <v>19</v>
      </c>
      <c r="B235" s="15">
        <f>AVERAGE(6,10,7)*100000000</f>
        <v>766666666.66666675</v>
      </c>
      <c r="C235" s="15" t="s">
        <v>37</v>
      </c>
      <c r="D235" s="15" t="s">
        <v>37</v>
      </c>
      <c r="E235" s="6">
        <f t="shared" ref="E235:E246" si="33">LOG10(B235/((B219)/1000))/LOG(2)</f>
        <v>9.7889065225780083</v>
      </c>
    </row>
    <row r="236" spans="1:5" x14ac:dyDescent="0.3">
      <c r="A236" t="s">
        <v>20</v>
      </c>
      <c r="B236" s="15">
        <f>AVERAGE(7,10,16)*100000000</f>
        <v>1100000000</v>
      </c>
      <c r="C236" s="15" t="s">
        <v>37</v>
      </c>
      <c r="D236" s="15" t="s">
        <v>37</v>
      </c>
      <c r="E236" s="6">
        <f t="shared" si="33"/>
        <v>10.425215903299385</v>
      </c>
    </row>
    <row r="237" spans="1:5" x14ac:dyDescent="0.3">
      <c r="A237" t="s">
        <v>21</v>
      </c>
      <c r="B237" s="15">
        <f>AVERAGE(8,4,5)*100000000</f>
        <v>566666666.66666675</v>
      </c>
      <c r="C237" s="15" t="s">
        <v>37</v>
      </c>
      <c r="D237" s="15" t="s">
        <v>37</v>
      </c>
      <c r="E237" s="6">
        <f t="shared" si="33"/>
        <v>9.3528074077713335</v>
      </c>
    </row>
    <row r="238" spans="1:5" x14ac:dyDescent="0.3">
      <c r="A238" t="s">
        <v>22</v>
      </c>
      <c r="B238" s="15">
        <f>AVERAGE(9,10,7)*100000000</f>
        <v>866666666.66666663</v>
      </c>
      <c r="C238" s="15" t="s">
        <v>37</v>
      </c>
      <c r="D238" s="15" t="s">
        <v>37</v>
      </c>
      <c r="E238" s="6">
        <f t="shared" si="33"/>
        <v>10.081261502082022</v>
      </c>
    </row>
    <row r="239" spans="1:5" x14ac:dyDescent="0.3">
      <c r="A239" t="s">
        <v>23</v>
      </c>
      <c r="B239" s="15">
        <f>AVERAGE(8,5,9)*100000000</f>
        <v>733333333.33333325</v>
      </c>
      <c r="C239" s="15" t="s">
        <v>37</v>
      </c>
      <c r="D239" s="15" t="s">
        <v>37</v>
      </c>
      <c r="E239" s="6">
        <f t="shared" si="33"/>
        <v>11.84025336410636</v>
      </c>
    </row>
    <row r="240" spans="1:5" x14ac:dyDescent="0.3">
      <c r="A240" t="s">
        <v>24</v>
      </c>
      <c r="B240" s="15">
        <f>AVERAGE(5,9,11)*100000000</f>
        <v>833333333.33333337</v>
      </c>
      <c r="C240" s="15" t="s">
        <v>37</v>
      </c>
      <c r="D240" s="15" t="s">
        <v>37</v>
      </c>
      <c r="E240" s="6">
        <f t="shared" si="33"/>
        <v>9.7516594793092395</v>
      </c>
    </row>
    <row r="241" spans="1:15" ht="18" x14ac:dyDescent="0.35">
      <c r="A241" t="s">
        <v>25</v>
      </c>
      <c r="B241" s="15">
        <f>AVERAGE(5,10,4)*100000000</f>
        <v>633333333.33333325</v>
      </c>
      <c r="C241" s="15" t="s">
        <v>37</v>
      </c>
      <c r="D241" s="15" t="s">
        <v>37</v>
      </c>
      <c r="E241" s="6">
        <f t="shared" si="33"/>
        <v>11.406356876048068</v>
      </c>
      <c r="H241" s="18" t="s">
        <v>40</v>
      </c>
      <c r="L241" s="18" t="s">
        <v>41</v>
      </c>
    </row>
    <row r="242" spans="1:15" x14ac:dyDescent="0.3">
      <c r="A242" t="s">
        <v>26</v>
      </c>
      <c r="B242" s="15">
        <f>AVERAGE(2,3,6)*100000000</f>
        <v>366666666.66666663</v>
      </c>
      <c r="C242" s="15" t="s">
        <v>37</v>
      </c>
      <c r="D242" s="15" t="s">
        <v>37</v>
      </c>
      <c r="E242" s="6">
        <f t="shared" si="33"/>
        <v>9.1772883898557982</v>
      </c>
      <c r="H242" t="s">
        <v>42</v>
      </c>
      <c r="I242" t="s">
        <v>43</v>
      </c>
      <c r="J242" t="s">
        <v>44</v>
      </c>
      <c r="L242" t="s">
        <v>42</v>
      </c>
      <c r="M242" t="s">
        <v>43</v>
      </c>
      <c r="N242" t="s">
        <v>44</v>
      </c>
    </row>
    <row r="243" spans="1:15" x14ac:dyDescent="0.3">
      <c r="A243" t="s">
        <v>27</v>
      </c>
      <c r="B243" s="15">
        <f>AVERAGE(6,8,5)*100000000</f>
        <v>633333333.33333325</v>
      </c>
      <c r="C243" s="15" t="s">
        <v>37</v>
      </c>
      <c r="D243" s="15" t="s">
        <v>37</v>
      </c>
      <c r="E243" s="6">
        <f t="shared" si="33"/>
        <v>11.04378679666336</v>
      </c>
      <c r="H243">
        <v>0</v>
      </c>
      <c r="I243" s="4">
        <f t="shared" ref="I243:I248" si="34">C251/D251</f>
        <v>0.48333333333333334</v>
      </c>
      <c r="J243" s="4">
        <f t="shared" ref="J243:J248" si="35">C257/D257</f>
        <v>0.66666666666666663</v>
      </c>
      <c r="L243">
        <v>0</v>
      </c>
      <c r="M243" s="19">
        <f t="shared" ref="M243:M248" si="36">LN((H251*G185)/(1-H251))/4</f>
        <v>-0.38569955872197603</v>
      </c>
      <c r="N243" s="19">
        <f t="shared" ref="N243:N248" si="37">LN((H257*G191)/(1-H257))/4</f>
        <v>-0.35877113132233063</v>
      </c>
      <c r="O243" t="s">
        <v>45</v>
      </c>
    </row>
    <row r="244" spans="1:15" x14ac:dyDescent="0.3">
      <c r="A244" t="s">
        <v>28</v>
      </c>
      <c r="B244" s="15">
        <f>AVERAGE(3,2,7)*100000000</f>
        <v>400000000</v>
      </c>
      <c r="C244" s="15" t="s">
        <v>37</v>
      </c>
      <c r="D244" s="15" t="s">
        <v>37</v>
      </c>
      <c r="E244" s="6">
        <f t="shared" si="33"/>
        <v>10.550746785383243</v>
      </c>
      <c r="H244">
        <v>0.05</v>
      </c>
      <c r="I244" s="4">
        <f t="shared" si="34"/>
        <v>3</v>
      </c>
      <c r="J244" s="4">
        <f t="shared" si="35"/>
        <v>1.8</v>
      </c>
      <c r="L244">
        <v>0.05</v>
      </c>
      <c r="M244" s="19">
        <f t="shared" si="36"/>
        <v>0.13714148793720943</v>
      </c>
      <c r="N244" s="19">
        <f t="shared" si="37"/>
        <v>-7.9480489410374805E-2</v>
      </c>
    </row>
    <row r="245" spans="1:15" x14ac:dyDescent="0.3">
      <c r="A245" t="s">
        <v>29</v>
      </c>
      <c r="B245" s="15">
        <f>AVERAGE(2,5)*100000000</f>
        <v>350000000</v>
      </c>
      <c r="C245" s="15" t="s">
        <v>37</v>
      </c>
      <c r="D245" s="15" t="s">
        <v>37</v>
      </c>
      <c r="E245" s="6">
        <f t="shared" si="33"/>
        <v>9.1881767059985346</v>
      </c>
      <c r="H245">
        <v>0.1</v>
      </c>
      <c r="I245" s="4">
        <f t="shared" si="34"/>
        <v>500</v>
      </c>
      <c r="J245" s="4">
        <f t="shared" si="35"/>
        <v>2</v>
      </c>
      <c r="L245">
        <v>0.1</v>
      </c>
      <c r="M245" s="19">
        <f t="shared" si="36"/>
        <v>1.2874743403574342</v>
      </c>
      <c r="N245" s="19">
        <f t="shared" si="37"/>
        <v>-4.1075762822819072E-2</v>
      </c>
    </row>
    <row r="246" spans="1:15" x14ac:dyDescent="0.3">
      <c r="A246" t="s">
        <v>30</v>
      </c>
      <c r="B246" s="15">
        <f>AVERAGE(2,6,2)*100000000</f>
        <v>333333333.33333337</v>
      </c>
      <c r="C246" s="15" t="s">
        <v>37</v>
      </c>
      <c r="D246" s="15" t="s">
        <v>37</v>
      </c>
      <c r="E246" s="6">
        <f t="shared" si="33"/>
        <v>9.5328248773859805</v>
      </c>
      <c r="H246">
        <v>0.25</v>
      </c>
      <c r="I246" s="4">
        <f t="shared" si="34"/>
        <v>1666666.6666666667</v>
      </c>
      <c r="J246" s="4">
        <f>C260/D260</f>
        <v>4.3478260869565224</v>
      </c>
      <c r="L246">
        <v>0.25</v>
      </c>
      <c r="M246" s="19">
        <f t="shared" si="36"/>
        <v>3.2420531744060548</v>
      </c>
      <c r="N246" s="19">
        <f t="shared" si="37"/>
        <v>0.21099251757363222</v>
      </c>
    </row>
    <row r="247" spans="1:15" x14ac:dyDescent="0.3">
      <c r="A247" s="16"/>
      <c r="B247" s="17"/>
      <c r="C247" s="17"/>
      <c r="D247" s="17"/>
      <c r="H247">
        <v>0.5</v>
      </c>
      <c r="I247" s="4">
        <f t="shared" si="34"/>
        <v>40000000</v>
      </c>
      <c r="J247" s="4">
        <f t="shared" si="35"/>
        <v>10000</v>
      </c>
      <c r="L247">
        <v>0.5</v>
      </c>
      <c r="M247" s="19">
        <f t="shared" si="36"/>
        <v>4.134201496164386</v>
      </c>
      <c r="N247" s="19">
        <f t="shared" si="37"/>
        <v>2.0943578122602284</v>
      </c>
    </row>
    <row r="248" spans="1:15" x14ac:dyDescent="0.3">
      <c r="H248">
        <v>1</v>
      </c>
      <c r="I248" s="4">
        <f t="shared" si="34"/>
        <v>60000000</v>
      </c>
      <c r="J248" s="4">
        <f t="shared" si="35"/>
        <v>3333333.3333333335</v>
      </c>
      <c r="L248">
        <v>1</v>
      </c>
      <c r="M248" s="19">
        <f t="shared" si="36"/>
        <v>4.3086816114105355</v>
      </c>
      <c r="N248" s="19">
        <f t="shared" si="37"/>
        <v>3.5815840454117134</v>
      </c>
    </row>
    <row r="249" spans="1:15" x14ac:dyDescent="0.3">
      <c r="A249" t="s">
        <v>46</v>
      </c>
      <c r="G249" s="21" t="s">
        <v>48</v>
      </c>
      <c r="H249" s="21"/>
    </row>
    <row r="250" spans="1:15" ht="15.6" x14ac:dyDescent="0.3">
      <c r="A250" s="12" t="s">
        <v>32</v>
      </c>
      <c r="B250" s="13" t="s">
        <v>33</v>
      </c>
      <c r="C250" s="13" t="s">
        <v>34</v>
      </c>
      <c r="D250" s="13" t="s">
        <v>35</v>
      </c>
      <c r="F250" s="22" t="s">
        <v>49</v>
      </c>
      <c r="G250" s="23" t="s">
        <v>50</v>
      </c>
      <c r="H250" t="s">
        <v>51</v>
      </c>
      <c r="J250" t="s">
        <v>57</v>
      </c>
    </row>
    <row r="251" spans="1:15" x14ac:dyDescent="0.3">
      <c r="A251" t="s">
        <v>19</v>
      </c>
      <c r="B251" s="15">
        <f>AVERAGE(6,5,8)*100000000</f>
        <v>633333333.33333325</v>
      </c>
      <c r="C251" s="15">
        <f>AVERAGE(1,1.9)*100000000</f>
        <v>145000000</v>
      </c>
      <c r="D251" s="15">
        <f>AVERAGE(3)*100000000</f>
        <v>300000000</v>
      </c>
      <c r="E251" s="6">
        <f t="shared" ref="E251:E262" si="38">LOG10(B251/((B235)/1000))/LOG(2)</f>
        <v>9.6901498420486583</v>
      </c>
      <c r="F251" s="22" t="s">
        <v>19</v>
      </c>
      <c r="G251" s="24">
        <f t="shared" ref="G251:G262" si="39">SUM(E251,E235,E219,E203)</f>
        <v>42.111064652091926</v>
      </c>
      <c r="H251" s="7">
        <f t="shared" ref="H251:H262" si="40">C251/(C251+D251)</f>
        <v>0.3258426966292135</v>
      </c>
      <c r="I251" s="4"/>
      <c r="J251" s="7">
        <f>1-H251</f>
        <v>0.6741573033707865</v>
      </c>
    </row>
    <row r="252" spans="1:15" x14ac:dyDescent="0.3">
      <c r="A252" t="s">
        <v>20</v>
      </c>
      <c r="B252" s="15">
        <f>AVERAGE(4,6,8)*100000000</f>
        <v>600000000</v>
      </c>
      <c r="C252" s="15">
        <f>AVERAGE(6)*100000000</f>
        <v>600000000</v>
      </c>
      <c r="D252" s="15">
        <f>AVERAGE(2)*100000000</f>
        <v>200000000</v>
      </c>
      <c r="E252" s="6">
        <f t="shared" si="38"/>
        <v>9.0913151667459449</v>
      </c>
      <c r="F252" s="22" t="s">
        <v>20</v>
      </c>
      <c r="G252" s="24">
        <f t="shared" si="39"/>
        <v>42.400793924591149</v>
      </c>
      <c r="H252" s="7">
        <f t="shared" si="40"/>
        <v>0.75</v>
      </c>
      <c r="I252" s="4"/>
      <c r="J252" s="7">
        <f t="shared" ref="J252:J262" si="41">1-H252</f>
        <v>0.25</v>
      </c>
    </row>
    <row r="253" spans="1:15" x14ac:dyDescent="0.3">
      <c r="A253" t="s">
        <v>21</v>
      </c>
      <c r="B253" s="15">
        <f>AVERAGE(8,4,7)*100000000</f>
        <v>633333333.33333325</v>
      </c>
      <c r="C253" s="15">
        <f>AVERAGE(4)*100000000</f>
        <v>400000000</v>
      </c>
      <c r="D253" s="15">
        <f>AVERAGE(8)*100000</f>
        <v>800000</v>
      </c>
      <c r="E253" s="6">
        <f t="shared" si="38"/>
        <v>10.126248956855331</v>
      </c>
      <c r="F253" s="22" t="s">
        <v>21</v>
      </c>
      <c r="G253" s="24">
        <f t="shared" si="39"/>
        <v>42.303709730034328</v>
      </c>
      <c r="H253" s="7">
        <f t="shared" si="40"/>
        <v>0.99800399201596801</v>
      </c>
      <c r="I253" s="4"/>
      <c r="J253" s="7">
        <f t="shared" si="41"/>
        <v>1.9960079840319889E-3</v>
      </c>
    </row>
    <row r="254" spans="1:15" x14ac:dyDescent="0.3">
      <c r="A254" t="s">
        <v>22</v>
      </c>
      <c r="B254" s="15">
        <f>AVERAGE(9,7,7)*100000000</f>
        <v>766666666.66666675</v>
      </c>
      <c r="C254" s="15">
        <f>AVERAGE(5)*100000000</f>
        <v>500000000</v>
      </c>
      <c r="D254" s="15">
        <f>AVERAGE(3)*100</f>
        <v>300</v>
      </c>
      <c r="E254" s="6">
        <f t="shared" si="38"/>
        <v>9.7889065225780083</v>
      </c>
      <c r="F254" s="22" t="s">
        <v>22</v>
      </c>
      <c r="G254" s="24">
        <f t="shared" si="39"/>
        <v>43.90105587950768</v>
      </c>
      <c r="H254" s="7">
        <f t="shared" si="40"/>
        <v>0.99999940000036003</v>
      </c>
      <c r="I254" s="4"/>
      <c r="J254" s="7">
        <f t="shared" si="41"/>
        <v>5.9999963997192651E-7</v>
      </c>
    </row>
    <row r="255" spans="1:15" x14ac:dyDescent="0.3">
      <c r="A255" t="s">
        <v>23</v>
      </c>
      <c r="B255" s="15">
        <f>AVERAGE(3,3,5)*100000000</f>
        <v>366666666.66666663</v>
      </c>
      <c r="C255" s="15">
        <f>AVERAGE(4)*100000000</f>
        <v>400000000</v>
      </c>
      <c r="D255" s="15">
        <v>10</v>
      </c>
      <c r="E255" s="6">
        <f t="shared" si="38"/>
        <v>8.965784284662087</v>
      </c>
      <c r="F255" s="22" t="s">
        <v>23</v>
      </c>
      <c r="G255" s="24">
        <f t="shared" si="39"/>
        <v>41.322568757285637</v>
      </c>
      <c r="H255" s="7">
        <f t="shared" si="40"/>
        <v>0.9999999750000006</v>
      </c>
      <c r="I255" s="4"/>
      <c r="J255" s="7">
        <f t="shared" si="41"/>
        <v>2.4999999403974016E-8</v>
      </c>
    </row>
    <row r="256" spans="1:15" x14ac:dyDescent="0.3">
      <c r="A256" t="s">
        <v>24</v>
      </c>
      <c r="B256" s="15">
        <f>AVERAGE(4,6,9)*100000000</f>
        <v>633333333.33333325</v>
      </c>
      <c r="C256" s="15">
        <f>AVERAGE(6)*100000000</f>
        <v>600000000</v>
      </c>
      <c r="D256" s="15">
        <v>10</v>
      </c>
      <c r="E256" s="6">
        <f t="shared" si="38"/>
        <v>9.5698556083309469</v>
      </c>
      <c r="F256" s="22" t="s">
        <v>24</v>
      </c>
      <c r="G256" s="24">
        <f t="shared" si="39"/>
        <v>42.263067745536986</v>
      </c>
      <c r="H256" s="7">
        <f t="shared" si="40"/>
        <v>0.99999998333333362</v>
      </c>
      <c r="I256" s="4"/>
      <c r="J256" s="7">
        <f t="shared" si="41"/>
        <v>1.6666666380338313E-8</v>
      </c>
    </row>
    <row r="257" spans="1:12" x14ac:dyDescent="0.3">
      <c r="A257" t="s">
        <v>25</v>
      </c>
      <c r="B257" s="15">
        <f>AVERAGE(1,3,8)*100000000</f>
        <v>400000000</v>
      </c>
      <c r="C257" s="15">
        <f>AVERAGE(2)*100000000</f>
        <v>200000000</v>
      </c>
      <c r="D257" s="15">
        <f>AVERAGE(3*100000000)</f>
        <v>300000000</v>
      </c>
      <c r="E257" s="6">
        <f t="shared" si="38"/>
        <v>9.3028192719396579</v>
      </c>
      <c r="F257" s="22" t="s">
        <v>25</v>
      </c>
      <c r="G257" s="24">
        <f t="shared" si="39"/>
        <v>41.640744717311904</v>
      </c>
      <c r="H257" s="7">
        <f t="shared" si="40"/>
        <v>0.4</v>
      </c>
      <c r="I257" s="4"/>
      <c r="J257" s="7">
        <f t="shared" si="41"/>
        <v>0.6</v>
      </c>
    </row>
    <row r="258" spans="1:12" x14ac:dyDescent="0.3">
      <c r="A258" t="s">
        <v>26</v>
      </c>
      <c r="B258" s="15">
        <f>AVERAGE(2,2,5)*100000000</f>
        <v>300000000</v>
      </c>
      <c r="C258" s="15">
        <f>AVERAGE(9)*100000000</f>
        <v>900000000</v>
      </c>
      <c r="D258" s="15">
        <f>AVERAGE(5)*100000000</f>
        <v>500000000</v>
      </c>
      <c r="E258" s="6">
        <f t="shared" si="38"/>
        <v>9.6762776674671027</v>
      </c>
      <c r="F258" s="22" t="s">
        <v>26</v>
      </c>
      <c r="G258" s="24">
        <f t="shared" si="39"/>
        <v>41.069588016115773</v>
      </c>
      <c r="H258" s="7">
        <f t="shared" si="40"/>
        <v>0.6428571428571429</v>
      </c>
      <c r="I258" s="4"/>
      <c r="J258" s="7">
        <f t="shared" si="41"/>
        <v>0.3571428571428571</v>
      </c>
    </row>
    <row r="259" spans="1:12" x14ac:dyDescent="0.3">
      <c r="A259" t="s">
        <v>27</v>
      </c>
      <c r="B259" s="15">
        <f>AVERAGE(2,6,7)*100000000</f>
        <v>500000000</v>
      </c>
      <c r="C259" s="15">
        <f>AVERAGE(2)*100000000</f>
        <v>200000000</v>
      </c>
      <c r="D259" s="15">
        <f>AVERAGE(1)*100000000</f>
        <v>100000000</v>
      </c>
      <c r="E259" s="6">
        <f t="shared" si="38"/>
        <v>9.6247473668270214</v>
      </c>
      <c r="F259" s="22" t="s">
        <v>27</v>
      </c>
      <c r="G259" s="24">
        <f t="shared" si="39"/>
        <v>41.649012333295502</v>
      </c>
      <c r="H259" s="7">
        <f t="shared" si="40"/>
        <v>0.66666666666666663</v>
      </c>
      <c r="I259" s="4"/>
      <c r="J259" s="7">
        <f t="shared" si="41"/>
        <v>0.33333333333333337</v>
      </c>
    </row>
    <row r="260" spans="1:12" x14ac:dyDescent="0.3">
      <c r="A260" t="s">
        <v>28</v>
      </c>
      <c r="B260" s="15">
        <f>AVERAGE(2,5,6)*100000000</f>
        <v>433333333.33333331</v>
      </c>
      <c r="C260" s="15">
        <f>AVERAGE(5)*100000000</f>
        <v>500000000</v>
      </c>
      <c r="D260" s="15">
        <f>AVERAGE(2,0.3)*100000000</f>
        <v>114999999.99999999</v>
      </c>
      <c r="E260" s="6">
        <f t="shared" si="38"/>
        <v>10.081261502082022</v>
      </c>
      <c r="F260" s="22" t="s">
        <v>28</v>
      </c>
      <c r="G260" s="24">
        <f t="shared" si="39"/>
        <v>41.256148331597188</v>
      </c>
      <c r="H260" s="7">
        <f t="shared" si="40"/>
        <v>0.81300813008130079</v>
      </c>
      <c r="I260" s="4"/>
      <c r="J260" s="7">
        <f t="shared" si="41"/>
        <v>0.18699186991869921</v>
      </c>
    </row>
    <row r="261" spans="1:12" x14ac:dyDescent="0.3">
      <c r="A261" t="s">
        <v>29</v>
      </c>
      <c r="B261" s="15">
        <f>AVERAGE(1,6,5)*100000000</f>
        <v>400000000</v>
      </c>
      <c r="C261" s="15">
        <f>AVERAGE(4)*100000000</f>
        <v>400000000</v>
      </c>
      <c r="D261" s="15">
        <f>AVERAGE(4)*10000</f>
        <v>40000</v>
      </c>
      <c r="E261" s="6">
        <f t="shared" si="38"/>
        <v>10.158429362604483</v>
      </c>
      <c r="F261" s="22" t="s">
        <v>29</v>
      </c>
      <c r="G261" s="24">
        <f t="shared" si="39"/>
        <v>41.541209043760986</v>
      </c>
      <c r="H261" s="26">
        <f t="shared" si="40"/>
        <v>0.99990000999900008</v>
      </c>
      <c r="I261" s="4"/>
      <c r="J261" s="7">
        <f t="shared" si="41"/>
        <v>9.9990000999916617E-5</v>
      </c>
    </row>
    <row r="262" spans="1:12" x14ac:dyDescent="0.3">
      <c r="A262" t="s">
        <v>30</v>
      </c>
      <c r="B262" s="15">
        <f>AVERAGE(3,3,2)*100000000</f>
        <v>266666666.66666666</v>
      </c>
      <c r="C262" s="15">
        <f>AVERAGE(4)*100000000</f>
        <v>400000000</v>
      </c>
      <c r="D262" s="15">
        <v>120</v>
      </c>
      <c r="E262" s="6">
        <f t="shared" si="38"/>
        <v>9.6438561897747235</v>
      </c>
      <c r="F262" s="22" t="s">
        <v>30</v>
      </c>
      <c r="G262" s="24">
        <f t="shared" si="39"/>
        <v>40.600102732814548</v>
      </c>
      <c r="H262" s="26">
        <f t="shared" si="40"/>
        <v>0.99999970000008997</v>
      </c>
      <c r="I262" s="4"/>
      <c r="J262" s="7">
        <f t="shared" si="41"/>
        <v>2.9999991002505055E-7</v>
      </c>
    </row>
    <row r="263" spans="1:12" x14ac:dyDescent="0.3">
      <c r="G263" s="6">
        <f>AVERAGE(G251:G262)</f>
        <v>41.838255488661979</v>
      </c>
    </row>
    <row r="266" spans="1:12" s="38" customFormat="1" x14ac:dyDescent="0.3"/>
    <row r="267" spans="1:12" s="38" customFormat="1" x14ac:dyDescent="0.3"/>
    <row r="268" spans="1:12" ht="21" x14ac:dyDescent="0.4">
      <c r="A268" s="43" t="s">
        <v>58</v>
      </c>
    </row>
    <row r="269" spans="1:12" x14ac:dyDescent="0.3">
      <c r="H269" t="s">
        <v>59</v>
      </c>
      <c r="K269" t="s">
        <v>60</v>
      </c>
    </row>
    <row r="270" spans="1:12" ht="15.6" x14ac:dyDescent="0.3">
      <c r="A270" s="12" t="s">
        <v>32</v>
      </c>
      <c r="B270" t="s">
        <v>61</v>
      </c>
      <c r="C270" t="s">
        <v>62</v>
      </c>
      <c r="D270" t="s">
        <v>63</v>
      </c>
      <c r="H270" t="s">
        <v>42</v>
      </c>
      <c r="I270" t="s">
        <v>64</v>
      </c>
      <c r="J270" t="s">
        <v>65</v>
      </c>
      <c r="K270" t="s">
        <v>64</v>
      </c>
      <c r="L270" t="s">
        <v>65</v>
      </c>
    </row>
    <row r="271" spans="1:12" x14ac:dyDescent="0.3">
      <c r="A271" t="s">
        <v>19</v>
      </c>
      <c r="B271" s="6">
        <f t="shared" ref="B271:C282" si="42">AVERAGE(G80,G167,G251)</f>
        <v>42.851578528060436</v>
      </c>
      <c r="C271" s="6">
        <f t="shared" si="42"/>
        <v>0.39579371938922508</v>
      </c>
      <c r="D271">
        <f>STDEV(H80,H167,H251)/SQRT(3)</f>
        <v>3.9228411264494098E-2</v>
      </c>
      <c r="H271">
        <v>0</v>
      </c>
      <c r="I271" s="4">
        <f t="shared" ref="I271:J276" si="43">AVERAGE(I72,I159,I243)</f>
        <v>0.669047619047619</v>
      </c>
      <c r="J271" s="4">
        <f t="shared" si="43"/>
        <v>0.90555555555555545</v>
      </c>
      <c r="K271" s="4">
        <f t="shared" ref="K271:L276" si="44">STDEV(I72,I159,I243)/SQRT(3)</f>
        <v>0.10791608116704371</v>
      </c>
      <c r="L271" s="4">
        <f t="shared" si="44"/>
        <v>0.1564458648925417</v>
      </c>
    </row>
    <row r="272" spans="1:12" x14ac:dyDescent="0.3">
      <c r="A272" t="s">
        <v>20</v>
      </c>
      <c r="B272" s="6">
        <f t="shared" si="42"/>
        <v>42.868908667082401</v>
      </c>
      <c r="C272" s="6">
        <f t="shared" si="42"/>
        <v>0.72619047619047616</v>
      </c>
      <c r="D272">
        <f t="shared" ref="D272:D282" si="45">STDEV(H81,H168,H252)/SQRT(3)</f>
        <v>2.9959660457423615E-2</v>
      </c>
      <c r="H272">
        <v>0.05</v>
      </c>
      <c r="I272" s="4">
        <f t="shared" si="43"/>
        <v>2.7333333333333329</v>
      </c>
      <c r="J272" s="4">
        <f t="shared" si="43"/>
        <v>1.2172839506172839</v>
      </c>
      <c r="K272" s="4">
        <f t="shared" si="44"/>
        <v>0.37118429085533589</v>
      </c>
      <c r="L272" s="4">
        <f t="shared" si="44"/>
        <v>0.5174827986349857</v>
      </c>
    </row>
    <row r="273" spans="1:12" x14ac:dyDescent="0.3">
      <c r="A273" t="s">
        <v>21</v>
      </c>
      <c r="B273" s="6">
        <f t="shared" si="42"/>
        <v>43.238553457600119</v>
      </c>
      <c r="C273" s="6">
        <f t="shared" si="42"/>
        <v>0.94107396868421256</v>
      </c>
      <c r="D273">
        <f t="shared" si="45"/>
        <v>5.3899273891403615E-2</v>
      </c>
      <c r="H273">
        <v>0.1</v>
      </c>
      <c r="I273" s="4">
        <f t="shared" si="43"/>
        <v>209.07407407407405</v>
      </c>
      <c r="J273" s="4">
        <f t="shared" si="43"/>
        <v>0.95873015873015877</v>
      </c>
      <c r="K273" s="4">
        <f t="shared" si="44"/>
        <v>149.34711594980334</v>
      </c>
      <c r="L273" s="4">
        <f t="shared" si="44"/>
        <v>0.52109928961735086</v>
      </c>
    </row>
    <row r="274" spans="1:12" x14ac:dyDescent="0.3">
      <c r="A274" t="s">
        <v>22</v>
      </c>
      <c r="B274" s="6">
        <f t="shared" si="42"/>
        <v>44.212502853608306</v>
      </c>
      <c r="C274" s="6">
        <f t="shared" si="42"/>
        <v>0.99999628151503739</v>
      </c>
      <c r="D274">
        <f t="shared" si="45"/>
        <v>3.1407337247249516E-6</v>
      </c>
      <c r="H274">
        <v>0.25</v>
      </c>
      <c r="I274" s="4">
        <f t="shared" si="43"/>
        <v>1188888.888888889</v>
      </c>
      <c r="J274" s="4">
        <f t="shared" si="43"/>
        <v>20.300711067687132</v>
      </c>
      <c r="K274" s="4">
        <f t="shared" si="44"/>
        <v>545803.29292511696</v>
      </c>
      <c r="L274" s="4">
        <f t="shared" si="44"/>
        <v>17.653914768342435</v>
      </c>
    </row>
    <row r="275" spans="1:12" x14ac:dyDescent="0.3">
      <c r="A275" t="s">
        <v>23</v>
      </c>
      <c r="B275" s="6">
        <f t="shared" si="42"/>
        <v>42.208710535806027</v>
      </c>
      <c r="C275" s="6">
        <f t="shared" si="42"/>
        <v>0.99999980912707931</v>
      </c>
      <c r="D275">
        <f t="shared" si="45"/>
        <v>1.7125799588736934E-7</v>
      </c>
      <c r="H275">
        <v>0.5</v>
      </c>
      <c r="I275" s="4">
        <f t="shared" si="43"/>
        <v>37291666.666666664</v>
      </c>
      <c r="J275" s="4">
        <f t="shared" si="43"/>
        <v>5007164.7509578541</v>
      </c>
      <c r="K275" s="4">
        <f t="shared" si="44"/>
        <v>19712561.209656253</v>
      </c>
      <c r="L275" s="4">
        <f t="shared" si="44"/>
        <v>2988261.4520938569</v>
      </c>
    </row>
    <row r="276" spans="1:12" x14ac:dyDescent="0.3">
      <c r="A276" t="s">
        <v>24</v>
      </c>
      <c r="B276" s="6">
        <f t="shared" si="42"/>
        <v>42.602923259063957</v>
      </c>
      <c r="C276" s="6">
        <f t="shared" si="42"/>
        <v>0.99999998361111142</v>
      </c>
      <c r="D276">
        <f t="shared" si="45"/>
        <v>2.1695137225002505E-9</v>
      </c>
      <c r="H276">
        <v>1</v>
      </c>
      <c r="I276" s="4">
        <f t="shared" si="43"/>
        <v>63333333.333333336</v>
      </c>
      <c r="J276" s="4">
        <f t="shared" si="43"/>
        <v>21111111.111111112</v>
      </c>
      <c r="K276" s="4">
        <f t="shared" si="44"/>
        <v>8819171.0368819628</v>
      </c>
      <c r="L276" s="4">
        <f t="shared" si="44"/>
        <v>8888888.8888888862</v>
      </c>
    </row>
    <row r="277" spans="1:12" x14ac:dyDescent="0.3">
      <c r="A277" t="s">
        <v>25</v>
      </c>
      <c r="B277" s="6">
        <f t="shared" si="42"/>
        <v>41.978019862444164</v>
      </c>
      <c r="C277" s="6">
        <f t="shared" si="42"/>
        <v>0.46830466830466833</v>
      </c>
      <c r="D277">
        <f t="shared" si="45"/>
        <v>4.2221378818412196E-2</v>
      </c>
    </row>
    <row r="278" spans="1:12" x14ac:dyDescent="0.3">
      <c r="A278" t="s">
        <v>26</v>
      </c>
      <c r="B278" s="6">
        <f t="shared" si="42"/>
        <v>41.850249931858649</v>
      </c>
      <c r="C278" s="6">
        <f t="shared" si="42"/>
        <v>0.47470238095238093</v>
      </c>
      <c r="D278">
        <f t="shared" si="45"/>
        <v>0.15930961321531048</v>
      </c>
      <c r="H278" s="44" t="s">
        <v>66</v>
      </c>
      <c r="I278" s="44"/>
      <c r="J278" s="44"/>
      <c r="K278" s="44" t="s">
        <v>67</v>
      </c>
      <c r="L278" s="44"/>
    </row>
    <row r="279" spans="1:12" x14ac:dyDescent="0.3">
      <c r="A279" t="s">
        <v>27</v>
      </c>
      <c r="B279" s="6">
        <f t="shared" si="42"/>
        <v>41.881894801613157</v>
      </c>
      <c r="C279" s="6">
        <f t="shared" si="42"/>
        <v>0.42498719918074751</v>
      </c>
      <c r="D279">
        <f t="shared" si="45"/>
        <v>0.12130746867351444</v>
      </c>
      <c r="H279" s="44" t="s">
        <v>42</v>
      </c>
      <c r="I279" s="44" t="s">
        <v>64</v>
      </c>
      <c r="J279" s="44" t="s">
        <v>65</v>
      </c>
      <c r="K279" s="44" t="s">
        <v>64</v>
      </c>
      <c r="L279" s="44" t="s">
        <v>65</v>
      </c>
    </row>
    <row r="280" spans="1:12" x14ac:dyDescent="0.3">
      <c r="A280" t="s">
        <v>28</v>
      </c>
      <c r="B280" s="6">
        <f t="shared" si="42"/>
        <v>41.818784603884417</v>
      </c>
      <c r="C280" s="6">
        <f t="shared" si="42"/>
        <v>0.76500469879721644</v>
      </c>
      <c r="D280">
        <f t="shared" si="45"/>
        <v>0.14137575849104553</v>
      </c>
      <c r="H280" s="44">
        <v>0</v>
      </c>
      <c r="I280" s="45">
        <f t="shared" ref="I280:J285" si="46">AVERAGE(M72,M159,M243)</f>
        <v>-0.36079096360910229</v>
      </c>
      <c r="J280" s="45">
        <f t="shared" si="46"/>
        <v>-0.341538669376445</v>
      </c>
      <c r="K280" s="45">
        <f t="shared" ref="K280:L285" si="47">STDEV(M72,M159,M243)/SQRT(3)</f>
        <v>8.0722216854783008E-2</v>
      </c>
      <c r="L280" s="45">
        <f t="shared" si="47"/>
        <v>6.9246239693514608E-2</v>
      </c>
    </row>
    <row r="281" spans="1:12" x14ac:dyDescent="0.3">
      <c r="A281" t="s">
        <v>29</v>
      </c>
      <c r="B281" s="6">
        <f t="shared" si="42"/>
        <v>41.617481940592945</v>
      </c>
      <c r="C281" s="6">
        <f t="shared" si="42"/>
        <v>0.99996656634889147</v>
      </c>
      <c r="D281">
        <f t="shared" si="45"/>
        <v>3.3278192267142388E-5</v>
      </c>
      <c r="H281" s="44">
        <v>0.05</v>
      </c>
      <c r="I281" s="45">
        <f t="shared" si="46"/>
        <v>4.6328838253871657E-2</v>
      </c>
      <c r="J281" s="45">
        <f t="shared" si="46"/>
        <v>-0.39933932343259887</v>
      </c>
      <c r="K281" s="45">
        <f t="shared" si="47"/>
        <v>5.5979299085060497E-2</v>
      </c>
      <c r="L281" s="45">
        <f t="shared" si="47"/>
        <v>0.16040277112047913</v>
      </c>
    </row>
    <row r="282" spans="1:12" x14ac:dyDescent="0.3">
      <c r="A282" t="s">
        <v>30</v>
      </c>
      <c r="B282" s="6">
        <f t="shared" si="42"/>
        <v>41.75922057502607</v>
      </c>
      <c r="C282" s="6">
        <f t="shared" si="42"/>
        <v>0.99999987777780852</v>
      </c>
      <c r="D282">
        <f t="shared" si="45"/>
        <v>8.8888859273161813E-8</v>
      </c>
      <c r="H282" s="44">
        <v>0.1</v>
      </c>
      <c r="I282" s="45">
        <f t="shared" si="46"/>
        <v>0.88699761738645755</v>
      </c>
      <c r="J282" s="45">
        <f t="shared" si="46"/>
        <v>-0.44152987367697921</v>
      </c>
      <c r="K282" s="45">
        <f t="shared" si="47"/>
        <v>0.33953363100355666</v>
      </c>
      <c r="L282" s="45">
        <f t="shared" si="47"/>
        <v>0.2265581803890703</v>
      </c>
    </row>
    <row r="283" spans="1:12" x14ac:dyDescent="0.3">
      <c r="H283" s="44">
        <v>0.25</v>
      </c>
      <c r="I283" s="45">
        <f t="shared" si="46"/>
        <v>3.0801373044854703</v>
      </c>
      <c r="J283" s="45">
        <f t="shared" si="46"/>
        <v>0.15925268165767836</v>
      </c>
      <c r="K283" s="45">
        <f t="shared" si="47"/>
        <v>0.18152592088727851</v>
      </c>
      <c r="L283" s="45">
        <f t="shared" si="47"/>
        <v>0.16669668212807326</v>
      </c>
    </row>
    <row r="284" spans="1:12" x14ac:dyDescent="0.3">
      <c r="H284" s="44">
        <v>0.5</v>
      </c>
      <c r="I284" s="45">
        <f t="shared" si="46"/>
        <v>3.8398488556051014</v>
      </c>
      <c r="J284" s="45">
        <f t="shared" si="46"/>
        <v>3.075267608899638</v>
      </c>
      <c r="K284" s="45">
        <f t="shared" si="47"/>
        <v>0.38524938472125786</v>
      </c>
      <c r="L284" s="45">
        <f t="shared" si="47"/>
        <v>0.51509739308864544</v>
      </c>
    </row>
    <row r="285" spans="1:12" x14ac:dyDescent="0.3">
      <c r="H285" s="44">
        <v>1</v>
      </c>
      <c r="I285" s="45">
        <f t="shared" si="46"/>
        <v>4.1719603086739099</v>
      </c>
      <c r="J285" s="45">
        <f t="shared" si="46"/>
        <v>3.8345621795228753</v>
      </c>
      <c r="K285" s="45">
        <f t="shared" si="47"/>
        <v>0.18789935663297047</v>
      </c>
      <c r="L285" s="45">
        <f t="shared" si="47"/>
        <v>0.18233758849715134</v>
      </c>
    </row>
    <row r="287" spans="1:12" x14ac:dyDescent="0.3">
      <c r="H287" s="33" t="s">
        <v>68</v>
      </c>
    </row>
    <row r="303" spans="3:3" x14ac:dyDescent="0.3">
      <c r="C303" s="39"/>
    </row>
    <row r="304" spans="3:3" x14ac:dyDescent="0.3">
      <c r="C304" s="40"/>
    </row>
    <row r="305" spans="3:3" x14ac:dyDescent="0.3">
      <c r="C305" s="39"/>
    </row>
    <row r="306" spans="3:3" x14ac:dyDescent="0.3">
      <c r="C306" s="40"/>
    </row>
    <row r="307" spans="3:3" x14ac:dyDescent="0.3">
      <c r="C307" s="39"/>
    </row>
    <row r="308" spans="3:3" x14ac:dyDescent="0.3">
      <c r="C308" s="40"/>
    </row>
    <row r="309" spans="3:3" x14ac:dyDescent="0.3">
      <c r="C309" s="40"/>
    </row>
    <row r="310" spans="3:3" x14ac:dyDescent="0.3">
      <c r="C310" s="39"/>
    </row>
    <row r="311" spans="3:3" x14ac:dyDescent="0.3">
      <c r="C311" s="40"/>
    </row>
    <row r="312" spans="3:3" x14ac:dyDescent="0.3">
      <c r="C312" s="39"/>
    </row>
    <row r="313" spans="3:3" x14ac:dyDescent="0.3">
      <c r="C313" s="39"/>
    </row>
    <row r="314" spans="3:3" x14ac:dyDescent="0.3">
      <c r="C314" s="39"/>
    </row>
    <row r="315" spans="3:3" x14ac:dyDescent="0.3">
      <c r="C315" s="39"/>
    </row>
    <row r="316" spans="3:3" x14ac:dyDescent="0.3">
      <c r="C316" s="39"/>
    </row>
    <row r="317" spans="3:3" x14ac:dyDescent="0.3">
      <c r="C317" s="39"/>
    </row>
    <row r="318" spans="3:3" x14ac:dyDescent="0.3">
      <c r="C318" s="39"/>
    </row>
    <row r="319" spans="3:3" x14ac:dyDescent="0.3">
      <c r="C319" s="39"/>
    </row>
    <row r="320" spans="3:3" x14ac:dyDescent="0.3">
      <c r="C320" s="39"/>
    </row>
    <row r="321" spans="3:3" x14ac:dyDescent="0.3">
      <c r="C321" s="39"/>
    </row>
    <row r="322" spans="3:3" x14ac:dyDescent="0.3">
      <c r="C322" s="39"/>
    </row>
    <row r="323" spans="3:3" x14ac:dyDescent="0.3">
      <c r="C323" s="39"/>
    </row>
    <row r="324" spans="3:3" x14ac:dyDescent="0.3">
      <c r="C324" s="39"/>
    </row>
    <row r="325" spans="3:3" x14ac:dyDescent="0.3">
      <c r="C325" s="39"/>
    </row>
    <row r="326" spans="3:3" x14ac:dyDescent="0.3">
      <c r="C326" s="39"/>
    </row>
    <row r="327" spans="3:3" x14ac:dyDescent="0.3">
      <c r="C327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1"/>
  <sheetViews>
    <sheetView topLeftCell="A223" workbookViewId="0">
      <selection activeCell="L242" sqref="L242"/>
    </sheetView>
  </sheetViews>
  <sheetFormatPr defaultColWidth="12.44140625" defaultRowHeight="14.4" x14ac:dyDescent="0.3"/>
  <cols>
    <col min="1" max="1" width="14.21875" customWidth="1"/>
    <col min="5" max="5" width="12.33203125" customWidth="1"/>
    <col min="6" max="6" width="11.6640625" customWidth="1"/>
    <col min="15" max="15" width="15.88671875" customWidth="1"/>
  </cols>
  <sheetData>
    <row r="1" spans="1:9" ht="15.6" x14ac:dyDescent="0.3">
      <c r="A1" s="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69</v>
      </c>
    </row>
    <row r="5" spans="1:9" s="41" customFormat="1" ht="21" x14ac:dyDescent="0.4">
      <c r="A5" s="41" t="s">
        <v>4</v>
      </c>
    </row>
    <row r="6" spans="1:9" s="3" customFormat="1" x14ac:dyDescent="0.3">
      <c r="A6" t="s">
        <v>5</v>
      </c>
      <c r="B6"/>
      <c r="C6"/>
      <c r="D6" t="s">
        <v>6</v>
      </c>
      <c r="E6" t="s">
        <v>7</v>
      </c>
      <c r="F6" t="s">
        <v>8</v>
      </c>
    </row>
    <row r="7" spans="1:9" s="3" customFormat="1" x14ac:dyDescent="0.3">
      <c r="A7" t="s">
        <v>9</v>
      </c>
      <c r="B7" s="4">
        <v>1700000000</v>
      </c>
      <c r="C7"/>
      <c r="D7" s="4">
        <v>1000000</v>
      </c>
      <c r="E7" s="4">
        <f>D7/10</f>
        <v>100000</v>
      </c>
      <c r="F7" s="5">
        <f>E7/(E7+E8)</f>
        <v>0.5</v>
      </c>
    </row>
    <row r="8" spans="1:9" s="3" customFormat="1" x14ac:dyDescent="0.3">
      <c r="A8" t="s">
        <v>11</v>
      </c>
      <c r="B8" s="4">
        <v>1700000000</v>
      </c>
      <c r="C8"/>
      <c r="D8" s="4">
        <v>1000000</v>
      </c>
      <c r="E8" s="4">
        <f>D8/10</f>
        <v>100000</v>
      </c>
      <c r="F8" s="5">
        <f>E8/(E8+E7)</f>
        <v>0.5</v>
      </c>
    </row>
    <row r="9" spans="1:9" s="3" customFormat="1" x14ac:dyDescent="0.3">
      <c r="A9"/>
      <c r="B9" s="4"/>
      <c r="C9"/>
      <c r="D9" s="4"/>
      <c r="E9" s="4"/>
      <c r="F9" s="5"/>
    </row>
    <row r="10" spans="1:9" ht="15.6" x14ac:dyDescent="0.3">
      <c r="A10" s="1" t="s">
        <v>53</v>
      </c>
      <c r="B10" t="s">
        <v>13</v>
      </c>
      <c r="C10" t="s">
        <v>9</v>
      </c>
      <c r="D10" t="s">
        <v>11</v>
      </c>
      <c r="E10" t="s">
        <v>14</v>
      </c>
      <c r="F10" t="s">
        <v>15</v>
      </c>
      <c r="G10" s="21" t="s">
        <v>16</v>
      </c>
      <c r="H10" s="21" t="s">
        <v>17</v>
      </c>
      <c r="I10" t="s">
        <v>70</v>
      </c>
    </row>
    <row r="11" spans="1:9" x14ac:dyDescent="0.3">
      <c r="A11" t="s">
        <v>71</v>
      </c>
      <c r="G11" s="21"/>
      <c r="H11" s="21"/>
    </row>
    <row r="12" spans="1:9" x14ac:dyDescent="0.3">
      <c r="A12" t="s">
        <v>19</v>
      </c>
      <c r="B12" s="4">
        <f>AVERAGE(16,17,20)*10000</f>
        <v>176666.66666666669</v>
      </c>
      <c r="C12" s="4">
        <f>AVERAGE(3,6)*10000</f>
        <v>45000</v>
      </c>
      <c r="D12" s="4">
        <f>AVERAGE(5,12,10)*10000</f>
        <v>90000</v>
      </c>
      <c r="E12" s="6">
        <f>C12/D12</f>
        <v>0.5</v>
      </c>
      <c r="F12" s="6">
        <f>D12/C12</f>
        <v>2</v>
      </c>
      <c r="G12" s="46">
        <f>C12/(C12+D12)</f>
        <v>0.33333333333333331</v>
      </c>
      <c r="H12" s="46">
        <f>1-G12</f>
        <v>0.66666666666666674</v>
      </c>
      <c r="I12" s="4">
        <f>C12/B12</f>
        <v>0.25471698113207547</v>
      </c>
    </row>
    <row r="13" spans="1:9" x14ac:dyDescent="0.3">
      <c r="A13" t="s">
        <v>72</v>
      </c>
      <c r="B13" s="4">
        <f>AVERAGE(20,16,15)*10000</f>
        <v>170000</v>
      </c>
      <c r="C13" s="4">
        <f>AVERAGE(4,2,79)*10000</f>
        <v>283333.33333333331</v>
      </c>
      <c r="D13" s="4">
        <f>AVERAGE(99,11,8)*10000</f>
        <v>393333.33333333337</v>
      </c>
      <c r="E13" s="6">
        <f t="shared" ref="E13:E23" si="0">C13/D13</f>
        <v>0.72033898305084731</v>
      </c>
      <c r="F13" s="6">
        <f t="shared" ref="F13:F23" si="1">D13/C13</f>
        <v>1.3882352941176472</v>
      </c>
      <c r="G13" s="46">
        <f t="shared" ref="G13:G23" si="2">C13/(C13+D13)</f>
        <v>0.41871921182266003</v>
      </c>
      <c r="H13" s="46">
        <f t="shared" ref="H13:H23" si="3">1-G13</f>
        <v>0.58128078817733997</v>
      </c>
      <c r="I13" s="4">
        <f t="shared" ref="I13:I23" si="4">C13/B13</f>
        <v>1.6666666666666665</v>
      </c>
    </row>
    <row r="14" spans="1:9" x14ac:dyDescent="0.3">
      <c r="A14" t="s">
        <v>73</v>
      </c>
      <c r="B14" s="4">
        <f>AVERAGE(117,14,13)*10000</f>
        <v>480000</v>
      </c>
      <c r="C14" s="4">
        <f>AVERAGE(4,7,8)*10000</f>
        <v>63333.333333333328</v>
      </c>
      <c r="D14" s="4">
        <f>AVERAGE(11,9,97)*10000</f>
        <v>390000</v>
      </c>
      <c r="E14" s="6">
        <f t="shared" si="0"/>
        <v>0.16239316239316237</v>
      </c>
      <c r="F14" s="6">
        <f>D14/C14</f>
        <v>6.1578947368421053</v>
      </c>
      <c r="G14" s="46">
        <f t="shared" si="2"/>
        <v>0.13970588235294118</v>
      </c>
      <c r="H14" s="46">
        <f t="shared" si="3"/>
        <v>0.86029411764705888</v>
      </c>
      <c r="I14" s="4">
        <f t="shared" si="4"/>
        <v>0.13194444444444445</v>
      </c>
    </row>
    <row r="15" spans="1:9" x14ac:dyDescent="0.3">
      <c r="A15" t="s">
        <v>74</v>
      </c>
      <c r="B15" s="4">
        <f>AVERAGE(20,15,19)*10000</f>
        <v>180000</v>
      </c>
      <c r="C15" s="4">
        <f>AVERAGE(2,4,7)*10000</f>
        <v>43333.333333333328</v>
      </c>
      <c r="D15" s="4">
        <f>AVERAGE(8,16,16)*10000</f>
        <v>133333.33333333334</v>
      </c>
      <c r="E15" s="6">
        <f t="shared" si="0"/>
        <v>0.32499999999999996</v>
      </c>
      <c r="F15" s="6">
        <f t="shared" si="1"/>
        <v>3.0769230769230775</v>
      </c>
      <c r="G15" s="46">
        <f t="shared" si="2"/>
        <v>0.24528301886792447</v>
      </c>
      <c r="H15" s="46">
        <f t="shared" si="3"/>
        <v>0.75471698113207553</v>
      </c>
      <c r="I15" s="4">
        <f t="shared" si="4"/>
        <v>0.24074074074074073</v>
      </c>
    </row>
    <row r="16" spans="1:9" x14ac:dyDescent="0.3">
      <c r="A16" t="s">
        <v>20</v>
      </c>
      <c r="B16" s="4">
        <f>AVERAGE(14,16,13)*10000</f>
        <v>143333.33333333334</v>
      </c>
      <c r="C16" s="4">
        <f>AVERAGE(4,6,4)*10000</f>
        <v>46666.666666666672</v>
      </c>
      <c r="D16" s="4">
        <f>AVERAGE(14,19,13)*10000</f>
        <v>153333.33333333334</v>
      </c>
      <c r="E16" s="6">
        <f t="shared" si="0"/>
        <v>0.30434782608695654</v>
      </c>
      <c r="F16" s="6">
        <f t="shared" si="1"/>
        <v>3.2857142857142856</v>
      </c>
      <c r="G16" s="46">
        <f t="shared" si="2"/>
        <v>0.23333333333333336</v>
      </c>
      <c r="H16" s="46">
        <f t="shared" si="3"/>
        <v>0.76666666666666661</v>
      </c>
      <c r="I16" s="4">
        <f t="shared" si="4"/>
        <v>0.32558139534883723</v>
      </c>
    </row>
    <row r="17" spans="1:9" x14ac:dyDescent="0.3">
      <c r="A17" t="s">
        <v>75</v>
      </c>
      <c r="B17" s="4">
        <f>AVERAGE(12,16,23)*10000</f>
        <v>170000</v>
      </c>
      <c r="C17" s="4">
        <f>AVERAGE(2,2,2)*10000</f>
        <v>20000</v>
      </c>
      <c r="D17" s="4">
        <f>AVERAGE(9,10,12)*10000</f>
        <v>103333.33333333334</v>
      </c>
      <c r="E17" s="6">
        <f t="shared" si="0"/>
        <v>0.19354838709677419</v>
      </c>
      <c r="F17" s="6">
        <f t="shared" si="1"/>
        <v>5.166666666666667</v>
      </c>
      <c r="G17" s="46">
        <f t="shared" si="2"/>
        <v>0.16216216216216214</v>
      </c>
      <c r="H17" s="46">
        <f t="shared" si="3"/>
        <v>0.83783783783783783</v>
      </c>
      <c r="I17" s="4">
        <f t="shared" si="4"/>
        <v>0.11764705882352941</v>
      </c>
    </row>
    <row r="18" spans="1:9" x14ac:dyDescent="0.3">
      <c r="A18" t="s">
        <v>25</v>
      </c>
      <c r="B18" s="4">
        <f>AVERAGE(10,18,19)*10000</f>
        <v>156666.66666666666</v>
      </c>
      <c r="C18" s="4">
        <f>AVERAGE(3,5,31)*10000</f>
        <v>130000</v>
      </c>
      <c r="D18" s="4">
        <f>AVERAGE(8,5,11)*10000</f>
        <v>80000</v>
      </c>
      <c r="E18" s="6">
        <f t="shared" si="0"/>
        <v>1.625</v>
      </c>
      <c r="F18" s="6">
        <f t="shared" si="1"/>
        <v>0.61538461538461542</v>
      </c>
      <c r="G18" s="46">
        <f t="shared" si="2"/>
        <v>0.61904761904761907</v>
      </c>
      <c r="H18" s="46">
        <f t="shared" si="3"/>
        <v>0.38095238095238093</v>
      </c>
      <c r="I18" s="4">
        <f t="shared" si="4"/>
        <v>0.82978723404255328</v>
      </c>
    </row>
    <row r="19" spans="1:9" x14ac:dyDescent="0.3">
      <c r="A19" t="s">
        <v>76</v>
      </c>
      <c r="B19" s="4">
        <f>AVERAGE(19,22,17)*10000</f>
        <v>193333.33333333331</v>
      </c>
      <c r="C19" s="4">
        <f>AVERAGE(7,7,12)*10000</f>
        <v>86666.666666666657</v>
      </c>
      <c r="D19" s="4">
        <f>AVERAGE(19,7,7)*10000</f>
        <v>110000</v>
      </c>
      <c r="E19" s="6">
        <f t="shared" si="0"/>
        <v>0.78787878787878785</v>
      </c>
      <c r="F19" s="6">
        <f t="shared" si="1"/>
        <v>1.2692307692307694</v>
      </c>
      <c r="G19" s="46">
        <f t="shared" si="2"/>
        <v>0.44067796610169491</v>
      </c>
      <c r="H19" s="46">
        <f t="shared" si="3"/>
        <v>0.55932203389830515</v>
      </c>
      <c r="I19" s="4">
        <f t="shared" si="4"/>
        <v>0.44827586206896552</v>
      </c>
    </row>
    <row r="20" spans="1:9" x14ac:dyDescent="0.3">
      <c r="A20" t="s">
        <v>77</v>
      </c>
      <c r="B20" s="4">
        <f>AVERAGE(9,9,11)*10000</f>
        <v>96666.666666666657</v>
      </c>
      <c r="C20" s="4">
        <f>AVERAGE(1,3,6)*10000</f>
        <v>33333.333333333336</v>
      </c>
      <c r="D20" s="4">
        <f>AVERAGE(10,7,6)*10000</f>
        <v>76666.666666666672</v>
      </c>
      <c r="E20" s="6">
        <f t="shared" si="0"/>
        <v>0.43478260869565216</v>
      </c>
      <c r="F20" s="6">
        <f t="shared" si="1"/>
        <v>2.2999999999999998</v>
      </c>
      <c r="G20" s="46">
        <f t="shared" si="2"/>
        <v>0.30303030303030304</v>
      </c>
      <c r="H20" s="46">
        <f t="shared" si="3"/>
        <v>0.69696969696969702</v>
      </c>
      <c r="I20" s="4">
        <f t="shared" si="4"/>
        <v>0.34482758620689663</v>
      </c>
    </row>
    <row r="21" spans="1:9" x14ac:dyDescent="0.3">
      <c r="A21" t="s">
        <v>78</v>
      </c>
      <c r="B21" s="4">
        <f>AVERAGE(7,8,10)*10000</f>
        <v>83333.333333333343</v>
      </c>
      <c r="C21" s="4">
        <f>AVERAGE(3,3,1)*10000</f>
        <v>23333.333333333336</v>
      </c>
      <c r="D21" s="4">
        <f>AVERAGE(3,9,8)*10000</f>
        <v>66666.666666666672</v>
      </c>
      <c r="E21" s="6">
        <f t="shared" si="0"/>
        <v>0.35000000000000003</v>
      </c>
      <c r="F21" s="6">
        <f t="shared" si="1"/>
        <v>2.8571428571428572</v>
      </c>
      <c r="G21" s="46">
        <f t="shared" si="2"/>
        <v>0.2592592592592593</v>
      </c>
      <c r="H21" s="46">
        <f t="shared" si="3"/>
        <v>0.7407407407407407</v>
      </c>
      <c r="I21" s="4">
        <f t="shared" si="4"/>
        <v>0.27999999999999997</v>
      </c>
    </row>
    <row r="22" spans="1:9" x14ac:dyDescent="0.3">
      <c r="A22" t="s">
        <v>26</v>
      </c>
      <c r="B22" s="4">
        <f>AVERAGE(11,16,13)*10000</f>
        <v>133333.33333333334</v>
      </c>
      <c r="C22" s="4">
        <f>AVERAGE(4,6,6)*10000</f>
        <v>53333.333333333328</v>
      </c>
      <c r="D22" s="4">
        <f>AVERAGE(5,2,8)*10000</f>
        <v>50000</v>
      </c>
      <c r="E22" s="6">
        <f t="shared" si="0"/>
        <v>1.0666666666666667</v>
      </c>
      <c r="F22" s="6">
        <f t="shared" si="1"/>
        <v>0.93750000000000011</v>
      </c>
      <c r="G22" s="46">
        <f t="shared" si="2"/>
        <v>0.5161290322580645</v>
      </c>
      <c r="H22" s="46">
        <f t="shared" si="3"/>
        <v>0.4838709677419355</v>
      </c>
      <c r="I22" s="4">
        <f t="shared" si="4"/>
        <v>0.39999999999999991</v>
      </c>
    </row>
    <row r="23" spans="1:9" x14ac:dyDescent="0.3">
      <c r="A23" t="s">
        <v>79</v>
      </c>
      <c r="B23" s="4">
        <f>AVERAGE(33,14,12)*10000</f>
        <v>196666.66666666669</v>
      </c>
      <c r="C23" s="4">
        <f>AVERAGE(4,5,2)*10000</f>
        <v>36666.666666666664</v>
      </c>
      <c r="D23" s="4">
        <f>AVERAGE(8,12,9)*10000</f>
        <v>96666.666666666657</v>
      </c>
      <c r="E23" s="6">
        <f t="shared" si="0"/>
        <v>0.37931034482758624</v>
      </c>
      <c r="F23" s="6">
        <f t="shared" si="1"/>
        <v>2.6363636363636362</v>
      </c>
      <c r="G23" s="46">
        <f t="shared" si="2"/>
        <v>0.27500000000000002</v>
      </c>
      <c r="H23" s="46">
        <f t="shared" si="3"/>
        <v>0.72499999999999998</v>
      </c>
      <c r="I23" s="4">
        <f t="shared" si="4"/>
        <v>0.18644067796610167</v>
      </c>
    </row>
    <row r="25" spans="1:9" x14ac:dyDescent="0.3">
      <c r="B25" s="4"/>
      <c r="D25" s="4"/>
      <c r="E25" s="4"/>
      <c r="F25" s="5"/>
      <c r="G25" s="5"/>
    </row>
    <row r="26" spans="1:9" x14ac:dyDescent="0.3">
      <c r="B26" s="4"/>
      <c r="D26" s="4"/>
      <c r="E26" s="4"/>
      <c r="F26" s="5"/>
      <c r="G26" s="5"/>
    </row>
    <row r="27" spans="1:9" x14ac:dyDescent="0.3">
      <c r="B27" s="4"/>
      <c r="D27" s="4"/>
      <c r="E27" s="5"/>
      <c r="G27" s="5"/>
    </row>
    <row r="28" spans="1:9" x14ac:dyDescent="0.3">
      <c r="B28" s="4"/>
      <c r="D28" s="4"/>
      <c r="E28" s="5"/>
      <c r="G28" s="5"/>
    </row>
    <row r="29" spans="1:9" x14ac:dyDescent="0.3">
      <c r="A29" t="s">
        <v>31</v>
      </c>
      <c r="G29" s="5"/>
    </row>
    <row r="30" spans="1:9" ht="15.6" x14ac:dyDescent="0.3">
      <c r="A30" s="47" t="s">
        <v>32</v>
      </c>
      <c r="B30" s="48" t="s">
        <v>33</v>
      </c>
      <c r="C30" s="48" t="s">
        <v>34</v>
      </c>
      <c r="D30" s="48" t="s">
        <v>35</v>
      </c>
      <c r="E30" s="14" t="s">
        <v>36</v>
      </c>
      <c r="G30" s="5"/>
    </row>
    <row r="31" spans="1:9" x14ac:dyDescent="0.3">
      <c r="A31" t="s">
        <v>19</v>
      </c>
      <c r="B31" s="15">
        <f>AVERAGE(15,10,14)*100000000</f>
        <v>1300000000</v>
      </c>
      <c r="C31" s="15" t="s">
        <v>37</v>
      </c>
      <c r="D31" s="15" t="s">
        <v>37</v>
      </c>
      <c r="E31" s="6">
        <f t="shared" ref="E31:E42" si="5">LOG10(B31/B12)/LOG10(2)</f>
        <v>12.845194143848497</v>
      </c>
    </row>
    <row r="32" spans="1:9" x14ac:dyDescent="0.3">
      <c r="A32" t="s">
        <v>72</v>
      </c>
      <c r="B32" s="15">
        <f>AVERAGE(12,6,10)*100000000</f>
        <v>933333333.33333337</v>
      </c>
      <c r="C32" s="15" t="s">
        <v>37</v>
      </c>
      <c r="D32" s="15" t="s">
        <v>37</v>
      </c>
      <c r="E32" s="6">
        <f t="shared" si="5"/>
        <v>12.422641959635557</v>
      </c>
    </row>
    <row r="33" spans="1:5" x14ac:dyDescent="0.3">
      <c r="A33" t="s">
        <v>73</v>
      </c>
      <c r="B33" s="15">
        <f>AVERAGE(3,3,7)*100000000</f>
        <v>433333333.33333331</v>
      </c>
      <c r="C33" s="15" t="s">
        <v>37</v>
      </c>
      <c r="D33" s="15" t="s">
        <v>37</v>
      </c>
      <c r="E33" s="6">
        <f t="shared" si="5"/>
        <v>9.8182270962482292</v>
      </c>
    </row>
    <row r="34" spans="1:5" x14ac:dyDescent="0.3">
      <c r="A34" t="s">
        <v>74</v>
      </c>
      <c r="B34" s="15">
        <f>AVERAGE(12,13,15)*100000000</f>
        <v>1333333333.3333335</v>
      </c>
      <c r="C34" s="15" t="s">
        <v>37</v>
      </c>
      <c r="D34" s="15" t="s">
        <v>37</v>
      </c>
      <c r="E34" s="6">
        <f t="shared" si="5"/>
        <v>12.854752972273342</v>
      </c>
    </row>
    <row r="35" spans="1:5" x14ac:dyDescent="0.3">
      <c r="A35" t="s">
        <v>20</v>
      </c>
      <c r="B35" s="15">
        <f>AVERAGE(12,8,9)*100000000</f>
        <v>966666666.66666663</v>
      </c>
      <c r="C35" s="15" t="s">
        <v>37</v>
      </c>
      <c r="D35" s="15" t="s">
        <v>37</v>
      </c>
      <c r="E35" s="6">
        <f t="shared" si="5"/>
        <v>12.719428619974924</v>
      </c>
    </row>
    <row r="36" spans="1:5" x14ac:dyDescent="0.3">
      <c r="A36" t="s">
        <v>75</v>
      </c>
      <c r="B36" s="15">
        <f>AVERAGE(15,5,11)*100000000</f>
        <v>1033333333.3333334</v>
      </c>
      <c r="C36" s="15" t="s">
        <v>37</v>
      </c>
      <c r="D36" s="15" t="s">
        <v>37</v>
      </c>
      <c r="E36" s="6">
        <f t="shared" si="5"/>
        <v>12.569483347964828</v>
      </c>
    </row>
    <row r="37" spans="1:5" x14ac:dyDescent="0.3">
      <c r="A37" t="s">
        <v>25</v>
      </c>
      <c r="B37" s="15">
        <f>AVERAGE(9,10,11)*100000000</f>
        <v>1000000000</v>
      </c>
      <c r="C37" s="15" t="s">
        <v>37</v>
      </c>
      <c r="D37" s="15" t="s">
        <v>37</v>
      </c>
      <c r="E37" s="6">
        <f t="shared" si="5"/>
        <v>12.640014123480331</v>
      </c>
    </row>
    <row r="38" spans="1:5" x14ac:dyDescent="0.3">
      <c r="A38" t="s">
        <v>76</v>
      </c>
      <c r="B38" s="15">
        <f>AVERAGE(9,8,6)*100000000</f>
        <v>766666666.66666675</v>
      </c>
      <c r="C38" s="15" t="s">
        <v>37</v>
      </c>
      <c r="D38" s="15" t="s">
        <v>37</v>
      </c>
      <c r="E38" s="6">
        <f t="shared" si="5"/>
        <v>11.95329334047889</v>
      </c>
    </row>
    <row r="39" spans="1:5" x14ac:dyDescent="0.3">
      <c r="A39" t="s">
        <v>77</v>
      </c>
      <c r="B39" s="15">
        <f>AVERAGE(7,6,9)*100000000</f>
        <v>733333333.33333325</v>
      </c>
      <c r="C39" s="15" t="s">
        <v>37</v>
      </c>
      <c r="D39" s="15" t="s">
        <v>37</v>
      </c>
      <c r="E39" s="6">
        <f t="shared" si="5"/>
        <v>12.889163003059174</v>
      </c>
    </row>
    <row r="40" spans="1:5" x14ac:dyDescent="0.3">
      <c r="A40" t="s">
        <v>78</v>
      </c>
      <c r="B40" s="15">
        <f>AVERAGE(2,3,5)*100000000</f>
        <v>333333333.33333337</v>
      </c>
      <c r="C40" s="15" t="s">
        <v>37</v>
      </c>
      <c r="D40" s="15" t="s">
        <v>37</v>
      </c>
      <c r="E40" s="6">
        <f t="shared" si="5"/>
        <v>11.965784284662087</v>
      </c>
    </row>
    <row r="41" spans="1:5" x14ac:dyDescent="0.3">
      <c r="A41" t="s">
        <v>26</v>
      </c>
      <c r="B41" s="15">
        <f>AVERAGE(1,4,5)*100000000</f>
        <v>333333333.33333337</v>
      </c>
      <c r="C41" s="15" t="s">
        <v>37</v>
      </c>
      <c r="D41" s="15" t="s">
        <v>37</v>
      </c>
      <c r="E41" s="6">
        <f t="shared" si="5"/>
        <v>11.287712379549449</v>
      </c>
    </row>
    <row r="42" spans="1:5" x14ac:dyDescent="0.3">
      <c r="A42" t="s">
        <v>79</v>
      </c>
      <c r="B42" s="15">
        <f>AVERAGE(4,3,2*100000000)</f>
        <v>66666669</v>
      </c>
      <c r="C42" s="15" t="s">
        <v>37</v>
      </c>
      <c r="D42" s="15" t="s">
        <v>37</v>
      </c>
      <c r="E42" s="6">
        <f t="shared" si="5"/>
        <v>8.4050693806819332</v>
      </c>
    </row>
    <row r="43" spans="1:5" x14ac:dyDescent="0.3">
      <c r="A43" s="16"/>
      <c r="B43" s="17"/>
      <c r="C43" s="17"/>
      <c r="D43" s="17"/>
    </row>
    <row r="45" spans="1:5" x14ac:dyDescent="0.3">
      <c r="A45" t="s">
        <v>38</v>
      </c>
    </row>
    <row r="46" spans="1:5" ht="15.6" x14ac:dyDescent="0.3">
      <c r="A46" s="47" t="s">
        <v>32</v>
      </c>
      <c r="B46" s="48" t="s">
        <v>33</v>
      </c>
      <c r="C46" s="48" t="s">
        <v>34</v>
      </c>
      <c r="D46" s="48" t="s">
        <v>35</v>
      </c>
    </row>
    <row r="47" spans="1:5" x14ac:dyDescent="0.3">
      <c r="A47" t="s">
        <v>19</v>
      </c>
      <c r="B47" s="15">
        <f>AVERAGE(3,3)*100000000</f>
        <v>300000000</v>
      </c>
      <c r="C47" s="15" t="s">
        <v>37</v>
      </c>
      <c r="D47" s="15" t="s">
        <v>37</v>
      </c>
      <c r="E47" s="6">
        <f t="shared" ref="E47:E58" si="6">LOG10(B47/((B31)/1000))/LOG(2)</f>
        <v>7.8503070672421513</v>
      </c>
    </row>
    <row r="48" spans="1:5" x14ac:dyDescent="0.3">
      <c r="A48" t="s">
        <v>72</v>
      </c>
      <c r="B48" s="15">
        <f>AVERAGE(5,4,5)*100000000</f>
        <v>466666666.66666669</v>
      </c>
      <c r="C48" s="15" t="s">
        <v>37</v>
      </c>
      <c r="D48" s="15" t="s">
        <v>37</v>
      </c>
      <c r="E48" s="6">
        <f t="shared" si="6"/>
        <v>8.965784284662087</v>
      </c>
    </row>
    <row r="49" spans="1:5" x14ac:dyDescent="0.3">
      <c r="A49" t="s">
        <v>73</v>
      </c>
      <c r="B49" s="15">
        <f>AVERAGE(3,4,11)*100000000</f>
        <v>600000000</v>
      </c>
      <c r="C49" s="15" t="s">
        <v>37</v>
      </c>
      <c r="D49" s="15" t="s">
        <v>37</v>
      </c>
      <c r="E49" s="6">
        <f t="shared" si="6"/>
        <v>10.435269567963308</v>
      </c>
    </row>
    <row r="50" spans="1:5" x14ac:dyDescent="0.3">
      <c r="A50" t="s">
        <v>74</v>
      </c>
      <c r="B50" s="15">
        <f>AVERAGE(9,7,5)*100000000</f>
        <v>700000000</v>
      </c>
      <c r="C50" s="15" t="s">
        <v>37</v>
      </c>
      <c r="D50" s="15" t="s">
        <v>37</v>
      </c>
      <c r="E50" s="6">
        <f t="shared" si="6"/>
        <v>9.0361736125534833</v>
      </c>
    </row>
    <row r="51" spans="1:5" x14ac:dyDescent="0.3">
      <c r="A51" t="s">
        <v>20</v>
      </c>
      <c r="B51" s="15">
        <f>AVERAGE(4,8,7)*100000000</f>
        <v>633333333.33333325</v>
      </c>
      <c r="C51" s="15" t="s">
        <v>37</v>
      </c>
      <c r="D51" s="15" t="s">
        <v>37</v>
      </c>
      <c r="E51" s="6">
        <f t="shared" si="6"/>
        <v>9.3557308029780994</v>
      </c>
    </row>
    <row r="52" spans="1:5" x14ac:dyDescent="0.3">
      <c r="A52" t="s">
        <v>75</v>
      </c>
      <c r="B52" s="15">
        <f>AVERAGE(5,11,9)*100000000</f>
        <v>833333333.33333337</v>
      </c>
      <c r="C52" s="15" t="s">
        <v>37</v>
      </c>
      <c r="D52" s="15" t="s">
        <v>37</v>
      </c>
      <c r="E52" s="6">
        <f t="shared" si="6"/>
        <v>9.6554441640499356</v>
      </c>
    </row>
    <row r="53" spans="1:5" x14ac:dyDescent="0.3">
      <c r="A53" t="s">
        <v>25</v>
      </c>
      <c r="B53" s="15">
        <f>AVERAGE(7,9,6)*100000000</f>
        <v>733333333.33333325</v>
      </c>
      <c r="C53" s="15" t="s">
        <v>37</v>
      </c>
      <c r="D53" s="15" t="s">
        <v>37</v>
      </c>
      <c r="E53" s="6">
        <f t="shared" si="6"/>
        <v>9.5183253076908656</v>
      </c>
    </row>
    <row r="54" spans="1:5" x14ac:dyDescent="0.3">
      <c r="A54" t="s">
        <v>76</v>
      </c>
      <c r="B54" s="15">
        <f>AVERAGE(5,6,5)*100000000</f>
        <v>533333333.33333331</v>
      </c>
      <c r="C54" s="15" t="s">
        <v>37</v>
      </c>
      <c r="D54" s="15" t="s">
        <v>37</v>
      </c>
      <c r="E54" s="6">
        <f t="shared" si="6"/>
        <v>9.4422223286050748</v>
      </c>
    </row>
    <row r="55" spans="1:5" x14ac:dyDescent="0.3">
      <c r="A55" t="s">
        <v>77</v>
      </c>
      <c r="B55" s="15">
        <f>AVERAGE(7,2,4)*100000000</f>
        <v>433333333.33333331</v>
      </c>
      <c r="C55" s="15" t="s">
        <v>37</v>
      </c>
      <c r="D55" s="15" t="s">
        <v>37</v>
      </c>
      <c r="E55" s="6">
        <f t="shared" si="6"/>
        <v>9.2067923841658832</v>
      </c>
    </row>
    <row r="56" spans="1:5" x14ac:dyDescent="0.3">
      <c r="A56" t="s">
        <v>78</v>
      </c>
      <c r="B56" s="15">
        <f>AVERAGE(4,8,5)*100000000</f>
        <v>566666666.66666675</v>
      </c>
      <c r="C56" s="15" t="s">
        <v>37</v>
      </c>
      <c r="D56" s="15" t="s">
        <v>37</v>
      </c>
      <c r="E56" s="6">
        <f t="shared" si="6"/>
        <v>10.731319031025064</v>
      </c>
    </row>
    <row r="57" spans="1:5" x14ac:dyDescent="0.3">
      <c r="A57" t="s">
        <v>26</v>
      </c>
      <c r="B57" s="15">
        <f>AVERAGE(6,6,1)*100000000</f>
        <v>433333333.33333331</v>
      </c>
      <c r="C57" s="15" t="s">
        <v>37</v>
      </c>
      <c r="D57" s="15" t="s">
        <v>37</v>
      </c>
      <c r="E57" s="6">
        <f t="shared" si="6"/>
        <v>10.344295907915816</v>
      </c>
    </row>
    <row r="58" spans="1:5" x14ac:dyDescent="0.3">
      <c r="A58" t="s">
        <v>79</v>
      </c>
      <c r="B58" s="15">
        <f>AVERAGE(4,4,7)*100000000</f>
        <v>500000000</v>
      </c>
      <c r="C58" s="15" t="s">
        <v>37</v>
      </c>
      <c r="D58" s="15" t="s">
        <v>37</v>
      </c>
      <c r="E58" s="6">
        <f t="shared" si="6"/>
        <v>12.87267482977628</v>
      </c>
    </row>
    <row r="59" spans="1:5" x14ac:dyDescent="0.3">
      <c r="A59" s="16"/>
      <c r="B59" s="17"/>
      <c r="C59" s="17"/>
      <c r="D59" s="17"/>
    </row>
    <row r="61" spans="1:5" x14ac:dyDescent="0.3">
      <c r="A61" t="s">
        <v>39</v>
      </c>
    </row>
    <row r="62" spans="1:5" ht="15.6" x14ac:dyDescent="0.3">
      <c r="A62" s="47" t="s">
        <v>32</v>
      </c>
      <c r="B62" s="48" t="s">
        <v>33</v>
      </c>
      <c r="C62" s="48" t="s">
        <v>34</v>
      </c>
      <c r="D62" s="48" t="s">
        <v>35</v>
      </c>
    </row>
    <row r="63" spans="1:5" x14ac:dyDescent="0.3">
      <c r="A63" t="s">
        <v>19</v>
      </c>
      <c r="B63" s="15">
        <f>AVERAGE(5,6,6)*100000000</f>
        <v>566666666.66666675</v>
      </c>
      <c r="C63" s="15" t="s">
        <v>37</v>
      </c>
      <c r="D63" s="15" t="s">
        <v>37</v>
      </c>
      <c r="E63" s="6">
        <f t="shared" ref="E63:E74" si="7">LOG10(B63/((B47)/1000))/LOG(2)</f>
        <v>10.883322124470114</v>
      </c>
    </row>
    <row r="64" spans="1:5" x14ac:dyDescent="0.3">
      <c r="A64" t="s">
        <v>72</v>
      </c>
      <c r="B64" s="15">
        <f>AVERAGE(4,7)*100000000</f>
        <v>550000000</v>
      </c>
      <c r="C64" s="15" t="s">
        <v>37</v>
      </c>
      <c r="D64" s="15" t="s">
        <v>37</v>
      </c>
      <c r="E64" s="6">
        <f t="shared" si="7"/>
        <v>10.202823481962936</v>
      </c>
    </row>
    <row r="65" spans="1:15" x14ac:dyDescent="0.3">
      <c r="A65" t="s">
        <v>73</v>
      </c>
      <c r="B65" s="15">
        <f>AVERAGE(6,5,9)*100000000</f>
        <v>666666666.66666675</v>
      </c>
      <c r="C65" s="15" t="s">
        <v>37</v>
      </c>
      <c r="D65" s="15" t="s">
        <v>37</v>
      </c>
      <c r="E65" s="6">
        <f t="shared" si="7"/>
        <v>10.117787378107137</v>
      </c>
    </row>
    <row r="66" spans="1:15" x14ac:dyDescent="0.3">
      <c r="A66" t="s">
        <v>74</v>
      </c>
      <c r="B66" s="15">
        <f>AVERAGE(7,5,11)*100000000</f>
        <v>766666666.66666675</v>
      </c>
      <c r="C66" s="15" t="s">
        <v>37</v>
      </c>
      <c r="D66" s="15" t="s">
        <v>37</v>
      </c>
      <c r="E66" s="6">
        <f t="shared" si="7"/>
        <v>10.097028817940339</v>
      </c>
    </row>
    <row r="67" spans="1:15" x14ac:dyDescent="0.3">
      <c r="A67" t="s">
        <v>20</v>
      </c>
      <c r="B67" s="15">
        <f>AVERAGE(4,5,5)*100000000</f>
        <v>466666666.66666669</v>
      </c>
      <c r="C67" s="15" t="s">
        <v>37</v>
      </c>
      <c r="D67" s="15" t="s">
        <v>37</v>
      </c>
      <c r="E67" s="6">
        <f t="shared" si="7"/>
        <v>9.5252116932761073</v>
      </c>
    </row>
    <row r="68" spans="1:15" x14ac:dyDescent="0.3">
      <c r="A68" t="s">
        <v>75</v>
      </c>
      <c r="B68" s="15">
        <f>AVERAGE(8,7,11)*100000000</f>
        <v>866666666.66666663</v>
      </c>
      <c r="C68" s="15" t="s">
        <v>37</v>
      </c>
      <c r="D68" s="15" t="s">
        <v>37</v>
      </c>
      <c r="E68" s="6">
        <f t="shared" si="7"/>
        <v>10.022367813028454</v>
      </c>
    </row>
    <row r="69" spans="1:15" x14ac:dyDescent="0.3">
      <c r="A69" t="s">
        <v>25</v>
      </c>
      <c r="B69" s="15">
        <f>AVERAGE(7,5,9)*100000000</f>
        <v>700000000</v>
      </c>
      <c r="C69" s="15" t="s">
        <v>37</v>
      </c>
      <c r="D69" s="15" t="s">
        <v>37</v>
      </c>
      <c r="E69" s="6">
        <f t="shared" si="7"/>
        <v>9.8986700888035504</v>
      </c>
    </row>
    <row r="70" spans="1:15" x14ac:dyDescent="0.3">
      <c r="A70" t="s">
        <v>76</v>
      </c>
      <c r="B70" s="15">
        <f>AVERAGE(4,8,6)*100000000</f>
        <v>600000000</v>
      </c>
      <c r="C70" s="15" t="s">
        <v>37</v>
      </c>
      <c r="D70" s="15" t="s">
        <v>37</v>
      </c>
      <c r="E70" s="6">
        <f t="shared" si="7"/>
        <v>10.135709286104399</v>
      </c>
    </row>
    <row r="71" spans="1:15" x14ac:dyDescent="0.3">
      <c r="A71" t="s">
        <v>77</v>
      </c>
      <c r="B71" s="15">
        <f>AVERAGE(3,6,10)*100000000</f>
        <v>633333333.33333325</v>
      </c>
      <c r="C71" s="15" t="s">
        <v>37</v>
      </c>
      <c r="D71" s="15" t="s">
        <v>37</v>
      </c>
      <c r="E71" s="6">
        <f t="shared" si="7"/>
        <v>10.513272079964581</v>
      </c>
    </row>
    <row r="72" spans="1:15" x14ac:dyDescent="0.3">
      <c r="A72" t="s">
        <v>78</v>
      </c>
      <c r="B72" s="15">
        <f>AVERAGE(8,17,12)*100000000</f>
        <v>1233333333.3333335</v>
      </c>
      <c r="C72" s="15" t="s">
        <v>37</v>
      </c>
      <c r="D72" s="15" t="s">
        <v>37</v>
      </c>
      <c r="E72" s="6">
        <f t="shared" si="7"/>
        <v>11.087774809040697</v>
      </c>
    </row>
    <row r="73" spans="1:15" ht="18" x14ac:dyDescent="0.35">
      <c r="A73" t="s">
        <v>26</v>
      </c>
      <c r="B73" s="15">
        <f>AVERAGE(6,6,10)*100000000</f>
        <v>733333333.33333325</v>
      </c>
      <c r="C73" s="15" t="s">
        <v>37</v>
      </c>
      <c r="D73" s="15" t="s">
        <v>37</v>
      </c>
      <c r="E73" s="6">
        <f t="shared" si="7"/>
        <v>10.724776185158291</v>
      </c>
      <c r="H73" s="18" t="s">
        <v>40</v>
      </c>
      <c r="L73" s="18" t="s">
        <v>41</v>
      </c>
    </row>
    <row r="74" spans="1:15" x14ac:dyDescent="0.3">
      <c r="A74" t="s">
        <v>79</v>
      </c>
      <c r="B74" s="15">
        <f>AVERAGE(5,4,3)*100000000</f>
        <v>400000000</v>
      </c>
      <c r="C74" s="15" t="s">
        <v>37</v>
      </c>
      <c r="D74" s="15" t="s">
        <v>37</v>
      </c>
      <c r="E74" s="6">
        <f t="shared" si="7"/>
        <v>9.6438561897747253</v>
      </c>
      <c r="H74" t="s">
        <v>42</v>
      </c>
      <c r="I74" t="s">
        <v>80</v>
      </c>
      <c r="J74" t="s">
        <v>81</v>
      </c>
      <c r="L74" t="s">
        <v>42</v>
      </c>
      <c r="M74" t="s">
        <v>80</v>
      </c>
      <c r="N74" t="s">
        <v>81</v>
      </c>
    </row>
    <row r="75" spans="1:15" x14ac:dyDescent="0.3">
      <c r="A75" s="16"/>
      <c r="B75" s="17"/>
      <c r="C75" s="17"/>
      <c r="D75" s="17"/>
      <c r="H75">
        <v>0</v>
      </c>
      <c r="I75" s="4">
        <f t="shared" ref="I75:I80" si="8">C79/D79</f>
        <v>0.22222222222222221</v>
      </c>
      <c r="J75" s="4">
        <f t="shared" ref="J75:J80" si="9">C85/D85</f>
        <v>1.4285714285714286</v>
      </c>
      <c r="L75">
        <v>0</v>
      </c>
      <c r="M75" s="19">
        <f t="shared" ref="M75:M80" si="10">LN((H83*G12)/(1-H83))/4</f>
        <v>-0.65067242136109604</v>
      </c>
      <c r="N75" s="19">
        <f t="shared" ref="N75:N80" si="11">LN((H89*G18)/(1-H89))/4</f>
        <v>-3.0724534080788443E-2</v>
      </c>
      <c r="O75" t="s">
        <v>45</v>
      </c>
    </row>
    <row r="76" spans="1:15" x14ac:dyDescent="0.3">
      <c r="H76">
        <v>5.0000000000000001E-3</v>
      </c>
      <c r="I76" s="4">
        <f t="shared" si="8"/>
        <v>0.53333333333333333</v>
      </c>
      <c r="J76" s="4">
        <f t="shared" si="9"/>
        <v>1.2222222222222221</v>
      </c>
      <c r="L76">
        <v>5.0000000000000001E-3</v>
      </c>
      <c r="M76" s="19">
        <f t="shared" si="10"/>
        <v>-0.37479084549346131</v>
      </c>
      <c r="N76" s="19">
        <f t="shared" si="11"/>
        <v>-0.15469255260552164</v>
      </c>
    </row>
    <row r="77" spans="1:15" x14ac:dyDescent="0.3">
      <c r="A77" t="s">
        <v>46</v>
      </c>
      <c r="G77" t="s">
        <v>47</v>
      </c>
      <c r="H77">
        <v>0.01</v>
      </c>
      <c r="I77" s="4">
        <f t="shared" si="8"/>
        <v>1.3888888888888891</v>
      </c>
      <c r="J77" s="4">
        <f t="shared" si="9"/>
        <v>1.1111111111111112</v>
      </c>
      <c r="L77">
        <v>0.01</v>
      </c>
      <c r="M77" s="19">
        <f t="shared" si="10"/>
        <v>-0.40992795989939396</v>
      </c>
      <c r="N77" s="19">
        <f t="shared" si="11"/>
        <v>-0.27214048820365194</v>
      </c>
    </row>
    <row r="78" spans="1:15" ht="15.6" x14ac:dyDescent="0.3">
      <c r="A78" s="47" t="s">
        <v>32</v>
      </c>
      <c r="B78" s="48" t="s">
        <v>33</v>
      </c>
      <c r="C78" s="48" t="s">
        <v>34</v>
      </c>
      <c r="D78" s="48" t="s">
        <v>35</v>
      </c>
      <c r="F78" s="20"/>
      <c r="H78">
        <v>2.5000000000000001E-2</v>
      </c>
      <c r="I78" s="4">
        <f t="shared" si="8"/>
        <v>1.0555555555555554</v>
      </c>
      <c r="J78" s="4">
        <f t="shared" si="9"/>
        <v>0.61111111111111105</v>
      </c>
      <c r="L78">
        <v>2.5000000000000001E-2</v>
      </c>
      <c r="M78" s="19">
        <f t="shared" si="10"/>
        <v>-0.33781883370507743</v>
      </c>
      <c r="N78" s="19">
        <f t="shared" si="11"/>
        <v>-0.46060080051170244</v>
      </c>
    </row>
    <row r="79" spans="1:15" x14ac:dyDescent="0.3">
      <c r="A79" t="s">
        <v>19</v>
      </c>
      <c r="B79" s="15">
        <f>AVERAGE(10,14,5)*100000000</f>
        <v>966666666.66666663</v>
      </c>
      <c r="C79" s="15">
        <f>AVERAGE(3,1,4)*100000000</f>
        <v>266666666.66666666</v>
      </c>
      <c r="D79" s="15">
        <f>AVERAGE(12)*100000000</f>
        <v>1200000000</v>
      </c>
      <c r="E79" s="6">
        <f t="shared" ref="E79:E90" si="12">LOG10(B79/((B63)/1000))/LOG(2)</f>
        <v>10.736302438539319</v>
      </c>
      <c r="F79" s="20"/>
      <c r="H79">
        <v>0.05</v>
      </c>
      <c r="I79" s="4">
        <f t="shared" si="8"/>
        <v>1.1666666666666667</v>
      </c>
      <c r="J79" s="4">
        <f t="shared" si="9"/>
        <v>96.296296296296291</v>
      </c>
      <c r="L79">
        <v>0.05</v>
      </c>
      <c r="M79" s="19">
        <f t="shared" si="10"/>
        <v>-0.32528413819489599</v>
      </c>
      <c r="N79" s="19">
        <f t="shared" si="11"/>
        <v>0.97650784393996892</v>
      </c>
    </row>
    <row r="80" spans="1:15" x14ac:dyDescent="0.3">
      <c r="A80" t="s">
        <v>72</v>
      </c>
      <c r="B80" s="15">
        <f>AVERAGE(8,11,10)*100000000</f>
        <v>966666666.66666663</v>
      </c>
      <c r="C80" s="15">
        <f>AVERAGE(4,2,2)*100000000</f>
        <v>266666666.66666666</v>
      </c>
      <c r="D80" s="15">
        <f>AVERAGE(5)*100000000</f>
        <v>500000000</v>
      </c>
      <c r="E80" s="6">
        <f t="shared" si="12"/>
        <v>10.779371160431205</v>
      </c>
      <c r="F80" s="20"/>
      <c r="H80">
        <v>7.4999999999999997E-2</v>
      </c>
      <c r="I80" s="4">
        <f t="shared" si="8"/>
        <v>8.6666666666666661</v>
      </c>
      <c r="J80" s="4">
        <f t="shared" si="9"/>
        <v>366666.66666666663</v>
      </c>
      <c r="L80">
        <v>7.4999999999999997E-2</v>
      </c>
      <c r="M80" s="19">
        <f t="shared" si="10"/>
        <v>8.5081451484300741E-2</v>
      </c>
      <c r="N80" s="19">
        <f t="shared" si="11"/>
        <v>2.8803060669467615</v>
      </c>
    </row>
    <row r="81" spans="1:12" x14ac:dyDescent="0.3">
      <c r="A81" t="s">
        <v>73</v>
      </c>
      <c r="B81" s="15">
        <f>AVERAGE(11,14,19)*100000000</f>
        <v>1466666666.6666665</v>
      </c>
      <c r="C81" s="15">
        <f>AVERAGE(5,11,9)*100000000</f>
        <v>833333333.33333337</v>
      </c>
      <c r="D81" s="15">
        <f>AVERAGE(6)*100000000</f>
        <v>600000000</v>
      </c>
      <c r="E81" s="6">
        <f t="shared" si="12"/>
        <v>11.103287808412022</v>
      </c>
      <c r="F81" s="20"/>
      <c r="G81" s="21" t="s">
        <v>48</v>
      </c>
      <c r="H81" s="21"/>
    </row>
    <row r="82" spans="1:12" x14ac:dyDescent="0.3">
      <c r="A82" t="s">
        <v>74</v>
      </c>
      <c r="B82" s="15">
        <f>AVERAGE(12,10,13)*100000000</f>
        <v>1166666666.6666665</v>
      </c>
      <c r="C82" s="15">
        <f>AVERAGE(4,6,9)*100000000</f>
        <v>633333333.33333325</v>
      </c>
      <c r="D82" s="15">
        <f>AVERAGE(6)*100000000</f>
        <v>600000000</v>
      </c>
      <c r="E82" s="6">
        <f t="shared" si="12"/>
        <v>10.57150534555004</v>
      </c>
      <c r="F82" s="22" t="s">
        <v>49</v>
      </c>
      <c r="G82" s="23" t="s">
        <v>50</v>
      </c>
      <c r="H82" s="21" t="s">
        <v>51</v>
      </c>
      <c r="I82" s="21" t="s">
        <v>17</v>
      </c>
      <c r="J82" s="28" t="s">
        <v>82</v>
      </c>
      <c r="K82" s="28" t="s">
        <v>83</v>
      </c>
      <c r="L82" s="28" t="s">
        <v>84</v>
      </c>
    </row>
    <row r="83" spans="1:12" x14ac:dyDescent="0.3">
      <c r="A83" t="s">
        <v>20</v>
      </c>
      <c r="B83" s="15">
        <f>AVERAGE(9,4,8)*100000000</f>
        <v>700000000</v>
      </c>
      <c r="C83" s="15">
        <f>AVERAGE(6,5,10)*100000000</f>
        <v>700000000</v>
      </c>
      <c r="D83" s="15">
        <v>600000000</v>
      </c>
      <c r="E83" s="6">
        <f t="shared" si="12"/>
        <v>10.550746785383243</v>
      </c>
      <c r="F83" t="s">
        <v>19</v>
      </c>
      <c r="G83" s="24">
        <f t="shared" ref="G83:G94" si="13">SUM(E79,E63,E47,E31)</f>
        <v>42.315125774100082</v>
      </c>
      <c r="H83" s="7">
        <f t="shared" ref="H83:H94" si="14">C79/(C79+D79)</f>
        <v>0.1818181818181818</v>
      </c>
      <c r="I83" s="7">
        <f>1-H83</f>
        <v>0.81818181818181823</v>
      </c>
      <c r="J83" s="30">
        <f>C79/B79</f>
        <v>0.27586206896551724</v>
      </c>
      <c r="K83" s="30">
        <f>J83/G83</f>
        <v>6.5192307459562083E-3</v>
      </c>
      <c r="L83" s="30">
        <f>D79/B79</f>
        <v>1.2413793103448276</v>
      </c>
    </row>
    <row r="84" spans="1:12" x14ac:dyDescent="0.3">
      <c r="A84" t="s">
        <v>75</v>
      </c>
      <c r="B84" s="15">
        <f>AVERAGE(7,10,9)*100000000</f>
        <v>866666666.66666663</v>
      </c>
      <c r="C84" s="15">
        <f>AVERAGE(9,12,5)*100000000</f>
        <v>866666666.66666663</v>
      </c>
      <c r="D84" s="15">
        <v>100000000</v>
      </c>
      <c r="E84" s="6">
        <f t="shared" si="12"/>
        <v>9.965784284662087</v>
      </c>
      <c r="F84" t="s">
        <v>72</v>
      </c>
      <c r="G84" s="24">
        <f t="shared" si="13"/>
        <v>42.370620886691782</v>
      </c>
      <c r="H84" s="7">
        <f t="shared" si="14"/>
        <v>0.34782608695652173</v>
      </c>
      <c r="I84" s="7">
        <f t="shared" ref="I84:I94" si="15">1-H84</f>
        <v>0.65217391304347827</v>
      </c>
      <c r="J84" s="30">
        <f t="shared" ref="J84:J93" si="16">C80/B80</f>
        <v>0.27586206896551724</v>
      </c>
      <c r="K84" s="30">
        <f t="shared" ref="K84:K93" si="17">J84/G84</f>
        <v>6.5106921539628167E-3</v>
      </c>
      <c r="L84" s="30">
        <f t="shared" ref="L84:L94" si="18">D80/B80</f>
        <v>0.51724137931034486</v>
      </c>
    </row>
    <row r="85" spans="1:12" x14ac:dyDescent="0.3">
      <c r="A85" t="s">
        <v>25</v>
      </c>
      <c r="B85" s="15">
        <f>AVERAGE(6,8,14)*100000000</f>
        <v>933333333.33333337</v>
      </c>
      <c r="C85" s="15">
        <f>AVERAGE(1,1)*100000000</f>
        <v>100000000</v>
      </c>
      <c r="D85" s="15">
        <f>AVERAGE(7)*10000000</f>
        <v>70000000</v>
      </c>
      <c r="E85" s="6">
        <f t="shared" si="12"/>
        <v>10.380821783940931</v>
      </c>
      <c r="F85" t="s">
        <v>73</v>
      </c>
      <c r="G85" s="24">
        <f t="shared" si="13"/>
        <v>41.474571850730698</v>
      </c>
      <c r="H85" s="7">
        <f t="shared" si="14"/>
        <v>0.58139534883720922</v>
      </c>
      <c r="I85" s="7">
        <f t="shared" si="15"/>
        <v>0.41860465116279078</v>
      </c>
      <c r="J85" s="30">
        <f t="shared" si="16"/>
        <v>0.56818181818181823</v>
      </c>
      <c r="K85" s="30">
        <f t="shared" si="17"/>
        <v>1.3699522209095644E-2</v>
      </c>
      <c r="L85" s="30">
        <f t="shared" si="18"/>
        <v>0.40909090909090912</v>
      </c>
    </row>
    <row r="86" spans="1:12" x14ac:dyDescent="0.3">
      <c r="A86" t="s">
        <v>76</v>
      </c>
      <c r="B86" s="15">
        <f>AVERAGE(7,8,13)*100000000</f>
        <v>933333333.33333337</v>
      </c>
      <c r="C86" s="15">
        <f>AVERAGE(1,3,7)*100000000</f>
        <v>366666666.66666663</v>
      </c>
      <c r="D86" s="15">
        <f>AVERAGE(3)*100000000</f>
        <v>300000000</v>
      </c>
      <c r="E86" s="6">
        <f t="shared" si="12"/>
        <v>10.603214205277379</v>
      </c>
      <c r="F86" t="s">
        <v>74</v>
      </c>
      <c r="G86" s="24">
        <f t="shared" si="13"/>
        <v>42.559460748317207</v>
      </c>
      <c r="H86" s="7">
        <f t="shared" si="14"/>
        <v>0.51351351351351349</v>
      </c>
      <c r="I86" s="7">
        <f t="shared" si="15"/>
        <v>0.48648648648648651</v>
      </c>
      <c r="J86" s="30">
        <f t="shared" si="16"/>
        <v>0.54285714285714282</v>
      </c>
      <c r="K86" s="30">
        <f t="shared" si="17"/>
        <v>1.2755263654946739E-2</v>
      </c>
      <c r="L86" s="30">
        <f t="shared" si="18"/>
        <v>0.51428571428571435</v>
      </c>
    </row>
    <row r="87" spans="1:12" x14ac:dyDescent="0.3">
      <c r="A87" t="s">
        <v>77</v>
      </c>
      <c r="B87" s="15">
        <f>AVERAGE(8,12,12)*100000000</f>
        <v>1066666666.6666666</v>
      </c>
      <c r="C87" s="15">
        <f>AVERAGE(6,6,8)*100000000</f>
        <v>666666666.66666675</v>
      </c>
      <c r="D87" s="15">
        <f>AVERAGE(6)*100000000</f>
        <v>600000000</v>
      </c>
      <c r="E87" s="6">
        <f t="shared" si="12"/>
        <v>10.717856771218502</v>
      </c>
      <c r="F87" t="s">
        <v>20</v>
      </c>
      <c r="G87" s="24">
        <f t="shared" si="13"/>
        <v>42.15111790161238</v>
      </c>
      <c r="H87" s="7">
        <f t="shared" si="14"/>
        <v>0.53846153846153844</v>
      </c>
      <c r="I87" s="7">
        <f t="shared" si="15"/>
        <v>0.46153846153846156</v>
      </c>
      <c r="J87" s="30">
        <f t="shared" si="16"/>
        <v>1</v>
      </c>
      <c r="K87" s="30">
        <f t="shared" si="17"/>
        <v>2.3724163196197166E-2</v>
      </c>
      <c r="L87" s="30">
        <f t="shared" si="18"/>
        <v>0.8571428571428571</v>
      </c>
    </row>
    <row r="88" spans="1:12" x14ac:dyDescent="0.3">
      <c r="A88" t="s">
        <v>78</v>
      </c>
      <c r="B88" s="15">
        <f>AVERAGE(14,11,17)*100000000</f>
        <v>1400000000</v>
      </c>
      <c r="C88" s="15">
        <f>AVERAGE(1,6,4)*100000000</f>
        <v>366666666.66666663</v>
      </c>
      <c r="D88" s="15">
        <f>AVERAGE(6)*100000000</f>
        <v>600000000</v>
      </c>
      <c r="E88" s="6">
        <f t="shared" si="12"/>
        <v>10.148648341811898</v>
      </c>
      <c r="F88" t="s">
        <v>75</v>
      </c>
      <c r="G88" s="24">
        <f t="shared" si="13"/>
        <v>42.213079609705304</v>
      </c>
      <c r="H88" s="7">
        <f t="shared" si="14"/>
        <v>0.89655172413793105</v>
      </c>
      <c r="I88" s="7">
        <f t="shared" si="15"/>
        <v>0.10344827586206895</v>
      </c>
      <c r="J88" s="30">
        <f t="shared" si="16"/>
        <v>1</v>
      </c>
      <c r="K88" s="30">
        <f t="shared" si="17"/>
        <v>2.3689340110833509E-2</v>
      </c>
      <c r="L88" s="30">
        <f t="shared" si="18"/>
        <v>0.11538461538461539</v>
      </c>
    </row>
    <row r="89" spans="1:12" x14ac:dyDescent="0.3">
      <c r="A89" t="s">
        <v>26</v>
      </c>
      <c r="B89" s="15">
        <f>AVERAGE(10,12,15)*100000000</f>
        <v>1233333333.3333335</v>
      </c>
      <c r="C89" s="15">
        <f>AVERAGE(7,11,8)*100000000</f>
        <v>866666666.66666663</v>
      </c>
      <c r="D89" s="15">
        <v>9000000</v>
      </c>
      <c r="E89" s="6">
        <f t="shared" si="12"/>
        <v>10.71580603165374</v>
      </c>
      <c r="F89" t="s">
        <v>25</v>
      </c>
      <c r="G89" s="24">
        <f t="shared" si="13"/>
        <v>42.437831303915672</v>
      </c>
      <c r="H89" s="7">
        <f t="shared" si="14"/>
        <v>0.58823529411764708</v>
      </c>
      <c r="I89" s="7">
        <f t="shared" si="15"/>
        <v>0.41176470588235292</v>
      </c>
      <c r="J89" s="30">
        <f t="shared" si="16"/>
        <v>0.10714285714285714</v>
      </c>
      <c r="K89" s="30">
        <f t="shared" si="17"/>
        <v>2.5247015186888504E-3</v>
      </c>
      <c r="L89" s="30">
        <f t="shared" si="18"/>
        <v>7.4999999999999997E-2</v>
      </c>
    </row>
    <row r="90" spans="1:12" x14ac:dyDescent="0.3">
      <c r="A90" t="s">
        <v>79</v>
      </c>
      <c r="B90" s="15">
        <f>AVERAGE(13,10,12)*100000000</f>
        <v>1166666666.6666665</v>
      </c>
      <c r="C90" s="15">
        <f>AVERAGE(5,7,10)*100000000</f>
        <v>733333333.33333325</v>
      </c>
      <c r="D90" s="15">
        <v>2000</v>
      </c>
      <c r="E90" s="6">
        <f t="shared" si="12"/>
        <v>11.510104800885896</v>
      </c>
      <c r="F90" t="s">
        <v>76</v>
      </c>
      <c r="G90" s="24">
        <f t="shared" si="13"/>
        <v>42.134439160465746</v>
      </c>
      <c r="H90" s="7">
        <f t="shared" si="14"/>
        <v>0.54999999999999993</v>
      </c>
      <c r="I90" s="7">
        <f t="shared" si="15"/>
        <v>0.45000000000000007</v>
      </c>
      <c r="J90" s="30">
        <f t="shared" si="16"/>
        <v>0.39285714285714279</v>
      </c>
      <c r="K90" s="30">
        <f t="shared" si="17"/>
        <v>9.3238963348005379E-3</v>
      </c>
      <c r="L90" s="30">
        <f t="shared" si="18"/>
        <v>0.3214285714285714</v>
      </c>
    </row>
    <row r="91" spans="1:12" x14ac:dyDescent="0.3">
      <c r="F91" t="s">
        <v>77</v>
      </c>
      <c r="G91" s="24">
        <f t="shared" si="13"/>
        <v>43.32708423840814</v>
      </c>
      <c r="H91" s="7">
        <f t="shared" si="14"/>
        <v>0.52631578947368429</v>
      </c>
      <c r="I91" s="7">
        <f t="shared" si="15"/>
        <v>0.47368421052631571</v>
      </c>
      <c r="J91" s="30">
        <f t="shared" si="16"/>
        <v>0.62500000000000011</v>
      </c>
      <c r="K91" s="30">
        <f t="shared" si="17"/>
        <v>1.4425157173303544E-2</v>
      </c>
      <c r="L91" s="30">
        <f t="shared" si="18"/>
        <v>0.5625</v>
      </c>
    </row>
    <row r="92" spans="1:12" x14ac:dyDescent="0.3">
      <c r="F92" t="s">
        <v>78</v>
      </c>
      <c r="G92" s="24">
        <f t="shared" si="13"/>
        <v>43.933526466539746</v>
      </c>
      <c r="H92" s="7">
        <f t="shared" si="14"/>
        <v>0.37931034482758619</v>
      </c>
      <c r="I92" s="7">
        <f t="shared" si="15"/>
        <v>0.62068965517241381</v>
      </c>
      <c r="J92" s="30">
        <f t="shared" si="16"/>
        <v>0.26190476190476186</v>
      </c>
      <c r="K92" s="30">
        <f t="shared" si="17"/>
        <v>5.9613871903552154E-3</v>
      </c>
      <c r="L92" s="30">
        <f t="shared" si="18"/>
        <v>0.42857142857142855</v>
      </c>
    </row>
    <row r="93" spans="1:12" ht="15.6" x14ac:dyDescent="0.3">
      <c r="B93" s="25"/>
      <c r="C93" s="25"/>
      <c r="D93" s="25"/>
      <c r="E93" s="25"/>
      <c r="F93" t="s">
        <v>26</v>
      </c>
      <c r="G93" s="24">
        <f t="shared" si="13"/>
        <v>43.072590504277294</v>
      </c>
      <c r="H93" s="7">
        <f t="shared" si="14"/>
        <v>0.98972211648267983</v>
      </c>
      <c r="I93" s="7">
        <f t="shared" si="15"/>
        <v>1.0277883517320174E-2</v>
      </c>
      <c r="J93" s="30">
        <f t="shared" si="16"/>
        <v>0.70270270270270263</v>
      </c>
      <c r="K93" s="30">
        <f t="shared" si="17"/>
        <v>1.6314382173807755E-2</v>
      </c>
      <c r="L93" s="30">
        <f t="shared" si="18"/>
        <v>7.2972972972972965E-3</v>
      </c>
    </row>
    <row r="94" spans="1:12" ht="15.6" x14ac:dyDescent="0.3">
      <c r="A94" s="1"/>
      <c r="B94" s="1"/>
      <c r="C94" s="1"/>
      <c r="D94" s="1"/>
      <c r="E94" s="1"/>
      <c r="F94" t="s">
        <v>79</v>
      </c>
      <c r="G94" s="24">
        <f t="shared" si="13"/>
        <v>42.431705201118831</v>
      </c>
      <c r="H94" s="7">
        <f t="shared" si="14"/>
        <v>0.99999727273471073</v>
      </c>
      <c r="I94" s="7">
        <f t="shared" si="15"/>
        <v>2.7272652892706972E-6</v>
      </c>
      <c r="J94" s="30">
        <f>C90/B90</f>
        <v>0.62857142857142856</v>
      </c>
      <c r="K94" s="30">
        <f>J94/G94</f>
        <v>1.4813720674012754E-2</v>
      </c>
      <c r="L94" s="30">
        <f t="shared" si="18"/>
        <v>1.7142857142857145E-6</v>
      </c>
    </row>
    <row r="95" spans="1:12" x14ac:dyDescent="0.3">
      <c r="B95" s="4"/>
      <c r="C95" s="4"/>
      <c r="D95" s="4"/>
      <c r="E95" s="4"/>
      <c r="G95" s="6">
        <f>AVERAGE(G83:G94)</f>
        <v>42.535096137156906</v>
      </c>
    </row>
    <row r="96" spans="1:12" x14ac:dyDescent="0.3">
      <c r="B96" s="4"/>
      <c r="C96" s="4"/>
      <c r="D96" s="4"/>
      <c r="E96" s="4"/>
    </row>
    <row r="97" spans="1:11" s="51" customFormat="1" ht="21" x14ac:dyDescent="0.4">
      <c r="A97" s="51" t="s">
        <v>52</v>
      </c>
    </row>
    <row r="98" spans="1:11" ht="15.6" x14ac:dyDescent="0.3">
      <c r="A98" s="27" t="s">
        <v>53</v>
      </c>
      <c r="B98" s="28" t="s">
        <v>13</v>
      </c>
      <c r="C98" s="28" t="s">
        <v>9</v>
      </c>
      <c r="D98" s="28" t="s">
        <v>11</v>
      </c>
      <c r="E98" s="28" t="s">
        <v>14</v>
      </c>
      <c r="F98" s="28" t="s">
        <v>15</v>
      </c>
      <c r="G98" s="29" t="s">
        <v>54</v>
      </c>
      <c r="H98" s="29" t="s">
        <v>17</v>
      </c>
    </row>
    <row r="99" spans="1:11" x14ac:dyDescent="0.3">
      <c r="A99" s="28" t="s">
        <v>71</v>
      </c>
      <c r="B99" s="28"/>
      <c r="C99" s="28"/>
      <c r="D99" s="28"/>
      <c r="E99" s="28"/>
      <c r="F99" s="28"/>
      <c r="G99" s="21"/>
      <c r="H99" s="21"/>
    </row>
    <row r="100" spans="1:11" x14ac:dyDescent="0.3">
      <c r="A100" t="s">
        <v>19</v>
      </c>
      <c r="B100" s="30">
        <f>AVERAGE(12,10,18)*10000</f>
        <v>133333.33333333334</v>
      </c>
      <c r="C100" s="30">
        <f>AVERAGE(9,8,9)*10000</f>
        <v>86666.666666666657</v>
      </c>
      <c r="D100" s="30">
        <f>AVERAGE(7,4,8)*10000</f>
        <v>63333.333333333328</v>
      </c>
      <c r="E100" s="31">
        <f>C100/D100</f>
        <v>1.368421052631579</v>
      </c>
      <c r="F100" s="31">
        <f>D100/C100</f>
        <v>0.73076923076923084</v>
      </c>
      <c r="G100" s="46">
        <f>C100/(C100+D100)</f>
        <v>0.57777777777777772</v>
      </c>
      <c r="H100" s="46">
        <f>1-G100</f>
        <v>0.42222222222222228</v>
      </c>
      <c r="I100" s="30"/>
      <c r="J100" s="30"/>
      <c r="K100" s="30"/>
    </row>
    <row r="101" spans="1:11" s="3" customFormat="1" ht="13.8" customHeight="1" x14ac:dyDescent="0.3">
      <c r="A101" t="s">
        <v>72</v>
      </c>
      <c r="B101" s="30">
        <f>AVERAGE(17,18,20)*10000</f>
        <v>183333.33333333331</v>
      </c>
      <c r="C101" s="30">
        <f>AVERAGE(16,12,12)*10000</f>
        <v>133333.33333333334</v>
      </c>
      <c r="D101" s="30">
        <f>AVERAGE(8,13,6)*10000</f>
        <v>90000</v>
      </c>
      <c r="E101" s="31">
        <f t="shared" ref="E101:E111" si="19">C101/D101</f>
        <v>1.4814814814814816</v>
      </c>
      <c r="F101" s="31">
        <f>D101/C101</f>
        <v>0.67499999999999993</v>
      </c>
      <c r="G101" s="46">
        <f t="shared" ref="G101:G111" si="20">C101/(C101+D101)</f>
        <v>0.59701492537313439</v>
      </c>
      <c r="H101" s="46">
        <f t="shared" ref="H101:H111" si="21">1-G101</f>
        <v>0.40298507462686561</v>
      </c>
      <c r="I101" s="30"/>
      <c r="J101" s="30"/>
      <c r="K101" s="30"/>
    </row>
    <row r="102" spans="1:11" s="28" customFormat="1" ht="13.8" customHeight="1" x14ac:dyDescent="0.3">
      <c r="A102" t="s">
        <v>73</v>
      </c>
      <c r="B102" s="30">
        <f>AVERAGE(4,12,17)*10000</f>
        <v>110000</v>
      </c>
      <c r="C102" s="30">
        <f>AVERAGE(5,6,117)*10000</f>
        <v>426666.66666666663</v>
      </c>
      <c r="D102" s="30">
        <f>AVERAGE(5,7,5)*10000</f>
        <v>56666.666666666672</v>
      </c>
      <c r="E102" s="31">
        <f t="shared" si="19"/>
        <v>7.5294117647058814</v>
      </c>
      <c r="F102" s="31">
        <f>D102/C102</f>
        <v>0.13281250000000003</v>
      </c>
      <c r="G102" s="46">
        <f t="shared" si="20"/>
        <v>0.88275862068965516</v>
      </c>
      <c r="H102" s="46">
        <f t="shared" si="21"/>
        <v>0.11724137931034484</v>
      </c>
      <c r="I102" s="30"/>
      <c r="J102" s="30"/>
      <c r="K102" s="30"/>
    </row>
    <row r="103" spans="1:11" s="28" customFormat="1" ht="13.8" customHeight="1" x14ac:dyDescent="0.3">
      <c r="A103" t="s">
        <v>74</v>
      </c>
      <c r="B103" s="30">
        <f>AVERAGE(22,14,15)*10000</f>
        <v>170000</v>
      </c>
      <c r="C103" s="30">
        <f>AVERAGE(613,17,15)*10000</f>
        <v>2150000</v>
      </c>
      <c r="D103" s="30">
        <f>AVERAGE(10,9,10)*10000</f>
        <v>96666.666666666657</v>
      </c>
      <c r="E103" s="31">
        <f t="shared" si="19"/>
        <v>22.241379310344829</v>
      </c>
      <c r="F103" s="31">
        <f t="shared" ref="F103:F111" si="22">D103/C103</f>
        <v>4.4961240310077512E-2</v>
      </c>
      <c r="G103" s="46">
        <f t="shared" si="20"/>
        <v>0.95697329376854601</v>
      </c>
      <c r="H103" s="46">
        <f t="shared" si="21"/>
        <v>4.3026706231453993E-2</v>
      </c>
      <c r="I103" s="30"/>
      <c r="J103" s="30"/>
      <c r="K103" s="30"/>
    </row>
    <row r="104" spans="1:11" s="28" customFormat="1" ht="13.8" customHeight="1" x14ac:dyDescent="0.3">
      <c r="A104" t="s">
        <v>20</v>
      </c>
      <c r="B104" s="30">
        <f>AVERAGE(14,10,17)*10000</f>
        <v>136666.66666666666</v>
      </c>
      <c r="C104" s="30">
        <f>AVERAGE(17,9,10)*10000</f>
        <v>120000</v>
      </c>
      <c r="D104" s="30">
        <f>AVERAGE(4,7,9)*10000</f>
        <v>66666.666666666672</v>
      </c>
      <c r="E104" s="31">
        <f t="shared" si="19"/>
        <v>1.7999999999999998</v>
      </c>
      <c r="F104" s="31">
        <f t="shared" si="22"/>
        <v>0.55555555555555558</v>
      </c>
      <c r="G104" s="46">
        <f t="shared" si="20"/>
        <v>0.64285714285714279</v>
      </c>
      <c r="H104" s="46">
        <f t="shared" si="21"/>
        <v>0.35714285714285721</v>
      </c>
      <c r="I104" s="30"/>
      <c r="J104" s="30"/>
      <c r="K104" s="30"/>
    </row>
    <row r="105" spans="1:11" s="28" customFormat="1" ht="13.8" customHeight="1" x14ac:dyDescent="0.3">
      <c r="A105" t="s">
        <v>75</v>
      </c>
      <c r="B105" s="30">
        <f>AVERAGE(16,21,12)*10000</f>
        <v>163333.33333333331</v>
      </c>
      <c r="C105" s="30">
        <f>AVERAGE(11,12,14)*10000</f>
        <v>123333.33333333334</v>
      </c>
      <c r="D105" s="30">
        <f>AVERAGE(4,5,9)*10000</f>
        <v>60000</v>
      </c>
      <c r="E105" s="31">
        <f t="shared" si="19"/>
        <v>2.0555555555555558</v>
      </c>
      <c r="F105" s="31">
        <f t="shared" si="22"/>
        <v>0.48648648648648646</v>
      </c>
      <c r="G105" s="46">
        <f t="shared" si="20"/>
        <v>0.67272727272727273</v>
      </c>
      <c r="H105" s="46">
        <f t="shared" si="21"/>
        <v>0.32727272727272727</v>
      </c>
      <c r="I105" s="30"/>
      <c r="J105" s="30"/>
      <c r="K105" s="30"/>
    </row>
    <row r="106" spans="1:11" s="28" customFormat="1" ht="13.8" customHeight="1" x14ac:dyDescent="0.3">
      <c r="A106" t="s">
        <v>25</v>
      </c>
      <c r="B106" s="30">
        <f>AVERAGE(6,8,16)*10000</f>
        <v>100000</v>
      </c>
      <c r="C106" s="30">
        <f>AVERAGE(3,8,10)*10000</f>
        <v>70000</v>
      </c>
      <c r="D106" s="30">
        <f>AVERAGE(9,7,6)*10000</f>
        <v>73333.333333333328</v>
      </c>
      <c r="E106" s="31">
        <f t="shared" si="19"/>
        <v>0.95454545454545459</v>
      </c>
      <c r="F106" s="31">
        <f t="shared" si="22"/>
        <v>1.0476190476190474</v>
      </c>
      <c r="G106" s="46">
        <f t="shared" si="20"/>
        <v>0.4883720930232559</v>
      </c>
      <c r="H106" s="46">
        <f t="shared" si="21"/>
        <v>0.5116279069767441</v>
      </c>
    </row>
    <row r="107" spans="1:11" s="28" customFormat="1" ht="13.8" customHeight="1" x14ac:dyDescent="0.3">
      <c r="A107" t="s">
        <v>76</v>
      </c>
      <c r="B107" s="30">
        <f>AVERAGE(13,12,9)*10000</f>
        <v>113333.33333333334</v>
      </c>
      <c r="C107" s="30">
        <f>AVERAGE(12,10,5)*10000</f>
        <v>90000</v>
      </c>
      <c r="D107" s="30">
        <f>AVERAGE(4,5,10)*10000</f>
        <v>63333.333333333328</v>
      </c>
      <c r="E107" s="31">
        <f t="shared" si="19"/>
        <v>1.4210526315789476</v>
      </c>
      <c r="F107" s="31">
        <f t="shared" si="22"/>
        <v>0.70370370370370361</v>
      </c>
      <c r="G107" s="46">
        <f t="shared" si="20"/>
        <v>0.58695652173913049</v>
      </c>
      <c r="H107" s="46">
        <f t="shared" si="21"/>
        <v>0.41304347826086951</v>
      </c>
    </row>
    <row r="108" spans="1:11" s="28" customFormat="1" ht="13.8" customHeight="1" x14ac:dyDescent="0.3">
      <c r="A108" t="s">
        <v>77</v>
      </c>
      <c r="B108" s="30">
        <f>AVERAGE(9,11,13)*10000</f>
        <v>110000</v>
      </c>
      <c r="C108" s="30">
        <f>AVERAGE(3,8,9)*10000</f>
        <v>66666.666666666672</v>
      </c>
      <c r="D108" s="30">
        <f>AVERAGE(6,7,6)*10000</f>
        <v>63333.333333333328</v>
      </c>
      <c r="E108" s="31">
        <f t="shared" si="19"/>
        <v>1.0526315789473686</v>
      </c>
      <c r="F108" s="31">
        <f t="shared" si="22"/>
        <v>0.94999999999999984</v>
      </c>
      <c r="G108" s="46">
        <f t="shared" si="20"/>
        <v>0.51282051282051289</v>
      </c>
      <c r="H108" s="46">
        <f t="shared" si="21"/>
        <v>0.48717948717948711</v>
      </c>
    </row>
    <row r="109" spans="1:11" s="28" customFormat="1" ht="13.8" customHeight="1" x14ac:dyDescent="0.3">
      <c r="A109" t="s">
        <v>78</v>
      </c>
      <c r="B109" s="30">
        <f>AVERAGE(16,20,17)*10000</f>
        <v>176666.66666666669</v>
      </c>
      <c r="C109" s="30">
        <f>AVERAGE(6,9,8)*10000</f>
        <v>76666.666666666672</v>
      </c>
      <c r="D109" s="30">
        <f>AVERAGE(2,2,7)*10000</f>
        <v>36666.666666666664</v>
      </c>
      <c r="E109" s="31">
        <f t="shared" si="19"/>
        <v>2.0909090909090913</v>
      </c>
      <c r="F109" s="31">
        <f t="shared" si="22"/>
        <v>0.47826086956521735</v>
      </c>
      <c r="G109" s="46">
        <f t="shared" si="20"/>
        <v>0.67647058823529416</v>
      </c>
      <c r="H109" s="46">
        <f t="shared" si="21"/>
        <v>0.32352941176470584</v>
      </c>
    </row>
    <row r="110" spans="1:11" s="28" customFormat="1" ht="13.8" customHeight="1" x14ac:dyDescent="0.3">
      <c r="A110" t="s">
        <v>26</v>
      </c>
      <c r="B110" s="30">
        <f>AVERAGE(11,10,13)*10000</f>
        <v>113333.33333333334</v>
      </c>
      <c r="C110" s="30">
        <f>AVERAGE(5,4,9)*10000</f>
        <v>60000</v>
      </c>
      <c r="D110" s="30">
        <f>AVERAGE(3,10,3)*10000</f>
        <v>53333.333333333328</v>
      </c>
      <c r="E110" s="31">
        <f t="shared" si="19"/>
        <v>1.125</v>
      </c>
      <c r="F110" s="31">
        <f t="shared" si="22"/>
        <v>0.88888888888888884</v>
      </c>
      <c r="G110" s="46">
        <f t="shared" si="20"/>
        <v>0.52941176470588236</v>
      </c>
      <c r="H110" s="46">
        <f t="shared" si="21"/>
        <v>0.47058823529411764</v>
      </c>
    </row>
    <row r="111" spans="1:11" s="28" customFormat="1" ht="13.8" customHeight="1" x14ac:dyDescent="0.3">
      <c r="A111" t="s">
        <v>79</v>
      </c>
      <c r="B111" s="30">
        <f>AVERAGE(9,18,16)*10000</f>
        <v>143333.33333333334</v>
      </c>
      <c r="C111" s="30">
        <f>AVERAGE(10,9,6)*10000</f>
        <v>83333.333333333343</v>
      </c>
      <c r="D111" s="30">
        <f>AVERAGE(7,12,6)*10000</f>
        <v>83333.333333333343</v>
      </c>
      <c r="E111" s="31">
        <f t="shared" si="19"/>
        <v>1</v>
      </c>
      <c r="F111" s="31">
        <f t="shared" si="22"/>
        <v>1</v>
      </c>
      <c r="G111" s="46">
        <f t="shared" si="20"/>
        <v>0.5</v>
      </c>
      <c r="H111" s="46">
        <f t="shared" si="21"/>
        <v>0.5</v>
      </c>
    </row>
    <row r="112" spans="1:11" s="28" customFormat="1" ht="13.8" customHeight="1" x14ac:dyDescent="0.3"/>
    <row r="113" spans="1:6" s="28" customFormat="1" ht="13.8" customHeight="1" x14ac:dyDescent="0.3"/>
    <row r="114" spans="1:6" s="28" customFormat="1" ht="13.8" customHeight="1" x14ac:dyDescent="0.3"/>
    <row r="115" spans="1:6" s="28" customFormat="1" x14ac:dyDescent="0.3">
      <c r="A115" t="s">
        <v>31</v>
      </c>
      <c r="B115"/>
      <c r="C115"/>
      <c r="D115"/>
      <c r="E115"/>
      <c r="F115"/>
    </row>
    <row r="116" spans="1:6" s="28" customFormat="1" ht="15.6" x14ac:dyDescent="0.3">
      <c r="A116" s="47" t="s">
        <v>32</v>
      </c>
      <c r="B116" s="48" t="s">
        <v>33</v>
      </c>
      <c r="C116" s="48" t="s">
        <v>34</v>
      </c>
      <c r="D116" s="48" t="s">
        <v>35</v>
      </c>
      <c r="E116" s="14" t="s">
        <v>36</v>
      </c>
      <c r="F116"/>
    </row>
    <row r="117" spans="1:6" s="28" customFormat="1" x14ac:dyDescent="0.3">
      <c r="A117" t="s">
        <v>19</v>
      </c>
      <c r="B117" s="15">
        <f>AVERAGE(8,11,17)*100000000</f>
        <v>1200000000</v>
      </c>
      <c r="C117" s="15" t="s">
        <v>37</v>
      </c>
      <c r="D117" s="15" t="s">
        <v>37</v>
      </c>
      <c r="E117" s="6">
        <f t="shared" ref="E117:E128" si="23">LOG10(B117/B100)/LOG10(2)</f>
        <v>13.135709286104399</v>
      </c>
      <c r="F117"/>
    </row>
    <row r="118" spans="1:6" s="28" customFormat="1" x14ac:dyDescent="0.3">
      <c r="A118" t="s">
        <v>72</v>
      </c>
      <c r="B118" s="15">
        <f>AVERAGE(7,10,11)*100000000</f>
        <v>933333333.33333337</v>
      </c>
      <c r="C118" s="15" t="s">
        <v>37</v>
      </c>
      <c r="D118" s="15" t="s">
        <v>37</v>
      </c>
      <c r="E118" s="6">
        <f t="shared" si="23"/>
        <v>12.313707588082394</v>
      </c>
      <c r="F118"/>
    </row>
    <row r="119" spans="1:6" x14ac:dyDescent="0.3">
      <c r="A119" t="s">
        <v>73</v>
      </c>
      <c r="B119" s="15">
        <f>AVERAGE(16,13,17)*100000000</f>
        <v>1533333333.3333335</v>
      </c>
      <c r="C119" s="15" t="s">
        <v>37</v>
      </c>
      <c r="D119" s="15" t="s">
        <v>37</v>
      </c>
      <c r="E119" s="6">
        <f t="shared" si="23"/>
        <v>13.766880216248008</v>
      </c>
    </row>
    <row r="120" spans="1:6" x14ac:dyDescent="0.3">
      <c r="A120" t="s">
        <v>74</v>
      </c>
      <c r="B120" s="15">
        <f>AVERAGE(4,4,7)*100000000</f>
        <v>500000000</v>
      </c>
      <c r="C120" s="15" t="s">
        <v>37</v>
      </c>
      <c r="D120" s="15" t="s">
        <v>37</v>
      </c>
      <c r="E120" s="6">
        <f t="shared" si="23"/>
        <v>11.522177633186471</v>
      </c>
    </row>
    <row r="121" spans="1:6" x14ac:dyDescent="0.3">
      <c r="A121" t="s">
        <v>20</v>
      </c>
      <c r="B121" s="15">
        <f>AVERAGE(10,9,7)*100000000</f>
        <v>866666666.66666663</v>
      </c>
      <c r="C121" s="15" t="s">
        <v>37</v>
      </c>
      <c r="D121" s="15" t="s">
        <v>37</v>
      </c>
      <c r="E121" s="6">
        <f t="shared" si="23"/>
        <v>12.630600093072458</v>
      </c>
    </row>
    <row r="122" spans="1:6" x14ac:dyDescent="0.3">
      <c r="A122" t="s">
        <v>75</v>
      </c>
      <c r="B122" s="15">
        <f>AVERAGE(8,12,14)*100000000</f>
        <v>1133333333.3333335</v>
      </c>
      <c r="C122" s="15" t="s">
        <v>37</v>
      </c>
      <c r="D122" s="15" t="s">
        <v>37</v>
      </c>
      <c r="E122" s="6">
        <f t="shared" si="23"/>
        <v>12.76046537668458</v>
      </c>
    </row>
    <row r="123" spans="1:6" x14ac:dyDescent="0.3">
      <c r="A123" t="s">
        <v>25</v>
      </c>
      <c r="B123" s="15">
        <f>AVERAGE(4,6,136)*100000000</f>
        <v>4866666666.666666</v>
      </c>
      <c r="C123" s="15" t="s">
        <v>37</v>
      </c>
      <c r="D123" s="15" t="s">
        <v>37</v>
      </c>
      <c r="E123" s="6">
        <f t="shared" si="23"/>
        <v>15.570646342820947</v>
      </c>
    </row>
    <row r="124" spans="1:6" x14ac:dyDescent="0.3">
      <c r="A124" t="s">
        <v>76</v>
      </c>
      <c r="B124" s="15">
        <f>AVERAGE(4,4,4)*100000000</f>
        <v>400000000</v>
      </c>
      <c r="C124" s="15" t="s">
        <v>37</v>
      </c>
      <c r="D124" s="15" t="s">
        <v>37</v>
      </c>
      <c r="E124" s="6">
        <f t="shared" si="23"/>
        <v>11.785212039020266</v>
      </c>
    </row>
    <row r="125" spans="1:6" x14ac:dyDescent="0.3">
      <c r="A125" t="s">
        <v>77</v>
      </c>
      <c r="B125" s="15">
        <f>AVERAGE(6,5,5)*100000000</f>
        <v>533333333.33333331</v>
      </c>
      <c r="C125" s="15" t="s">
        <v>37</v>
      </c>
      <c r="D125" s="15" t="s">
        <v>37</v>
      </c>
      <c r="E125" s="6">
        <f t="shared" si="23"/>
        <v>12.243318260190994</v>
      </c>
    </row>
    <row r="126" spans="1:6" x14ac:dyDescent="0.3">
      <c r="A126" t="s">
        <v>78</v>
      </c>
      <c r="B126" s="15">
        <f>AVERAGE(1,3,8)*100000000</f>
        <v>400000000</v>
      </c>
      <c r="C126" s="15" t="s">
        <v>37</v>
      </c>
      <c r="D126" s="15" t="s">
        <v>37</v>
      </c>
      <c r="E126" s="6">
        <f t="shared" si="23"/>
        <v>11.144754425707406</v>
      </c>
    </row>
    <row r="127" spans="1:6" x14ac:dyDescent="0.3">
      <c r="A127" t="s">
        <v>26</v>
      </c>
      <c r="B127" s="15">
        <f>AVERAGE(5,4,5)*100000000</f>
        <v>466666666.66666669</v>
      </c>
      <c r="C127" s="15" t="s">
        <v>37</v>
      </c>
      <c r="D127" s="15" t="s">
        <v>37</v>
      </c>
      <c r="E127" s="6">
        <f t="shared" si="23"/>
        <v>12.007604460356713</v>
      </c>
    </row>
    <row r="128" spans="1:6" x14ac:dyDescent="0.3">
      <c r="A128" t="s">
        <v>79</v>
      </c>
      <c r="B128" s="15">
        <f>AVERAGE(4,8,9)*100000000</f>
        <v>700000000</v>
      </c>
      <c r="C128" s="15" t="s">
        <v>37</v>
      </c>
      <c r="D128" s="15" t="s">
        <v>37</v>
      </c>
      <c r="E128" s="6">
        <f t="shared" si="23"/>
        <v>12.253765047626112</v>
      </c>
    </row>
    <row r="129" spans="1:5" x14ac:dyDescent="0.3">
      <c r="A129" s="16"/>
      <c r="B129" s="17"/>
      <c r="C129" s="17"/>
      <c r="D129" s="17"/>
    </row>
    <row r="131" spans="1:5" x14ac:dyDescent="0.3">
      <c r="A131" t="s">
        <v>38</v>
      </c>
    </row>
    <row r="132" spans="1:5" ht="15.6" x14ac:dyDescent="0.3">
      <c r="A132" s="47" t="s">
        <v>32</v>
      </c>
      <c r="B132" s="48" t="s">
        <v>33</v>
      </c>
      <c r="C132" s="48" t="s">
        <v>34</v>
      </c>
      <c r="D132" s="48" t="s">
        <v>35</v>
      </c>
    </row>
    <row r="133" spans="1:5" x14ac:dyDescent="0.3">
      <c r="A133" t="s">
        <v>19</v>
      </c>
      <c r="B133" s="15">
        <f>AVERAGE(8,5,6)*100000000</f>
        <v>633333333.33333325</v>
      </c>
      <c r="C133" s="15" t="s">
        <v>37</v>
      </c>
      <c r="D133" s="15" t="s">
        <v>37</v>
      </c>
      <c r="E133" s="6">
        <f t="shared" ref="E133:E144" si="24">LOG10(B133/((B117)/1000))/LOG(2)</f>
        <v>9.0437867966633601</v>
      </c>
    </row>
    <row r="134" spans="1:5" x14ac:dyDescent="0.3">
      <c r="A134" t="s">
        <v>72</v>
      </c>
      <c r="B134" s="15">
        <f>AVERAGE(9,4,4)*100000000</f>
        <v>566666666.66666675</v>
      </c>
      <c r="C134" s="15" t="s">
        <v>37</v>
      </c>
      <c r="D134" s="15" t="s">
        <v>37</v>
      </c>
      <c r="E134" s="6">
        <f t="shared" si="24"/>
        <v>9.2458922038548224</v>
      </c>
    </row>
    <row r="135" spans="1:5" x14ac:dyDescent="0.3">
      <c r="A135" t="s">
        <v>73</v>
      </c>
      <c r="B135" s="15">
        <f>AVERAGE(2,4,6)*100000000</f>
        <v>400000000</v>
      </c>
      <c r="C135" s="15" t="s">
        <v>37</v>
      </c>
      <c r="D135" s="15" t="s">
        <v>37</v>
      </c>
      <c r="E135" s="6">
        <f t="shared" si="24"/>
        <v>8.0271848293262309</v>
      </c>
    </row>
    <row r="136" spans="1:5" x14ac:dyDescent="0.3">
      <c r="A136" t="s">
        <v>74</v>
      </c>
      <c r="B136" s="15">
        <f>AVERAGE(4,5,4)*100000000</f>
        <v>433333333.33333331</v>
      </c>
      <c r="C136" s="15" t="s">
        <v>37</v>
      </c>
      <c r="D136" s="15" t="s">
        <v>37</v>
      </c>
      <c r="E136" s="6">
        <f t="shared" si="24"/>
        <v>9.75933340719466</v>
      </c>
    </row>
    <row r="137" spans="1:5" x14ac:dyDescent="0.3">
      <c r="A137" t="s">
        <v>20</v>
      </c>
      <c r="B137" s="15">
        <f>AVERAGE(7,9,11)*100000000</f>
        <v>900000000</v>
      </c>
      <c r="C137" s="15" t="s">
        <v>37</v>
      </c>
      <c r="D137" s="15" t="s">
        <v>37</v>
      </c>
      <c r="E137" s="6">
        <f t="shared" si="24"/>
        <v>10.020232068684464</v>
      </c>
    </row>
    <row r="138" spans="1:5" x14ac:dyDescent="0.3">
      <c r="A138" t="s">
        <v>75</v>
      </c>
      <c r="B138" s="15">
        <f>AVERAGE(9,14,8)*100000000</f>
        <v>1033333333.3333334</v>
      </c>
      <c r="C138" s="15" t="s">
        <v>37</v>
      </c>
      <c r="D138" s="15" t="s">
        <v>37</v>
      </c>
      <c r="E138" s="6">
        <f t="shared" si="24"/>
        <v>9.832517753798621</v>
      </c>
    </row>
    <row r="139" spans="1:5" x14ac:dyDescent="0.3">
      <c r="A139" t="s">
        <v>25</v>
      </c>
      <c r="B139" s="15">
        <f>AVERAGE(8,10,7)*100000000</f>
        <v>833333333.33333337</v>
      </c>
      <c r="C139" s="15" t="s">
        <v>37</v>
      </c>
      <c r="D139" s="15" t="s">
        <v>37</v>
      </c>
      <c r="E139" s="6">
        <f t="shared" si="24"/>
        <v>7.4198159155567938</v>
      </c>
    </row>
    <row r="140" spans="1:5" x14ac:dyDescent="0.3">
      <c r="A140" t="s">
        <v>76</v>
      </c>
      <c r="B140" s="15">
        <f>AVERAGE(3,5,6)*100000000</f>
        <v>466666666.66666669</v>
      </c>
      <c r="C140" s="15" t="s">
        <v>37</v>
      </c>
      <c r="D140" s="15" t="s">
        <v>37</v>
      </c>
      <c r="E140" s="6">
        <f t="shared" si="24"/>
        <v>10.188176705998535</v>
      </c>
    </row>
    <row r="141" spans="1:5" x14ac:dyDescent="0.3">
      <c r="A141" t="s">
        <v>77</v>
      </c>
      <c r="B141" s="15">
        <f>AVERAGE(5,8,9)*100000000</f>
        <v>733333333.33333325</v>
      </c>
      <c r="C141" s="15" t="s">
        <v>37</v>
      </c>
      <c r="D141" s="15" t="s">
        <v>37</v>
      </c>
      <c r="E141" s="6">
        <f t="shared" si="24"/>
        <v>10.425215903299385</v>
      </c>
    </row>
    <row r="142" spans="1:5" x14ac:dyDescent="0.3">
      <c r="A142" t="s">
        <v>78</v>
      </c>
      <c r="B142" s="15">
        <f>AVERAGE(8,5,7)*100000000</f>
        <v>666666666.66666675</v>
      </c>
      <c r="C142" s="15" t="s">
        <v>37</v>
      </c>
      <c r="D142" s="15" t="s">
        <v>37</v>
      </c>
      <c r="E142" s="6">
        <f t="shared" si="24"/>
        <v>10.702749878828294</v>
      </c>
    </row>
    <row r="143" spans="1:5" x14ac:dyDescent="0.3">
      <c r="A143" t="s">
        <v>26</v>
      </c>
      <c r="B143" s="15">
        <f>AVERAGE(2,4,9)*100000000</f>
        <v>500000000</v>
      </c>
      <c r="C143" s="15" t="s">
        <v>37</v>
      </c>
      <c r="D143" s="15" t="s">
        <v>37</v>
      </c>
      <c r="E143" s="6">
        <f t="shared" si="24"/>
        <v>10.065319958213001</v>
      </c>
    </row>
    <row r="144" spans="1:5" x14ac:dyDescent="0.3">
      <c r="A144" t="s">
        <v>79</v>
      </c>
      <c r="B144" s="15">
        <f>AVERAGE(6,6,8)*100000000</f>
        <v>666666666.66666675</v>
      </c>
      <c r="C144" s="15" t="s">
        <v>37</v>
      </c>
      <c r="D144" s="15" t="s">
        <v>37</v>
      </c>
      <c r="E144" s="6">
        <f t="shared" si="24"/>
        <v>9.8953949567706907</v>
      </c>
    </row>
    <row r="145" spans="1:14" x14ac:dyDescent="0.3">
      <c r="A145" s="16"/>
      <c r="B145" s="17"/>
      <c r="C145" s="17"/>
      <c r="D145" s="17"/>
    </row>
    <row r="147" spans="1:14" x14ac:dyDescent="0.3">
      <c r="A147" t="s">
        <v>39</v>
      </c>
    </row>
    <row r="148" spans="1:14" ht="15.6" x14ac:dyDescent="0.3">
      <c r="A148" s="47" t="s">
        <v>32</v>
      </c>
      <c r="B148" s="48" t="s">
        <v>33</v>
      </c>
      <c r="C148" s="48" t="s">
        <v>34</v>
      </c>
      <c r="D148" s="48" t="s">
        <v>35</v>
      </c>
    </row>
    <row r="149" spans="1:14" x14ac:dyDescent="0.3">
      <c r="A149" t="s">
        <v>19</v>
      </c>
      <c r="B149" s="15">
        <v>333333333.33333337</v>
      </c>
      <c r="C149" s="15" t="s">
        <v>37</v>
      </c>
      <c r="D149" s="15" t="s">
        <v>37</v>
      </c>
      <c r="E149" s="6">
        <f t="shared" ref="E149:E160" si="25">LOG10(B149/((B133)/1000))/LOG(2)</f>
        <v>9.0397848661058635</v>
      </c>
    </row>
    <row r="150" spans="1:14" x14ac:dyDescent="0.3">
      <c r="A150" t="s">
        <v>72</v>
      </c>
      <c r="B150" s="15">
        <v>866666666.66666663</v>
      </c>
      <c r="C150" s="15" t="s">
        <v>37</v>
      </c>
      <c r="D150" s="15" t="s">
        <v>37</v>
      </c>
      <c r="E150" s="6">
        <f t="shared" si="25"/>
        <v>10.578761161552841</v>
      </c>
    </row>
    <row r="151" spans="1:14" x14ac:dyDescent="0.3">
      <c r="A151" t="s">
        <v>73</v>
      </c>
      <c r="B151" s="15">
        <v>766666666.66666675</v>
      </c>
      <c r="C151" s="15" t="s">
        <v>37</v>
      </c>
      <c r="D151" s="15" t="s">
        <v>37</v>
      </c>
      <c r="E151" s="6">
        <f t="shared" si="25"/>
        <v>10.904383739997943</v>
      </c>
    </row>
    <row r="152" spans="1:14" x14ac:dyDescent="0.3">
      <c r="A152" t="s">
        <v>74</v>
      </c>
      <c r="B152" s="15">
        <v>266666666.66666666</v>
      </c>
      <c r="C152" s="15" t="s">
        <v>37</v>
      </c>
      <c r="D152" s="15" t="s">
        <v>37</v>
      </c>
      <c r="E152" s="6">
        <f t="shared" si="25"/>
        <v>9.2653445665209944</v>
      </c>
    </row>
    <row r="153" spans="1:14" x14ac:dyDescent="0.3">
      <c r="A153" t="s">
        <v>20</v>
      </c>
      <c r="B153" s="15">
        <v>1033333333.3333334</v>
      </c>
      <c r="C153" s="15" t="s">
        <v>37</v>
      </c>
      <c r="D153" s="15" t="s">
        <v>37</v>
      </c>
      <c r="E153" s="6">
        <f t="shared" si="25"/>
        <v>10.165093092885494</v>
      </c>
    </row>
    <row r="154" spans="1:14" x14ac:dyDescent="0.3">
      <c r="A154" t="s">
        <v>75</v>
      </c>
      <c r="B154" s="15">
        <v>933333333.33333337</v>
      </c>
      <c r="C154" s="15" t="s">
        <v>37</v>
      </c>
      <c r="D154" s="15" t="s">
        <v>37</v>
      </c>
      <c r="E154" s="6">
        <f t="shared" si="25"/>
        <v>9.8189428963328158</v>
      </c>
    </row>
    <row r="155" spans="1:14" x14ac:dyDescent="0.3">
      <c r="A155" t="s">
        <v>25</v>
      </c>
      <c r="B155" s="15">
        <v>300000000</v>
      </c>
      <c r="C155" s="15" t="s">
        <v>37</v>
      </c>
      <c r="D155" s="15" t="s">
        <v>37</v>
      </c>
      <c r="E155" s="6">
        <f t="shared" si="25"/>
        <v>8.4918530963296739</v>
      </c>
    </row>
    <row r="156" spans="1:14" x14ac:dyDescent="0.3">
      <c r="A156" t="s">
        <v>76</v>
      </c>
      <c r="B156" s="15">
        <v>633333333.33333325</v>
      </c>
      <c r="C156" s="15" t="s">
        <v>37</v>
      </c>
      <c r="D156" s="15" t="s">
        <v>37</v>
      </c>
      <c r="E156" s="6">
        <f t="shared" si="25"/>
        <v>10.406356876048067</v>
      </c>
    </row>
    <row r="157" spans="1:14" x14ac:dyDescent="0.3">
      <c r="A157" t="s">
        <v>77</v>
      </c>
      <c r="B157" s="15">
        <v>2500000000</v>
      </c>
      <c r="C157" s="15" t="s">
        <v>37</v>
      </c>
      <c r="D157" s="15" t="s">
        <v>37</v>
      </c>
      <c r="E157" s="6">
        <f t="shared" si="25"/>
        <v>11.73517135652067</v>
      </c>
    </row>
    <row r="158" spans="1:14" x14ac:dyDescent="0.3">
      <c r="A158" t="s">
        <v>78</v>
      </c>
      <c r="B158" s="15">
        <v>266666666.66666666</v>
      </c>
      <c r="C158" s="15" t="s">
        <v>37</v>
      </c>
      <c r="D158" s="15" t="s">
        <v>37</v>
      </c>
      <c r="E158" s="6">
        <f t="shared" si="25"/>
        <v>8.6438561897747253</v>
      </c>
    </row>
    <row r="159" spans="1:14" ht="18" x14ac:dyDescent="0.35">
      <c r="A159" t="s">
        <v>26</v>
      </c>
      <c r="B159" s="15">
        <v>100000000</v>
      </c>
      <c r="C159" s="15" t="s">
        <v>37</v>
      </c>
      <c r="D159" s="15" t="s">
        <v>37</v>
      </c>
      <c r="E159" s="6">
        <f t="shared" si="25"/>
        <v>7.6438561897747253</v>
      </c>
      <c r="H159" s="18" t="s">
        <v>40</v>
      </c>
      <c r="L159" s="18" t="s">
        <v>41</v>
      </c>
    </row>
    <row r="160" spans="1:14" x14ac:dyDescent="0.3">
      <c r="A160" t="s">
        <v>79</v>
      </c>
      <c r="B160" s="15">
        <v>166666666.66666669</v>
      </c>
      <c r="C160" s="15" t="s">
        <v>37</v>
      </c>
      <c r="D160" s="15" t="s">
        <v>37</v>
      </c>
      <c r="E160" s="6">
        <f t="shared" si="25"/>
        <v>7.965784284662087</v>
      </c>
      <c r="H160" t="s">
        <v>42</v>
      </c>
      <c r="I160" t="s">
        <v>80</v>
      </c>
      <c r="J160" t="s">
        <v>85</v>
      </c>
      <c r="L160" t="s">
        <v>42</v>
      </c>
      <c r="M160" t="s">
        <v>80</v>
      </c>
      <c r="N160" t="s">
        <v>85</v>
      </c>
    </row>
    <row r="161" spans="1:15" x14ac:dyDescent="0.3">
      <c r="A161" s="16"/>
      <c r="B161" s="17"/>
      <c r="C161" s="17"/>
      <c r="D161" s="17"/>
      <c r="H161">
        <v>0</v>
      </c>
      <c r="I161" s="4">
        <f t="shared" ref="I161:I166" si="26">C165/D165</f>
        <v>0.77777777777777779</v>
      </c>
      <c r="J161" s="4">
        <f t="shared" ref="J161:J166" si="27">C171/D171</f>
        <v>10.333333333333334</v>
      </c>
      <c r="L161">
        <v>0</v>
      </c>
      <c r="M161" s="19">
        <f t="shared" ref="M161:M166" si="28">LN((H169*G100)/(1-H169))/4</f>
        <v>-0.19997009500743596</v>
      </c>
      <c r="N161" s="19">
        <f t="shared" ref="N161:N166" si="29">LN((H175*G106)/(1-H175))/4</f>
        <v>0.40467430946172395</v>
      </c>
      <c r="O161" t="s">
        <v>45</v>
      </c>
    </row>
    <row r="162" spans="1:15" x14ac:dyDescent="0.3">
      <c r="H162">
        <v>5.0000000000000001E-3</v>
      </c>
      <c r="I162" s="4">
        <f t="shared" si="26"/>
        <v>0.53333333333333333</v>
      </c>
      <c r="J162" s="4">
        <f t="shared" si="27"/>
        <v>26.666666666666668</v>
      </c>
      <c r="L162">
        <v>5.0000000000000001E-3</v>
      </c>
      <c r="M162" s="19">
        <f t="shared" si="28"/>
        <v>-0.286105456174851</v>
      </c>
      <c r="N162" s="19">
        <f t="shared" si="29"/>
        <v>0.68765245388025142</v>
      </c>
    </row>
    <row r="163" spans="1:15" x14ac:dyDescent="0.3">
      <c r="A163" t="s">
        <v>46</v>
      </c>
      <c r="H163">
        <v>0.01</v>
      </c>
      <c r="I163" s="4">
        <f t="shared" si="26"/>
        <v>1.4</v>
      </c>
      <c r="J163" s="4">
        <f t="shared" si="27"/>
        <v>8.0952380952380967</v>
      </c>
      <c r="L163">
        <v>0.01</v>
      </c>
      <c r="M163" s="19">
        <f t="shared" si="28"/>
        <v>5.2942189530063938E-2</v>
      </c>
      <c r="N163" s="19">
        <f t="shared" si="29"/>
        <v>0.35586165668779601</v>
      </c>
    </row>
    <row r="164" spans="1:15" ht="15.6" x14ac:dyDescent="0.3">
      <c r="A164" s="47" t="s">
        <v>32</v>
      </c>
      <c r="B164" s="48" t="s">
        <v>33</v>
      </c>
      <c r="C164" s="48" t="s">
        <v>34</v>
      </c>
      <c r="D164" s="48" t="s">
        <v>35</v>
      </c>
      <c r="F164" s="22"/>
      <c r="H164">
        <v>2.5000000000000001E-2</v>
      </c>
      <c r="I164" s="4">
        <f t="shared" si="26"/>
        <v>0.55555555555555558</v>
      </c>
      <c r="J164" s="4">
        <f t="shared" si="27"/>
        <v>222.22222222222226</v>
      </c>
      <c r="L164">
        <v>2.5000000000000001E-2</v>
      </c>
      <c r="M164" s="19">
        <f t="shared" si="28"/>
        <v>-0.15794161475466337</v>
      </c>
      <c r="N164" s="19">
        <f t="shared" si="29"/>
        <v>1.2532028933797115</v>
      </c>
    </row>
    <row r="165" spans="1:15" x14ac:dyDescent="0.3">
      <c r="A165" t="s">
        <v>19</v>
      </c>
      <c r="B165" s="15">
        <v>866666666.66666663</v>
      </c>
      <c r="C165" s="15">
        <v>466666666.66666669</v>
      </c>
      <c r="D165" s="15">
        <v>600000000</v>
      </c>
      <c r="E165" s="6">
        <f t="shared" ref="E165:E176" si="30">LOG10(B165/((B149)/1000))/LOG(2)</f>
        <v>11.344295907915816</v>
      </c>
      <c r="F165" s="22"/>
      <c r="H165">
        <v>0.05</v>
      </c>
      <c r="I165" s="4">
        <f t="shared" si="26"/>
        <v>1.1666666666666667</v>
      </c>
      <c r="J165" s="4">
        <f t="shared" si="27"/>
        <v>90000000</v>
      </c>
      <c r="L165">
        <v>0.05</v>
      </c>
      <c r="M165" s="19">
        <f t="shared" si="28"/>
        <v>-7.1920518112945309E-2</v>
      </c>
      <c r="N165" s="19">
        <f t="shared" si="29"/>
        <v>4.4198328644127809</v>
      </c>
    </row>
    <row r="166" spans="1:15" x14ac:dyDescent="0.3">
      <c r="A166" t="s">
        <v>72</v>
      </c>
      <c r="B166" s="15">
        <v>1100000000</v>
      </c>
      <c r="C166" s="15">
        <v>266666666.66666666</v>
      </c>
      <c r="D166" s="15">
        <v>500000000</v>
      </c>
      <c r="E166" s="6">
        <f t="shared" si="30"/>
        <v>10.309738685879447</v>
      </c>
      <c r="F166" s="22"/>
      <c r="H166">
        <v>7.4999999999999997E-2</v>
      </c>
      <c r="I166" s="4">
        <f t="shared" si="26"/>
        <v>6.666666666666667</v>
      </c>
      <c r="J166" s="4">
        <f t="shared" si="27"/>
        <v>27777.777777777777</v>
      </c>
      <c r="L166">
        <v>7.4999999999999997E-2</v>
      </c>
      <c r="M166" s="19">
        <f t="shared" si="28"/>
        <v>0.37517617807440862</v>
      </c>
      <c r="N166" s="19">
        <f t="shared" si="29"/>
        <v>2.3847111097367972</v>
      </c>
    </row>
    <row r="167" spans="1:15" x14ac:dyDescent="0.3">
      <c r="A167" t="s">
        <v>73</v>
      </c>
      <c r="B167" s="15">
        <v>833333333.33333337</v>
      </c>
      <c r="C167" s="15">
        <v>700000000</v>
      </c>
      <c r="D167" s="15">
        <v>500000000</v>
      </c>
      <c r="E167" s="6">
        <f t="shared" si="30"/>
        <v>10.0860785183798</v>
      </c>
      <c r="F167" s="22"/>
      <c r="G167" s="21" t="s">
        <v>48</v>
      </c>
      <c r="H167" s="21"/>
    </row>
    <row r="168" spans="1:15" x14ac:dyDescent="0.3">
      <c r="A168" t="s">
        <v>74</v>
      </c>
      <c r="B168" s="15">
        <v>966666666.66666663</v>
      </c>
      <c r="C168" s="15">
        <v>333333333.33333337</v>
      </c>
      <c r="D168" s="15">
        <v>600000000</v>
      </c>
      <c r="E168" s="6">
        <f t="shared" si="30"/>
        <v>11.82376527978966</v>
      </c>
      <c r="F168" s="22" t="s">
        <v>49</v>
      </c>
      <c r="G168" s="23" t="s">
        <v>50</v>
      </c>
      <c r="H168" s="21" t="s">
        <v>54</v>
      </c>
      <c r="I168" s="21" t="s">
        <v>57</v>
      </c>
      <c r="K168" s="28" t="s">
        <v>86</v>
      </c>
      <c r="L168" s="28" t="s">
        <v>87</v>
      </c>
      <c r="M168" s="28" t="s">
        <v>84</v>
      </c>
    </row>
    <row r="169" spans="1:15" x14ac:dyDescent="0.3">
      <c r="A169" t="s">
        <v>20</v>
      </c>
      <c r="B169" s="15">
        <v>1166666666.6666665</v>
      </c>
      <c r="C169" s="15">
        <v>466666666.66666669</v>
      </c>
      <c r="D169" s="15">
        <v>400000000</v>
      </c>
      <c r="E169" s="6">
        <f t="shared" si="30"/>
        <v>10.140870991220179</v>
      </c>
      <c r="F169" s="21" t="s">
        <v>19</v>
      </c>
      <c r="G169" s="24">
        <f t="shared" ref="G169:G180" si="31">SUM(E165,E149,E133,E117)</f>
        <v>42.563576856789439</v>
      </c>
      <c r="H169" s="7">
        <f t="shared" ref="H169:H180" si="32">C165/(C165+D165)</f>
        <v>0.4375</v>
      </c>
      <c r="I169" s="7">
        <f>1-H169</f>
        <v>0.5625</v>
      </c>
      <c r="K169" s="30">
        <f>C165/B165</f>
        <v>0.53846153846153855</v>
      </c>
      <c r="L169" s="30">
        <f>K169/G169</f>
        <v>1.2650758658588793E-2</v>
      </c>
      <c r="M169" s="30">
        <f>D165/B165</f>
        <v>0.69230769230769229</v>
      </c>
    </row>
    <row r="170" spans="1:15" x14ac:dyDescent="0.3">
      <c r="A170" t="s">
        <v>75</v>
      </c>
      <c r="B170" s="15">
        <v>300000000</v>
      </c>
      <c r="C170" s="15">
        <v>900000000</v>
      </c>
      <c r="D170" s="15">
        <v>135000000</v>
      </c>
      <c r="E170" s="6">
        <f t="shared" si="30"/>
        <v>8.3283543640467954</v>
      </c>
      <c r="F170" s="21" t="s">
        <v>72</v>
      </c>
      <c r="G170" s="24">
        <f t="shared" si="31"/>
        <v>42.448099639369502</v>
      </c>
      <c r="H170" s="7">
        <f t="shared" si="32"/>
        <v>0.34782608695652173</v>
      </c>
      <c r="I170" s="7">
        <f t="shared" ref="I170:I180" si="33">1-H170</f>
        <v>0.65217391304347827</v>
      </c>
      <c r="K170" s="30">
        <f t="shared" ref="K170:K180" si="34">C166/B166</f>
        <v>0.2424242424242424</v>
      </c>
      <c r="L170" s="30">
        <f t="shared" ref="L170:L180" si="35">K170/G170</f>
        <v>5.7110740995198819E-3</v>
      </c>
      <c r="M170" s="30">
        <f t="shared" ref="M170:M180" si="36">D166/B166</f>
        <v>0.45454545454545453</v>
      </c>
    </row>
    <row r="171" spans="1:15" x14ac:dyDescent="0.3">
      <c r="A171" t="s">
        <v>25</v>
      </c>
      <c r="B171" s="15">
        <v>1066666666.6666666</v>
      </c>
      <c r="C171" s="15">
        <v>1033333333.3333334</v>
      </c>
      <c r="D171" s="15">
        <v>100000000</v>
      </c>
      <c r="E171" s="6">
        <f t="shared" si="30"/>
        <v>11.795859283219775</v>
      </c>
      <c r="F171" s="21" t="s">
        <v>73</v>
      </c>
      <c r="G171" s="24">
        <f t="shared" si="31"/>
        <v>42.784527303951982</v>
      </c>
      <c r="H171" s="7">
        <f t="shared" si="32"/>
        <v>0.58333333333333337</v>
      </c>
      <c r="I171" s="7">
        <f t="shared" si="33"/>
        <v>0.41666666666666663</v>
      </c>
      <c r="K171" s="30">
        <f t="shared" si="34"/>
        <v>0.84</v>
      </c>
      <c r="L171" s="30">
        <f t="shared" si="35"/>
        <v>1.9633265877461493E-2</v>
      </c>
      <c r="M171" s="30">
        <f t="shared" si="36"/>
        <v>0.6</v>
      </c>
    </row>
    <row r="172" spans="1:15" x14ac:dyDescent="0.3">
      <c r="A172" t="s">
        <v>76</v>
      </c>
      <c r="B172" s="15">
        <v>900000000</v>
      </c>
      <c r="C172" s="15">
        <v>800000000</v>
      </c>
      <c r="D172" s="15">
        <v>30000000</v>
      </c>
      <c r="E172" s="6">
        <f t="shared" si="30"/>
        <v>10.47274427338197</v>
      </c>
      <c r="F172" s="21" t="s">
        <v>74</v>
      </c>
      <c r="G172" s="24">
        <f t="shared" si="31"/>
        <v>42.370620886691789</v>
      </c>
      <c r="H172" s="7">
        <f t="shared" si="32"/>
        <v>0.35714285714285715</v>
      </c>
      <c r="I172" s="7">
        <f t="shared" si="33"/>
        <v>0.64285714285714279</v>
      </c>
      <c r="K172" s="30">
        <f t="shared" si="34"/>
        <v>0.34482758620689663</v>
      </c>
      <c r="L172" s="30">
        <f t="shared" si="35"/>
        <v>8.1383651924535217E-3</v>
      </c>
      <c r="M172" s="30">
        <f t="shared" si="36"/>
        <v>0.62068965517241381</v>
      </c>
    </row>
    <row r="173" spans="1:15" x14ac:dyDescent="0.3">
      <c r="A173" t="s">
        <v>77</v>
      </c>
      <c r="B173" s="15">
        <v>666666666.66666675</v>
      </c>
      <c r="C173" s="15">
        <v>566666666.66666675</v>
      </c>
      <c r="D173" s="15">
        <v>70000000</v>
      </c>
      <c r="E173" s="6">
        <f t="shared" si="30"/>
        <v>8.0588936890535692</v>
      </c>
      <c r="F173" s="21" t="s">
        <v>20</v>
      </c>
      <c r="G173" s="24">
        <f t="shared" si="31"/>
        <v>42.956796245862598</v>
      </c>
      <c r="H173" s="7">
        <f t="shared" si="32"/>
        <v>0.53846153846153844</v>
      </c>
      <c r="I173" s="7">
        <f t="shared" si="33"/>
        <v>0.46153846153846156</v>
      </c>
      <c r="K173" s="30">
        <f t="shared" si="34"/>
        <v>0.40000000000000008</v>
      </c>
      <c r="L173" s="30">
        <f t="shared" si="35"/>
        <v>9.3116813858884137E-3</v>
      </c>
      <c r="M173" s="30">
        <f t="shared" si="36"/>
        <v>0.34285714285714292</v>
      </c>
    </row>
    <row r="174" spans="1:15" x14ac:dyDescent="0.3">
      <c r="A174" t="s">
        <v>78</v>
      </c>
      <c r="B174" s="15">
        <v>633333333.33333325</v>
      </c>
      <c r="C174" s="15">
        <v>666666666.66666675</v>
      </c>
      <c r="D174" s="15">
        <v>3000000</v>
      </c>
      <c r="E174" s="6">
        <f t="shared" si="30"/>
        <v>11.213711798105672</v>
      </c>
      <c r="F174" s="21" t="s">
        <v>75</v>
      </c>
      <c r="G174" s="24">
        <f t="shared" si="31"/>
        <v>40.740280390862807</v>
      </c>
      <c r="H174" s="7">
        <f t="shared" si="32"/>
        <v>0.86956521739130432</v>
      </c>
      <c r="I174" s="7">
        <f t="shared" si="33"/>
        <v>0.13043478260869568</v>
      </c>
      <c r="K174" s="30">
        <f t="shared" si="34"/>
        <v>3</v>
      </c>
      <c r="L174" s="30">
        <f t="shared" si="35"/>
        <v>7.363719569963581E-2</v>
      </c>
      <c r="M174" s="30">
        <f t="shared" si="36"/>
        <v>0.45</v>
      </c>
    </row>
    <row r="175" spans="1:15" x14ac:dyDescent="0.3">
      <c r="A175" t="s">
        <v>26</v>
      </c>
      <c r="B175" s="15">
        <v>733333333.33333325</v>
      </c>
      <c r="C175" s="15">
        <v>900000000</v>
      </c>
      <c r="D175" s="15">
        <v>10</v>
      </c>
      <c r="E175" s="6">
        <f t="shared" si="30"/>
        <v>12.840253402578227</v>
      </c>
      <c r="F175" s="21" t="s">
        <v>25</v>
      </c>
      <c r="G175" s="24">
        <f t="shared" si="31"/>
        <v>43.278174637927187</v>
      </c>
      <c r="H175" s="7">
        <f t="shared" si="32"/>
        <v>0.91176470588235281</v>
      </c>
      <c r="I175" s="7">
        <f t="shared" si="33"/>
        <v>8.8235294117647189E-2</v>
      </c>
      <c r="K175" s="30">
        <f t="shared" si="34"/>
        <v>0.96875000000000011</v>
      </c>
      <c r="L175" s="30">
        <f t="shared" si="35"/>
        <v>2.2384262000528739E-2</v>
      </c>
      <c r="M175" s="30">
        <f t="shared" si="36"/>
        <v>9.375E-2</v>
      </c>
    </row>
    <row r="176" spans="1:15" x14ac:dyDescent="0.3">
      <c r="A176" t="s">
        <v>79</v>
      </c>
      <c r="B176" s="15">
        <v>500000000</v>
      </c>
      <c r="C176" s="15">
        <v>833333333.33333337</v>
      </c>
      <c r="D176" s="15">
        <v>30000</v>
      </c>
      <c r="E176" s="6">
        <f t="shared" si="30"/>
        <v>11.550746785383243</v>
      </c>
      <c r="F176" s="21" t="s">
        <v>76</v>
      </c>
      <c r="G176" s="24">
        <f t="shared" si="31"/>
        <v>42.852489894448837</v>
      </c>
      <c r="H176" s="7">
        <f t="shared" si="32"/>
        <v>0.96385542168674698</v>
      </c>
      <c r="I176" s="7">
        <f t="shared" si="33"/>
        <v>3.6144578313253017E-2</v>
      </c>
      <c r="K176" s="30">
        <f t="shared" si="34"/>
        <v>0.88888888888888884</v>
      </c>
      <c r="L176" s="30">
        <f t="shared" si="35"/>
        <v>2.0742992789411673E-2</v>
      </c>
      <c r="M176" s="30">
        <f t="shared" si="36"/>
        <v>3.3333333333333333E-2</v>
      </c>
    </row>
    <row r="177" spans="1:15" x14ac:dyDescent="0.3">
      <c r="F177" s="21" t="s">
        <v>77</v>
      </c>
      <c r="G177" s="24">
        <f t="shared" si="31"/>
        <v>42.462599209064621</v>
      </c>
      <c r="H177" s="7">
        <f t="shared" si="32"/>
        <v>0.89005235602094246</v>
      </c>
      <c r="I177" s="7">
        <f t="shared" si="33"/>
        <v>0.10994764397905754</v>
      </c>
      <c r="K177" s="30">
        <f t="shared" si="34"/>
        <v>0.85</v>
      </c>
      <c r="L177" s="30">
        <f t="shared" si="35"/>
        <v>2.0017615874502282E-2</v>
      </c>
      <c r="M177" s="30">
        <f t="shared" si="36"/>
        <v>0.10499999999999998</v>
      </c>
    </row>
    <row r="178" spans="1:15" x14ac:dyDescent="0.3">
      <c r="F178" s="21" t="s">
        <v>78</v>
      </c>
      <c r="G178" s="24">
        <f t="shared" si="31"/>
        <v>41.705072292416098</v>
      </c>
      <c r="H178" s="7">
        <f t="shared" si="32"/>
        <v>0.99552015928322546</v>
      </c>
      <c r="I178" s="7">
        <f t="shared" si="33"/>
        <v>4.4798407167745413E-3</v>
      </c>
      <c r="K178" s="30">
        <f t="shared" si="34"/>
        <v>1.0526315789473686</v>
      </c>
      <c r="L178" s="30">
        <f t="shared" si="35"/>
        <v>2.5239893401138774E-2</v>
      </c>
      <c r="M178" s="30">
        <f t="shared" si="36"/>
        <v>4.7368421052631582E-3</v>
      </c>
    </row>
    <row r="179" spans="1:15" x14ac:dyDescent="0.3">
      <c r="F179" s="21" t="s">
        <v>26</v>
      </c>
      <c r="G179" s="24">
        <f t="shared" si="31"/>
        <v>42.557034010922663</v>
      </c>
      <c r="H179" s="7">
        <f t="shared" si="32"/>
        <v>0.99999998888888897</v>
      </c>
      <c r="I179" s="7">
        <f t="shared" si="33"/>
        <v>1.1111111031247844E-8</v>
      </c>
      <c r="K179" s="30">
        <f t="shared" si="34"/>
        <v>1.2272727272727275</v>
      </c>
      <c r="L179" s="30">
        <f t="shared" si="35"/>
        <v>2.8838305013402399E-2</v>
      </c>
      <c r="M179" s="30">
        <f t="shared" si="36"/>
        <v>1.3636363636363638E-8</v>
      </c>
    </row>
    <row r="180" spans="1:15" x14ac:dyDescent="0.3">
      <c r="F180" s="21" t="s">
        <v>79</v>
      </c>
      <c r="G180" s="24">
        <f t="shared" si="31"/>
        <v>41.665691074442137</v>
      </c>
      <c r="H180" s="7">
        <f t="shared" si="32"/>
        <v>0.99996400129595331</v>
      </c>
      <c r="I180" s="7">
        <f t="shared" si="33"/>
        <v>3.5998704046691365E-5</v>
      </c>
      <c r="K180" s="30">
        <f t="shared" si="34"/>
        <v>1.6666666666666667</v>
      </c>
      <c r="L180" s="30">
        <f t="shared" si="35"/>
        <v>4.000093659046508E-2</v>
      </c>
      <c r="M180" s="30">
        <f t="shared" si="36"/>
        <v>6.0000000000000002E-5</v>
      </c>
    </row>
    <row r="181" spans="1:15" x14ac:dyDescent="0.3">
      <c r="G181" s="6">
        <f>AVERAGE(G169:G180)</f>
        <v>42.365413536895808</v>
      </c>
    </row>
    <row r="184" spans="1:15" s="50" customFormat="1" ht="21" x14ac:dyDescent="0.4">
      <c r="A184" s="51" t="s">
        <v>56</v>
      </c>
    </row>
    <row r="185" spans="1:15" ht="15.6" x14ac:dyDescent="0.3">
      <c r="A185" s="27" t="s">
        <v>53</v>
      </c>
      <c r="B185" s="28" t="s">
        <v>13</v>
      </c>
      <c r="C185" s="28" t="s">
        <v>9</v>
      </c>
      <c r="D185" s="28" t="s">
        <v>11</v>
      </c>
      <c r="E185" s="28" t="s">
        <v>14</v>
      </c>
      <c r="F185" s="28" t="s">
        <v>15</v>
      </c>
      <c r="G185" s="29" t="s">
        <v>54</v>
      </c>
      <c r="H185" s="29" t="s">
        <v>17</v>
      </c>
      <c r="I185" s="28"/>
      <c r="J185" s="28"/>
      <c r="K185" s="28"/>
      <c r="L185" s="28"/>
      <c r="M185" s="28"/>
      <c r="N185" s="28"/>
      <c r="O185" s="28"/>
    </row>
    <row r="186" spans="1:15" x14ac:dyDescent="0.3">
      <c r="A186" s="28" t="s">
        <v>71</v>
      </c>
      <c r="B186" s="28"/>
      <c r="C186" s="28"/>
      <c r="D186" s="28"/>
      <c r="E186" s="28"/>
      <c r="F186" s="28"/>
      <c r="G186" s="28"/>
      <c r="H186" s="29"/>
      <c r="I186" s="28"/>
      <c r="J186" s="28"/>
      <c r="K186" s="28"/>
      <c r="L186" s="28"/>
      <c r="M186" s="28"/>
      <c r="N186" s="28"/>
      <c r="O186" s="28"/>
    </row>
    <row r="187" spans="1:15" x14ac:dyDescent="0.3">
      <c r="A187" t="s">
        <v>19</v>
      </c>
      <c r="B187" s="30">
        <f>AVERAGE(13,14,22)*10000</f>
        <v>163333.33333333331</v>
      </c>
      <c r="C187" s="30">
        <f>AVERAGE(9,9,12)*10000</f>
        <v>100000</v>
      </c>
      <c r="D187" s="30">
        <f>AVERAGE(6,12,13)*10000</f>
        <v>103333.33333333334</v>
      </c>
      <c r="E187" s="31">
        <f>C187/D187</f>
        <v>0.96774193548387089</v>
      </c>
      <c r="F187" s="31">
        <f>D187/C187</f>
        <v>1.0333333333333334</v>
      </c>
      <c r="G187" s="49">
        <f>C187/(C187+D187)</f>
        <v>0.49180327868852458</v>
      </c>
      <c r="H187" s="49">
        <f>1-G187</f>
        <v>0.50819672131147542</v>
      </c>
      <c r="I187" s="28"/>
      <c r="J187" s="28"/>
      <c r="K187" s="28"/>
      <c r="L187" s="28"/>
      <c r="M187" s="28"/>
      <c r="N187" s="28"/>
      <c r="O187" s="28"/>
    </row>
    <row r="188" spans="1:15" x14ac:dyDescent="0.3">
      <c r="A188" t="s">
        <v>72</v>
      </c>
      <c r="B188" s="30">
        <f>AVERAGE(23,19,18)*10000</f>
        <v>200000</v>
      </c>
      <c r="C188" s="30">
        <f>AVERAGE(10,10,11)*10000</f>
        <v>103333.33333333334</v>
      </c>
      <c r="D188" s="30">
        <f>AVERAGE(7,5,13)*10000</f>
        <v>83333.333333333343</v>
      </c>
      <c r="E188" s="31">
        <f t="shared" ref="E188:E198" si="37">C188/D188</f>
        <v>1.24</v>
      </c>
      <c r="F188" s="31">
        <f>D188/C188</f>
        <v>0.80645161290322587</v>
      </c>
      <c r="G188" s="49">
        <f t="shared" ref="G188:G198" si="38">C188/(C188+D188)</f>
        <v>0.5535714285714286</v>
      </c>
      <c r="H188" s="49">
        <f t="shared" ref="H188:H198" si="39">1-G188</f>
        <v>0.4464285714285714</v>
      </c>
      <c r="I188" s="28"/>
      <c r="J188" s="28"/>
      <c r="K188" s="28"/>
      <c r="L188" s="28"/>
      <c r="M188" s="28"/>
      <c r="N188" s="28"/>
      <c r="O188" s="28"/>
    </row>
    <row r="189" spans="1:15" x14ac:dyDescent="0.3">
      <c r="A189" t="s">
        <v>73</v>
      </c>
      <c r="B189" s="30">
        <f>AVERAGE(13,11,17)*10000</f>
        <v>136666.66666666666</v>
      </c>
      <c r="C189" s="30">
        <f>AVERAGE(11,14,10)*10000</f>
        <v>116666.66666666666</v>
      </c>
      <c r="D189" s="30">
        <f>AVERAGE(12,8,10)*10000</f>
        <v>100000</v>
      </c>
      <c r="E189" s="31">
        <f t="shared" si="37"/>
        <v>1.1666666666666665</v>
      </c>
      <c r="F189" s="31">
        <f>D189/C189</f>
        <v>0.85714285714285721</v>
      </c>
      <c r="G189" s="49">
        <f t="shared" si="38"/>
        <v>0.53846153846153844</v>
      </c>
      <c r="H189" s="49">
        <f t="shared" si="39"/>
        <v>0.46153846153846156</v>
      </c>
      <c r="I189" s="28"/>
      <c r="J189" s="28"/>
      <c r="K189" s="28"/>
      <c r="L189" s="28"/>
      <c r="M189" s="28"/>
      <c r="N189" s="28"/>
      <c r="O189" s="28"/>
    </row>
    <row r="190" spans="1:15" x14ac:dyDescent="0.3">
      <c r="A190" t="s">
        <v>74</v>
      </c>
      <c r="B190" s="30">
        <f>AVERAGE(20,14,16)*10000</f>
        <v>166666.66666666669</v>
      </c>
      <c r="C190" s="30">
        <f>AVERAGE(6,11,13)*10000</f>
        <v>100000</v>
      </c>
      <c r="D190" s="30">
        <f>AVERAGE(7,5,11)*10000</f>
        <v>76666.666666666672</v>
      </c>
      <c r="E190" s="31">
        <f t="shared" si="37"/>
        <v>1.3043478260869565</v>
      </c>
      <c r="F190" s="31">
        <f t="shared" ref="F190:F198" si="40">D190/C190</f>
        <v>0.76666666666666672</v>
      </c>
      <c r="G190" s="49">
        <f t="shared" si="38"/>
        <v>0.56603773584905659</v>
      </c>
      <c r="H190" s="49">
        <f t="shared" si="39"/>
        <v>0.43396226415094341</v>
      </c>
      <c r="I190" s="28"/>
      <c r="J190" s="28"/>
      <c r="K190" s="28"/>
      <c r="L190" s="28"/>
      <c r="M190" s="28"/>
      <c r="N190" s="28"/>
      <c r="O190" s="28"/>
    </row>
    <row r="191" spans="1:15" x14ac:dyDescent="0.3">
      <c r="A191" t="s">
        <v>20</v>
      </c>
      <c r="B191" s="30">
        <f>AVERAGE(16,26,25)*10000</f>
        <v>223333.33333333331</v>
      </c>
      <c r="C191" s="30">
        <f>AVERAGE(10,10,10)*10000</f>
        <v>100000</v>
      </c>
      <c r="D191" s="30">
        <f>AVERAGE(6,8,10)*10000</f>
        <v>80000</v>
      </c>
      <c r="E191" s="31">
        <f t="shared" si="37"/>
        <v>1.25</v>
      </c>
      <c r="F191" s="31">
        <f t="shared" si="40"/>
        <v>0.8</v>
      </c>
      <c r="G191" s="49">
        <f t="shared" si="38"/>
        <v>0.55555555555555558</v>
      </c>
      <c r="H191" s="49">
        <f t="shared" si="39"/>
        <v>0.44444444444444442</v>
      </c>
      <c r="I191" s="28"/>
      <c r="J191" s="28"/>
      <c r="K191" s="28"/>
      <c r="L191" s="28"/>
      <c r="M191" s="28"/>
      <c r="N191" s="28"/>
      <c r="O191" s="28"/>
    </row>
    <row r="192" spans="1:15" x14ac:dyDescent="0.3">
      <c r="A192" t="s">
        <v>75</v>
      </c>
      <c r="B192" s="30">
        <f>AVERAGE(21,27,24)*10000</f>
        <v>240000</v>
      </c>
      <c r="C192" s="30">
        <f>AVERAGE(9,13,12)*10000</f>
        <v>113333.33333333334</v>
      </c>
      <c r="D192" s="30">
        <f>AVERAGE(5,9,12)*10000</f>
        <v>86666.666666666657</v>
      </c>
      <c r="E192" s="31">
        <f t="shared" si="37"/>
        <v>1.3076923076923079</v>
      </c>
      <c r="F192" s="31">
        <f t="shared" si="40"/>
        <v>0.76470588235294101</v>
      </c>
      <c r="G192" s="49">
        <f t="shared" si="38"/>
        <v>0.56666666666666676</v>
      </c>
      <c r="H192" s="49">
        <f t="shared" si="39"/>
        <v>0.43333333333333324</v>
      </c>
      <c r="I192" s="28"/>
      <c r="J192" s="28"/>
      <c r="K192" s="28"/>
      <c r="L192" s="28"/>
      <c r="M192" s="28"/>
      <c r="N192" s="28"/>
      <c r="O192" s="28"/>
    </row>
    <row r="193" spans="1:15" x14ac:dyDescent="0.3">
      <c r="A193" t="s">
        <v>25</v>
      </c>
      <c r="B193" s="30">
        <f>AVERAGE(21,25,24)*10000</f>
        <v>233333.33333333331</v>
      </c>
      <c r="C193" s="30">
        <f>AVERAGE(18,12,10)*10000</f>
        <v>133333.33333333334</v>
      </c>
      <c r="D193" s="30">
        <f>AVERAGE(3,8,11)*10000</f>
        <v>73333.333333333328</v>
      </c>
      <c r="E193" s="31">
        <f t="shared" si="37"/>
        <v>1.8181818181818183</v>
      </c>
      <c r="F193" s="31">
        <f t="shared" si="40"/>
        <v>0.54999999999999993</v>
      </c>
      <c r="G193" s="49">
        <f t="shared" si="38"/>
        <v>0.64516129032258063</v>
      </c>
      <c r="H193" s="49">
        <f t="shared" si="39"/>
        <v>0.35483870967741937</v>
      </c>
      <c r="I193" s="28"/>
      <c r="J193" s="28"/>
      <c r="K193" s="28"/>
      <c r="L193" s="28"/>
      <c r="M193" s="28"/>
      <c r="N193" s="28"/>
      <c r="O193" s="28"/>
    </row>
    <row r="194" spans="1:15" x14ac:dyDescent="0.3">
      <c r="A194" t="s">
        <v>76</v>
      </c>
      <c r="B194" s="30">
        <f>AVERAGE(23,25,18)*10000</f>
        <v>220000</v>
      </c>
      <c r="C194" s="30">
        <f>AVERAGE(7,5,11)*10000</f>
        <v>76666.666666666672</v>
      </c>
      <c r="D194" s="30">
        <f>AVERAGE(6,12,12)*10000</f>
        <v>100000</v>
      </c>
      <c r="E194" s="31">
        <f t="shared" si="37"/>
        <v>0.76666666666666672</v>
      </c>
      <c r="F194" s="31">
        <f t="shared" si="40"/>
        <v>1.3043478260869565</v>
      </c>
      <c r="G194" s="49">
        <f t="shared" si="38"/>
        <v>0.43396226415094336</v>
      </c>
      <c r="H194" s="49">
        <f t="shared" si="39"/>
        <v>0.5660377358490567</v>
      </c>
      <c r="I194" s="28"/>
      <c r="J194" s="28"/>
      <c r="K194" s="28"/>
      <c r="L194" s="28"/>
      <c r="M194" s="28"/>
      <c r="N194" s="28"/>
      <c r="O194" s="28"/>
    </row>
    <row r="195" spans="1:15" x14ac:dyDescent="0.3">
      <c r="A195" t="s">
        <v>77</v>
      </c>
      <c r="B195" s="30">
        <f>AVERAGE(14,15,24)*10000</f>
        <v>176666.66666666669</v>
      </c>
      <c r="C195" s="30">
        <f>AVERAGE(6,9,13)*10000</f>
        <v>93333.333333333343</v>
      </c>
      <c r="D195" s="30">
        <f>AVERAGE(10,8,11)*10000</f>
        <v>96666.666666666657</v>
      </c>
      <c r="E195" s="31">
        <f t="shared" si="37"/>
        <v>0.9655172413793105</v>
      </c>
      <c r="F195" s="31">
        <f t="shared" si="40"/>
        <v>1.0357142857142856</v>
      </c>
      <c r="G195" s="49">
        <f t="shared" si="38"/>
        <v>0.49122807017543862</v>
      </c>
      <c r="H195" s="49">
        <f t="shared" si="39"/>
        <v>0.50877192982456143</v>
      </c>
      <c r="I195" s="28"/>
      <c r="J195" s="28"/>
      <c r="K195" s="28"/>
      <c r="L195" s="28"/>
      <c r="M195" s="28"/>
      <c r="N195" s="28"/>
      <c r="O195" s="28"/>
    </row>
    <row r="196" spans="1:15" x14ac:dyDescent="0.3">
      <c r="A196" t="s">
        <v>78</v>
      </c>
      <c r="B196" s="30">
        <f>AVERAGE(15,21,22)*10000</f>
        <v>193333.33333333331</v>
      </c>
      <c r="C196" s="30">
        <f>AVERAGE(10,5,5)*10000</f>
        <v>66666.666666666672</v>
      </c>
      <c r="D196" s="30">
        <f>AVERAGE(9,13,10)*10000</f>
        <v>106666.66666666666</v>
      </c>
      <c r="E196" s="31">
        <f t="shared" si="37"/>
        <v>0.62500000000000011</v>
      </c>
      <c r="F196" s="31">
        <f t="shared" si="40"/>
        <v>1.5999999999999996</v>
      </c>
      <c r="G196" s="49">
        <f t="shared" si="38"/>
        <v>0.38461538461538469</v>
      </c>
      <c r="H196" s="49">
        <f t="shared" si="39"/>
        <v>0.61538461538461531</v>
      </c>
      <c r="I196" s="28"/>
      <c r="J196" s="28"/>
      <c r="K196" s="28"/>
      <c r="L196" s="28"/>
      <c r="M196" s="28"/>
      <c r="N196" s="28"/>
      <c r="O196" s="28"/>
    </row>
    <row r="197" spans="1:15" x14ac:dyDescent="0.3">
      <c r="A197" t="s">
        <v>26</v>
      </c>
      <c r="B197" s="30">
        <f>AVERAGE(18,26,22)*10000</f>
        <v>220000</v>
      </c>
      <c r="C197" s="30">
        <f>AVERAGE(15,14,15)*10000</f>
        <v>146666.66666666666</v>
      </c>
      <c r="D197" s="30">
        <f>AVERAGE(11,17,8)*10000</f>
        <v>120000</v>
      </c>
      <c r="E197" s="31">
        <f t="shared" si="37"/>
        <v>1.2222222222222221</v>
      </c>
      <c r="F197" s="31">
        <f t="shared" si="40"/>
        <v>0.81818181818181823</v>
      </c>
      <c r="G197" s="49">
        <f t="shared" si="38"/>
        <v>0.55000000000000004</v>
      </c>
      <c r="H197" s="49">
        <f t="shared" si="39"/>
        <v>0.44999999999999996</v>
      </c>
      <c r="I197" s="28"/>
      <c r="J197" s="28"/>
      <c r="K197" s="28"/>
      <c r="L197" s="28"/>
      <c r="M197" s="28"/>
      <c r="N197" s="28"/>
      <c r="O197" s="28"/>
    </row>
    <row r="198" spans="1:15" x14ac:dyDescent="0.3">
      <c r="A198" t="s">
        <v>79</v>
      </c>
      <c r="B198" s="30">
        <f>AVERAGE(21,24,24)*10000</f>
        <v>230000</v>
      </c>
      <c r="C198" s="30">
        <f>AVERAGE(13,12,12)*10000</f>
        <v>123333.33333333334</v>
      </c>
      <c r="D198" s="30">
        <f>AVERAGE(16,8,12)*10000</f>
        <v>120000</v>
      </c>
      <c r="E198" s="31">
        <f t="shared" si="37"/>
        <v>1.0277777777777779</v>
      </c>
      <c r="F198" s="31">
        <f t="shared" si="40"/>
        <v>0.97297297297297292</v>
      </c>
      <c r="G198" s="49">
        <f t="shared" si="38"/>
        <v>0.50684931506849318</v>
      </c>
      <c r="H198" s="49">
        <f t="shared" si="39"/>
        <v>0.49315068493150682</v>
      </c>
      <c r="I198" s="28"/>
      <c r="J198" s="28"/>
      <c r="K198" s="28"/>
      <c r="L198" s="28"/>
      <c r="M198" s="28"/>
      <c r="N198" s="28"/>
      <c r="O198" s="28"/>
    </row>
    <row r="199" spans="1:15" x14ac:dyDescent="0.3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 x14ac:dyDescent="0.3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x14ac:dyDescent="0.3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 x14ac:dyDescent="0.3">
      <c r="A202" t="s">
        <v>31</v>
      </c>
    </row>
    <row r="203" spans="1:15" ht="15.6" x14ac:dyDescent="0.3">
      <c r="A203" s="47" t="s">
        <v>32</v>
      </c>
      <c r="B203" s="48" t="s">
        <v>33</v>
      </c>
      <c r="C203" s="48" t="s">
        <v>34</v>
      </c>
      <c r="D203" s="48" t="s">
        <v>35</v>
      </c>
      <c r="E203" s="14" t="s">
        <v>36</v>
      </c>
    </row>
    <row r="204" spans="1:15" x14ac:dyDescent="0.3">
      <c r="A204" t="s">
        <v>19</v>
      </c>
      <c r="B204" s="15">
        <f>AVERAGE(6,10,8)*100000000</f>
        <v>800000000</v>
      </c>
      <c r="C204" s="15" t="s">
        <v>37</v>
      </c>
      <c r="D204" s="15" t="s">
        <v>37</v>
      </c>
      <c r="E204" s="6">
        <f t="shared" ref="E204:E215" si="41">LOG10(B204/B187)/LOG10(2)</f>
        <v>12.257965036155397</v>
      </c>
    </row>
    <row r="205" spans="1:15" x14ac:dyDescent="0.3">
      <c r="A205" t="s">
        <v>72</v>
      </c>
      <c r="B205" s="15">
        <f>AVERAGE(13,15,7)*100000000</f>
        <v>1166666666.6666665</v>
      </c>
      <c r="C205" s="15" t="s">
        <v>37</v>
      </c>
      <c r="D205" s="15" t="s">
        <v>37</v>
      </c>
      <c r="E205" s="6">
        <f t="shared" si="41"/>
        <v>12.510104800885896</v>
      </c>
    </row>
    <row r="206" spans="1:15" x14ac:dyDescent="0.3">
      <c r="A206" t="s">
        <v>73</v>
      </c>
      <c r="B206" s="15">
        <f>AVERAGE(18,14,15)*100000000</f>
        <v>1566666666.6666665</v>
      </c>
      <c r="C206" s="15" t="s">
        <v>37</v>
      </c>
      <c r="D206" s="15" t="s">
        <v>37</v>
      </c>
      <c r="E206" s="6">
        <f t="shared" si="41"/>
        <v>13.484749226609003</v>
      </c>
    </row>
    <row r="207" spans="1:15" x14ac:dyDescent="0.3">
      <c r="A207" t="s">
        <v>74</v>
      </c>
      <c r="B207" s="15">
        <f>AVERAGE(9,7,7*100000000)</f>
        <v>233333338.66666666</v>
      </c>
      <c r="C207" s="15" t="s">
        <v>37</v>
      </c>
      <c r="D207" s="15" t="s">
        <v>37</v>
      </c>
      <c r="E207" s="6">
        <f t="shared" si="41"/>
        <v>10.451211144808214</v>
      </c>
    </row>
    <row r="208" spans="1:15" x14ac:dyDescent="0.3">
      <c r="A208" t="s">
        <v>20</v>
      </c>
      <c r="B208" s="15">
        <f>AVERAGE(9,4,7)*100000000</f>
        <v>666666666.66666675</v>
      </c>
      <c r="C208" s="15" t="s">
        <v>37</v>
      </c>
      <c r="D208" s="15" t="s">
        <v>37</v>
      </c>
      <c r="E208" s="6">
        <f t="shared" si="41"/>
        <v>11.54355128397904</v>
      </c>
    </row>
    <row r="209" spans="1:5" x14ac:dyDescent="0.3">
      <c r="A209" t="s">
        <v>75</v>
      </c>
      <c r="B209" s="15">
        <f>AVERAGE(12,8,17)*100000000</f>
        <v>1233333333.3333335</v>
      </c>
      <c r="C209" s="15" t="s">
        <v>37</v>
      </c>
      <c r="D209" s="15" t="s">
        <v>37</v>
      </c>
      <c r="E209" s="6">
        <f t="shared" si="41"/>
        <v>12.327240743736086</v>
      </c>
    </row>
    <row r="210" spans="1:5" x14ac:dyDescent="0.3">
      <c r="A210" t="s">
        <v>25</v>
      </c>
      <c r="B210" s="15">
        <f>AVERAGE(8,8,11)*100000000</f>
        <v>900000000</v>
      </c>
      <c r="C210" s="15" t="s">
        <v>37</v>
      </c>
      <c r="D210" s="15" t="s">
        <v>37</v>
      </c>
      <c r="E210" s="6">
        <f t="shared" si="41"/>
        <v>11.913316864767951</v>
      </c>
    </row>
    <row r="211" spans="1:5" x14ac:dyDescent="0.3">
      <c r="A211" t="s">
        <v>76</v>
      </c>
      <c r="B211" s="15">
        <f>AVERAGE(5,8,7)*100000000</f>
        <v>666666666.66666675</v>
      </c>
      <c r="C211" s="15" t="s">
        <v>37</v>
      </c>
      <c r="D211" s="15" t="s">
        <v>37</v>
      </c>
      <c r="E211" s="6">
        <f t="shared" si="41"/>
        <v>11.565246355078358</v>
      </c>
    </row>
    <row r="212" spans="1:5" x14ac:dyDescent="0.3">
      <c r="A212" t="s">
        <v>77</v>
      </c>
      <c r="B212" s="15">
        <f>AVERAGE(3,1,1)*100000000</f>
        <v>166666666.66666669</v>
      </c>
      <c r="C212" s="15" t="s">
        <v>37</v>
      </c>
      <c r="D212" s="15" t="s">
        <v>37</v>
      </c>
      <c r="E212" s="6">
        <f t="shared" si="41"/>
        <v>9.8817200198736117</v>
      </c>
    </row>
    <row r="213" spans="1:5" x14ac:dyDescent="0.3">
      <c r="A213" t="s">
        <v>78</v>
      </c>
      <c r="B213" s="15">
        <f>AVERAGE(5,4,9)*100000000</f>
        <v>600000000</v>
      </c>
      <c r="C213" s="15" t="s">
        <v>37</v>
      </c>
      <c r="D213" s="15" t="s">
        <v>37</v>
      </c>
      <c r="E213" s="6">
        <f t="shared" si="41"/>
        <v>11.59965638586419</v>
      </c>
    </row>
    <row r="214" spans="1:5" x14ac:dyDescent="0.3">
      <c r="A214" t="s">
        <v>26</v>
      </c>
      <c r="B214" s="15">
        <f>AVERAGE(4,4,3)*100000000</f>
        <v>366666666.66666663</v>
      </c>
      <c r="C214" s="15" t="s">
        <v>37</v>
      </c>
      <c r="D214" s="15" t="s">
        <v>37</v>
      </c>
      <c r="E214" s="6">
        <f t="shared" si="41"/>
        <v>10.702749878828293</v>
      </c>
    </row>
    <row r="215" spans="1:5" x14ac:dyDescent="0.3">
      <c r="A215" t="s">
        <v>79</v>
      </c>
      <c r="B215" s="15">
        <f>AVERAGE(5,8,4)*100000000</f>
        <v>566666666.66666675</v>
      </c>
      <c r="C215" s="15" t="s">
        <v>37</v>
      </c>
      <c r="D215" s="15" t="s">
        <v>37</v>
      </c>
      <c r="E215" s="6">
        <f t="shared" si="41"/>
        <v>11.266650764021621</v>
      </c>
    </row>
    <row r="216" spans="1:5" x14ac:dyDescent="0.3">
      <c r="A216" s="16"/>
      <c r="B216" s="17"/>
      <c r="C216" s="17"/>
      <c r="D216" s="17"/>
    </row>
    <row r="218" spans="1:5" x14ac:dyDescent="0.3">
      <c r="A218" t="s">
        <v>38</v>
      </c>
    </row>
    <row r="219" spans="1:5" ht="15.6" x14ac:dyDescent="0.3">
      <c r="A219" s="47" t="s">
        <v>32</v>
      </c>
      <c r="B219" s="48" t="s">
        <v>33</v>
      </c>
      <c r="C219" s="48" t="s">
        <v>34</v>
      </c>
      <c r="D219" s="48" t="s">
        <v>35</v>
      </c>
    </row>
    <row r="220" spans="1:5" x14ac:dyDescent="0.3">
      <c r="A220" t="s">
        <v>19</v>
      </c>
      <c r="B220" s="15">
        <f>AVERAGE(6,6,13)*100000000</f>
        <v>833333333.33333337</v>
      </c>
      <c r="C220" s="15" t="s">
        <v>37</v>
      </c>
      <c r="D220" s="15" t="s">
        <v>37</v>
      </c>
      <c r="E220" s="6">
        <f t="shared" ref="E220:E231" si="42">LOG10(B220/((B204)/1000))/LOG(2)</f>
        <v>10.024677973715656</v>
      </c>
    </row>
    <row r="221" spans="1:5" x14ac:dyDescent="0.3">
      <c r="A221" t="s">
        <v>72</v>
      </c>
      <c r="B221" s="15">
        <f>AVERAGE(14,12,11)*100000000</f>
        <v>1233333333.3333335</v>
      </c>
      <c r="C221" s="15" t="s">
        <v>37</v>
      </c>
      <c r="D221" s="15" t="s">
        <v>37</v>
      </c>
      <c r="E221" s="6">
        <f t="shared" si="42"/>
        <v>10.045954633346071</v>
      </c>
    </row>
    <row r="222" spans="1:5" x14ac:dyDescent="0.3">
      <c r="A222" t="s">
        <v>73</v>
      </c>
      <c r="B222" s="15">
        <f>AVERAGE(4,5,1)*100000000</f>
        <v>333333333.33333337</v>
      </c>
      <c r="C222" s="15" t="s">
        <v>37</v>
      </c>
      <c r="D222" s="15" t="s">
        <v>37</v>
      </c>
      <c r="E222" s="6">
        <f t="shared" si="42"/>
        <v>7.733123527871812</v>
      </c>
    </row>
    <row r="223" spans="1:5" x14ac:dyDescent="0.3">
      <c r="A223" t="s">
        <v>74</v>
      </c>
      <c r="B223" s="15">
        <f>AVERAGE(5,10,9)*100000000</f>
        <v>800000000</v>
      </c>
      <c r="C223" s="15" t="s">
        <v>37</v>
      </c>
      <c r="D223" s="15" t="s">
        <v>37</v>
      </c>
      <c r="E223" s="6">
        <f t="shared" si="42"/>
        <v>11.743391830349752</v>
      </c>
    </row>
    <row r="224" spans="1:5" x14ac:dyDescent="0.3">
      <c r="A224" t="s">
        <v>20</v>
      </c>
      <c r="B224" s="15">
        <f>AVERAGE(6,12,12)*100000000</f>
        <v>1000000000</v>
      </c>
      <c r="C224" s="15" t="s">
        <v>37</v>
      </c>
      <c r="D224" s="15" t="s">
        <v>37</v>
      </c>
      <c r="E224" s="6">
        <f t="shared" si="42"/>
        <v>10.550746785383243</v>
      </c>
    </row>
    <row r="225" spans="1:5" x14ac:dyDescent="0.3">
      <c r="A225" t="s">
        <v>75</v>
      </c>
      <c r="B225" s="15">
        <f>AVERAGE(4,8,9)*100000000</f>
        <v>700000000</v>
      </c>
      <c r="C225" s="15" t="s">
        <v>37</v>
      </c>
      <c r="D225" s="15" t="s">
        <v>37</v>
      </c>
      <c r="E225" s="6">
        <f t="shared" si="42"/>
        <v>9.1486483418118976</v>
      </c>
    </row>
    <row r="226" spans="1:5" x14ac:dyDescent="0.3">
      <c r="A226" t="s">
        <v>25</v>
      </c>
      <c r="B226" s="15">
        <f>AVERAGE(9,12,11)*100000000</f>
        <v>1066666666.6666666</v>
      </c>
      <c r="C226" s="15" t="s">
        <v>37</v>
      </c>
      <c r="D226" s="15" t="s">
        <v>37</v>
      </c>
      <c r="E226" s="6">
        <f t="shared" si="42"/>
        <v>10.210896782498617</v>
      </c>
    </row>
    <row r="227" spans="1:5" x14ac:dyDescent="0.3">
      <c r="A227" t="s">
        <v>76</v>
      </c>
      <c r="B227" s="15">
        <f>AVERAGE(7,6,10)*100000000</f>
        <v>766666666.66666675</v>
      </c>
      <c r="C227" s="15" t="s">
        <v>37</v>
      </c>
      <c r="D227" s="15" t="s">
        <v>37</v>
      </c>
      <c r="E227" s="6">
        <f t="shared" si="42"/>
        <v>10.167418145831737</v>
      </c>
    </row>
    <row r="228" spans="1:5" x14ac:dyDescent="0.3">
      <c r="A228" t="s">
        <v>77</v>
      </c>
      <c r="B228" s="15">
        <f>AVERAGE(7,8,10)*100000000</f>
        <v>833333333.33333337</v>
      </c>
      <c r="C228" s="15" t="s">
        <v>37</v>
      </c>
      <c r="D228" s="15" t="s">
        <v>37</v>
      </c>
      <c r="E228" s="6">
        <f t="shared" si="42"/>
        <v>12.287712379549449</v>
      </c>
    </row>
    <row r="229" spans="1:5" x14ac:dyDescent="0.3">
      <c r="A229" t="s">
        <v>78</v>
      </c>
      <c r="B229" s="15">
        <f>AVERAGE(5,9,9)*100000000</f>
        <v>766666666.66666675</v>
      </c>
      <c r="C229" s="15" t="s">
        <v>37</v>
      </c>
      <c r="D229" s="15" t="s">
        <v>37</v>
      </c>
      <c r="E229" s="6">
        <f t="shared" si="42"/>
        <v>10.319421239276787</v>
      </c>
    </row>
    <row r="230" spans="1:5" x14ac:dyDescent="0.3">
      <c r="A230" t="s">
        <v>26</v>
      </c>
      <c r="B230" s="15">
        <f>AVERAGE(6,10,8)*100000000</f>
        <v>800000000</v>
      </c>
      <c r="C230" s="15" t="s">
        <v>37</v>
      </c>
      <c r="D230" s="15" t="s">
        <v>37</v>
      </c>
      <c r="E230" s="6">
        <f t="shared" si="42"/>
        <v>11.091315166745947</v>
      </c>
    </row>
    <row r="231" spans="1:5" x14ac:dyDescent="0.3">
      <c r="A231" t="s">
        <v>79</v>
      </c>
      <c r="B231" s="15">
        <f>AVERAGE(11,5,7)*100000000</f>
        <v>766666666.66666675</v>
      </c>
      <c r="C231" s="15" t="s">
        <v>37</v>
      </c>
      <c r="D231" s="15" t="s">
        <v>37</v>
      </c>
      <c r="E231" s="6">
        <f t="shared" si="42"/>
        <v>10.40188339946876</v>
      </c>
    </row>
    <row r="232" spans="1:5" x14ac:dyDescent="0.3">
      <c r="A232" s="16"/>
      <c r="B232" s="17"/>
      <c r="C232" s="17"/>
      <c r="D232" s="17"/>
    </row>
    <row r="234" spans="1:5" x14ac:dyDescent="0.3">
      <c r="A234" t="s">
        <v>39</v>
      </c>
    </row>
    <row r="235" spans="1:5" ht="15.6" x14ac:dyDescent="0.3">
      <c r="A235" s="47" t="s">
        <v>32</v>
      </c>
      <c r="B235" s="48" t="s">
        <v>33</v>
      </c>
      <c r="C235" s="48" t="s">
        <v>34</v>
      </c>
      <c r="D235" s="48" t="s">
        <v>35</v>
      </c>
    </row>
    <row r="236" spans="1:5" x14ac:dyDescent="0.3">
      <c r="A236" t="s">
        <v>19</v>
      </c>
      <c r="B236" s="15">
        <v>766666666.66666675</v>
      </c>
      <c r="C236" s="15" t="s">
        <v>37</v>
      </c>
      <c r="D236" s="15" t="s">
        <v>37</v>
      </c>
      <c r="E236" s="6">
        <f t="shared" ref="E236:E247" si="43">LOG10(B236/((B220)/1000))/LOG(2)</f>
        <v>9.8454900509443739</v>
      </c>
    </row>
    <row r="237" spans="1:5" x14ac:dyDescent="0.3">
      <c r="A237" t="s">
        <v>72</v>
      </c>
      <c r="B237" s="15">
        <v>766666666.66666675</v>
      </c>
      <c r="C237" s="15" t="s">
        <v>37</v>
      </c>
      <c r="D237" s="15" t="s">
        <v>37</v>
      </c>
      <c r="E237" s="6">
        <f t="shared" si="43"/>
        <v>9.2798928750901499</v>
      </c>
    </row>
    <row r="238" spans="1:5" x14ac:dyDescent="0.3">
      <c r="A238" t="s">
        <v>73</v>
      </c>
      <c r="B238" s="15">
        <v>600000000</v>
      </c>
      <c r="C238" s="15" t="s">
        <v>37</v>
      </c>
      <c r="D238" s="15" t="s">
        <v>37</v>
      </c>
      <c r="E238" s="6">
        <f t="shared" si="43"/>
        <v>10.813781191217037</v>
      </c>
    </row>
    <row r="239" spans="1:5" x14ac:dyDescent="0.3">
      <c r="A239" t="s">
        <v>74</v>
      </c>
      <c r="B239" s="15">
        <v>500000000</v>
      </c>
      <c r="C239" s="15" t="s">
        <v>37</v>
      </c>
      <c r="D239" s="15" t="s">
        <v>37</v>
      </c>
      <c r="E239" s="6">
        <f t="shared" si="43"/>
        <v>9.2877123795494505</v>
      </c>
    </row>
    <row r="240" spans="1:5" x14ac:dyDescent="0.3">
      <c r="A240" t="s">
        <v>20</v>
      </c>
      <c r="B240" s="15">
        <v>633333333.33333325</v>
      </c>
      <c r="C240" s="15" t="s">
        <v>37</v>
      </c>
      <c r="D240" s="15" t="s">
        <v>37</v>
      </c>
      <c r="E240" s="6">
        <f t="shared" si="43"/>
        <v>9.3068212024971526</v>
      </c>
    </row>
    <row r="241" spans="1:15" x14ac:dyDescent="0.3">
      <c r="A241" t="s">
        <v>75</v>
      </c>
      <c r="B241" s="15">
        <v>866666666.66666663</v>
      </c>
      <c r="C241" s="15" t="s">
        <v>37</v>
      </c>
      <c r="D241" s="15" t="s">
        <v>37</v>
      </c>
      <c r="E241" s="6">
        <f t="shared" si="43"/>
        <v>10.273906580024418</v>
      </c>
    </row>
    <row r="242" spans="1:15" ht="18" x14ac:dyDescent="0.35">
      <c r="A242" t="s">
        <v>25</v>
      </c>
      <c r="B242" s="15">
        <v>433333333.33333331</v>
      </c>
      <c r="C242" s="15" t="s">
        <v>37</v>
      </c>
      <c r="D242" s="15" t="s">
        <v>37</v>
      </c>
      <c r="E242" s="6">
        <f t="shared" si="43"/>
        <v>8.6662240028031796</v>
      </c>
      <c r="H242" s="18" t="s">
        <v>40</v>
      </c>
      <c r="L242" s="18" t="s">
        <v>41</v>
      </c>
    </row>
    <row r="243" spans="1:15" x14ac:dyDescent="0.3">
      <c r="A243" t="s">
        <v>76</v>
      </c>
      <c r="B243" s="15">
        <v>633333333.33333325</v>
      </c>
      <c r="C243" s="15" t="s">
        <v>37</v>
      </c>
      <c r="D243" s="15" t="s">
        <v>37</v>
      </c>
      <c r="E243" s="6">
        <f t="shared" si="43"/>
        <v>9.6901498420486583</v>
      </c>
      <c r="H243" t="s">
        <v>42</v>
      </c>
      <c r="I243" t="s">
        <v>80</v>
      </c>
      <c r="J243" t="s">
        <v>85</v>
      </c>
      <c r="L243" t="s">
        <v>42</v>
      </c>
      <c r="M243" t="s">
        <v>80</v>
      </c>
      <c r="N243" t="s">
        <v>85</v>
      </c>
    </row>
    <row r="244" spans="1:15" x14ac:dyDescent="0.3">
      <c r="A244" t="s">
        <v>77</v>
      </c>
      <c r="B244" s="15">
        <v>400000000</v>
      </c>
      <c r="C244" s="15" t="s">
        <v>37</v>
      </c>
      <c r="D244" s="15" t="s">
        <v>37</v>
      </c>
      <c r="E244" s="6">
        <f t="shared" si="43"/>
        <v>8.9068905956085178</v>
      </c>
      <c r="H244">
        <v>0</v>
      </c>
      <c r="I244" s="4">
        <f t="shared" ref="I244:I249" si="44">C252/D252</f>
        <v>0.77777777777777779</v>
      </c>
      <c r="J244" s="4">
        <f t="shared" ref="J244:J249" si="45">C258/D258</f>
        <v>1.75</v>
      </c>
      <c r="L244">
        <v>0</v>
      </c>
      <c r="M244" s="19">
        <f t="shared" ref="M244:M249" si="46">LN((H252*G187)/(1-H252))/4</f>
        <v>-0.2402477276980155</v>
      </c>
      <c r="N244" s="19">
        <f t="shared" ref="N244:N249" si="47">LN((H258*G193)/(1-H258))/4</f>
        <v>3.0340214251066835E-2</v>
      </c>
      <c r="O244" t="s">
        <v>45</v>
      </c>
    </row>
    <row r="245" spans="1:15" x14ac:dyDescent="0.3">
      <c r="A245" t="s">
        <v>78</v>
      </c>
      <c r="B245" s="15">
        <v>433333333.33333331</v>
      </c>
      <c r="C245" s="15" t="s">
        <v>37</v>
      </c>
      <c r="D245" s="15" t="s">
        <v>37</v>
      </c>
      <c r="E245" s="6">
        <f t="shared" si="43"/>
        <v>9.1426620467461657</v>
      </c>
      <c r="H245">
        <v>5.0000000000000001E-3</v>
      </c>
      <c r="I245" s="4">
        <f t="shared" si="44"/>
        <v>2.6666666666666665</v>
      </c>
      <c r="J245" s="4">
        <f t="shared" si="45"/>
        <v>5</v>
      </c>
      <c r="L245">
        <v>5.0000000000000001E-3</v>
      </c>
      <c r="M245" s="19">
        <f t="shared" si="46"/>
        <v>9.7366191690430828E-2</v>
      </c>
      <c r="N245" s="19">
        <f t="shared" si="47"/>
        <v>0.19366005370278208</v>
      </c>
    </row>
    <row r="246" spans="1:15" x14ac:dyDescent="0.3">
      <c r="A246" t="s">
        <v>26</v>
      </c>
      <c r="B246" s="15">
        <v>800000000</v>
      </c>
      <c r="C246" s="15" t="s">
        <v>37</v>
      </c>
      <c r="D246" s="15" t="s">
        <v>37</v>
      </c>
      <c r="E246" s="6">
        <f t="shared" si="43"/>
        <v>9.965784284662087</v>
      </c>
      <c r="H246">
        <v>0.01</v>
      </c>
      <c r="I246" s="4">
        <f t="shared" si="44"/>
        <v>0.91666666666666652</v>
      </c>
      <c r="J246" s="4">
        <f t="shared" si="45"/>
        <v>3.8333333333333339</v>
      </c>
      <c r="L246">
        <v>0.01</v>
      </c>
      <c r="M246" s="19">
        <f t="shared" si="46"/>
        <v>-0.17651264634896341</v>
      </c>
      <c r="N246" s="19">
        <f t="shared" si="47"/>
        <v>0.15822199726043717</v>
      </c>
    </row>
    <row r="247" spans="1:15" x14ac:dyDescent="0.3">
      <c r="A247" t="s">
        <v>79</v>
      </c>
      <c r="B247" s="15">
        <v>633333333.33333325</v>
      </c>
      <c r="C247" s="15" t="s">
        <v>37</v>
      </c>
      <c r="D247" s="15" t="s">
        <v>37</v>
      </c>
      <c r="E247" s="6">
        <f t="shared" si="43"/>
        <v>9.6901498420486583</v>
      </c>
      <c r="H247">
        <v>2.5000000000000001E-2</v>
      </c>
      <c r="I247" s="4">
        <f t="shared" si="44"/>
        <v>0.8</v>
      </c>
      <c r="J247" s="4">
        <f>C261/D261</f>
        <v>0.66666666666666674</v>
      </c>
      <c r="L247">
        <v>2.5000000000000001E-2</v>
      </c>
      <c r="M247" s="19">
        <f t="shared" si="46"/>
        <v>-0.19805952080104408</v>
      </c>
      <c r="N247" s="19">
        <f t="shared" si="47"/>
        <v>-0.3402441382839001</v>
      </c>
    </row>
    <row r="248" spans="1:15" x14ac:dyDescent="0.3">
      <c r="A248" s="16"/>
      <c r="B248" s="17"/>
      <c r="C248" s="17"/>
      <c r="D248" s="17"/>
      <c r="H248">
        <v>0.05</v>
      </c>
      <c r="I248" s="4">
        <f t="shared" si="44"/>
        <v>3.1666666666666661</v>
      </c>
      <c r="J248" s="4">
        <f t="shared" si="45"/>
        <v>6825.396825396826</v>
      </c>
      <c r="L248">
        <v>0.05</v>
      </c>
      <c r="M248" s="19">
        <f t="shared" si="46"/>
        <v>0.14122321125906662</v>
      </c>
      <c r="N248" s="19">
        <f t="shared" si="47"/>
        <v>2.0576421901306623</v>
      </c>
    </row>
    <row r="249" spans="1:15" x14ac:dyDescent="0.3">
      <c r="H249">
        <v>7.4999999999999997E-2</v>
      </c>
      <c r="I249" s="4">
        <f t="shared" si="44"/>
        <v>7.6190476190476186</v>
      </c>
      <c r="J249" s="4">
        <f t="shared" si="45"/>
        <v>120000</v>
      </c>
      <c r="L249">
        <v>7.4999999999999997E-2</v>
      </c>
      <c r="M249" s="19">
        <f t="shared" si="46"/>
        <v>0.36566683497611641</v>
      </c>
      <c r="N249" s="19">
        <f t="shared" si="47"/>
        <v>2.7539263733142465</v>
      </c>
    </row>
    <row r="250" spans="1:15" x14ac:dyDescent="0.3">
      <c r="A250" t="s">
        <v>46</v>
      </c>
      <c r="G250" s="21" t="s">
        <v>48</v>
      </c>
      <c r="H250" s="21"/>
    </row>
    <row r="251" spans="1:15" ht="15.6" x14ac:dyDescent="0.3">
      <c r="A251" s="47" t="s">
        <v>32</v>
      </c>
      <c r="B251" s="48" t="s">
        <v>33</v>
      </c>
      <c r="C251" s="48" t="s">
        <v>34</v>
      </c>
      <c r="D251" s="48" t="s">
        <v>35</v>
      </c>
      <c r="F251" s="22" t="s">
        <v>49</v>
      </c>
      <c r="G251" s="23" t="s">
        <v>50</v>
      </c>
      <c r="H251" s="21" t="s">
        <v>51</v>
      </c>
      <c r="I251" s="21" t="s">
        <v>57</v>
      </c>
      <c r="K251" s="28" t="s">
        <v>86</v>
      </c>
      <c r="L251" s="28" t="s">
        <v>87</v>
      </c>
      <c r="M251" s="28" t="s">
        <v>84</v>
      </c>
    </row>
    <row r="252" spans="1:15" x14ac:dyDescent="0.3">
      <c r="A252" t="s">
        <v>19</v>
      </c>
      <c r="B252" s="15">
        <v>1266666666.6666665</v>
      </c>
      <c r="C252" s="15">
        <v>466666666.66666669</v>
      </c>
      <c r="D252" s="15">
        <v>600000000</v>
      </c>
      <c r="E252" s="6">
        <f t="shared" ref="E252:E263" si="48">LOG10(B252/((B236)/1000))/LOG(2)</f>
        <v>10.690149842048658</v>
      </c>
      <c r="F252" s="21" t="s">
        <v>19</v>
      </c>
      <c r="G252" s="24">
        <f t="shared" ref="G252:G263" si="49">SUM(E252,E236,E220,E204)</f>
        <v>42.818282902864084</v>
      </c>
      <c r="H252" s="7">
        <f t="shared" ref="H252:H263" si="50">C252/(C252+D252)</f>
        <v>0.4375</v>
      </c>
      <c r="I252" s="7">
        <f>1-H252</f>
        <v>0.5625</v>
      </c>
      <c r="K252" s="30">
        <f>C252/B252</f>
        <v>0.36842105263157898</v>
      </c>
      <c r="L252" s="30">
        <f>K252/G252</f>
        <v>8.6042930181802219E-3</v>
      </c>
      <c r="M252" s="30">
        <f>D252/B252</f>
        <v>0.47368421052631587</v>
      </c>
    </row>
    <row r="253" spans="1:15" x14ac:dyDescent="0.3">
      <c r="A253" t="s">
        <v>72</v>
      </c>
      <c r="B253" s="15">
        <v>1100000000</v>
      </c>
      <c r="C253" s="15">
        <v>533333333.33333331</v>
      </c>
      <c r="D253" s="15">
        <v>200000000</v>
      </c>
      <c r="E253" s="6">
        <f t="shared" si="48"/>
        <v>10.486616447963527</v>
      </c>
      <c r="F253" s="21" t="s">
        <v>72</v>
      </c>
      <c r="G253" s="24">
        <f t="shared" si="49"/>
        <v>42.322568757285644</v>
      </c>
      <c r="H253" s="7">
        <f t="shared" si="50"/>
        <v>0.72727272727272729</v>
      </c>
      <c r="I253" s="7">
        <f t="shared" ref="I253:I263" si="51">1-H253</f>
        <v>0.27272727272727271</v>
      </c>
      <c r="K253" s="30">
        <f t="shared" ref="K253:K263" si="52">C253/B253</f>
        <v>0.48484848484848481</v>
      </c>
      <c r="L253" s="30">
        <f t="shared" ref="L253:L263" si="53">K253/G253</f>
        <v>1.1456026868998123E-2</v>
      </c>
      <c r="M253" s="30">
        <f t="shared" ref="M253:M263" si="54">D253/B253</f>
        <v>0.18181818181818182</v>
      </c>
    </row>
    <row r="254" spans="1:15" x14ac:dyDescent="0.3">
      <c r="A254" t="s">
        <v>73</v>
      </c>
      <c r="B254" s="15">
        <v>1200000000</v>
      </c>
      <c r="C254" s="15">
        <v>366666666.66666663</v>
      </c>
      <c r="D254" s="15">
        <v>400000000</v>
      </c>
      <c r="E254" s="6">
        <f t="shared" si="48"/>
        <v>10.965784284662087</v>
      </c>
      <c r="F254" s="21" t="s">
        <v>73</v>
      </c>
      <c r="G254" s="24">
        <f t="shared" si="49"/>
        <v>42.99743823035994</v>
      </c>
      <c r="H254" s="7">
        <f t="shared" si="50"/>
        <v>0.47826086956521735</v>
      </c>
      <c r="I254" s="7">
        <f t="shared" si="51"/>
        <v>0.52173913043478271</v>
      </c>
      <c r="K254" s="30">
        <f t="shared" si="52"/>
        <v>0.30555555555555552</v>
      </c>
      <c r="L254" s="30">
        <f t="shared" si="53"/>
        <v>7.1063665216177154E-3</v>
      </c>
      <c r="M254" s="30">
        <f t="shared" si="54"/>
        <v>0.33333333333333331</v>
      </c>
    </row>
    <row r="255" spans="1:15" x14ac:dyDescent="0.3">
      <c r="A255" t="s">
        <v>74</v>
      </c>
      <c r="B255" s="15">
        <v>733333333.33333325</v>
      </c>
      <c r="C255" s="15">
        <v>400000000</v>
      </c>
      <c r="D255" s="15">
        <v>500000000</v>
      </c>
      <c r="E255" s="6">
        <f t="shared" si="48"/>
        <v>10.518325307690866</v>
      </c>
      <c r="F255" s="21" t="s">
        <v>74</v>
      </c>
      <c r="G255" s="24">
        <f t="shared" si="49"/>
        <v>42.000640662398283</v>
      </c>
      <c r="H255" s="7">
        <f t="shared" si="50"/>
        <v>0.44444444444444442</v>
      </c>
      <c r="I255" s="7">
        <f t="shared" si="51"/>
        <v>0.55555555555555558</v>
      </c>
      <c r="K255" s="30">
        <f t="shared" si="52"/>
        <v>0.54545454545454553</v>
      </c>
      <c r="L255" s="30">
        <f t="shared" si="53"/>
        <v>1.2986814887870795E-2</v>
      </c>
      <c r="M255" s="30">
        <f t="shared" si="54"/>
        <v>0.68181818181818188</v>
      </c>
    </row>
    <row r="256" spans="1:15" x14ac:dyDescent="0.3">
      <c r="A256" t="s">
        <v>20</v>
      </c>
      <c r="B256" s="15">
        <v>900000000</v>
      </c>
      <c r="C256" s="15">
        <v>633333333.33333325</v>
      </c>
      <c r="D256" s="15">
        <v>200000000</v>
      </c>
      <c r="E256" s="6">
        <f t="shared" si="48"/>
        <v>10.47274427338197</v>
      </c>
      <c r="F256" s="21" t="s">
        <v>20</v>
      </c>
      <c r="G256" s="24">
        <f t="shared" si="49"/>
        <v>41.873863545241406</v>
      </c>
      <c r="H256" s="7">
        <f t="shared" si="50"/>
        <v>0.76</v>
      </c>
      <c r="I256" s="7">
        <f t="shared" si="51"/>
        <v>0.24</v>
      </c>
      <c r="K256" s="30">
        <f t="shared" si="52"/>
        <v>0.70370370370370361</v>
      </c>
      <c r="L256" s="30">
        <f t="shared" si="53"/>
        <v>1.68053206493212E-2</v>
      </c>
      <c r="M256" s="30">
        <f t="shared" si="54"/>
        <v>0.22222222222222221</v>
      </c>
    </row>
    <row r="257" spans="1:20" x14ac:dyDescent="0.3">
      <c r="A257" t="s">
        <v>75</v>
      </c>
      <c r="B257" s="15">
        <v>1033333333.3333334</v>
      </c>
      <c r="C257" s="15">
        <v>533333333.33333331</v>
      </c>
      <c r="D257" s="15">
        <v>70000000</v>
      </c>
      <c r="E257" s="6">
        <f t="shared" si="48"/>
        <v>10.219540876907871</v>
      </c>
      <c r="F257" s="21" t="s">
        <v>75</v>
      </c>
      <c r="G257" s="24">
        <f t="shared" si="49"/>
        <v>41.969336542480271</v>
      </c>
      <c r="H257" s="7">
        <f t="shared" si="50"/>
        <v>0.88397790055248626</v>
      </c>
      <c r="I257" s="7">
        <f t="shared" si="51"/>
        <v>0.11602209944751374</v>
      </c>
      <c r="K257" s="30">
        <f t="shared" si="52"/>
        <v>0.5161290322580645</v>
      </c>
      <c r="L257" s="30">
        <f t="shared" si="53"/>
        <v>1.2297764863060251E-2</v>
      </c>
      <c r="M257" s="30">
        <f t="shared" si="54"/>
        <v>6.774193548387096E-2</v>
      </c>
    </row>
    <row r="258" spans="1:20" x14ac:dyDescent="0.3">
      <c r="A258" t="s">
        <v>25</v>
      </c>
      <c r="B258" s="15">
        <v>633333333.33333325</v>
      </c>
      <c r="C258" s="15">
        <v>700000000</v>
      </c>
      <c r="D258" s="15">
        <v>400000000</v>
      </c>
      <c r="E258" s="6">
        <f t="shared" si="48"/>
        <v>10.513272079964581</v>
      </c>
      <c r="F258" s="21" t="s">
        <v>25</v>
      </c>
      <c r="G258" s="24">
        <f t="shared" si="49"/>
        <v>41.303709730034328</v>
      </c>
      <c r="H258" s="7">
        <f t="shared" si="50"/>
        <v>0.63636363636363635</v>
      </c>
      <c r="I258" s="7">
        <f t="shared" si="51"/>
        <v>0.36363636363636365</v>
      </c>
      <c r="K258" s="30">
        <f t="shared" si="52"/>
        <v>1.1052631578947369</v>
      </c>
      <c r="L258" s="30">
        <f t="shared" si="53"/>
        <v>2.6759416166704172E-2</v>
      </c>
      <c r="M258" s="30">
        <f t="shared" si="54"/>
        <v>0.63157894736842113</v>
      </c>
    </row>
    <row r="259" spans="1:20" x14ac:dyDescent="0.3">
      <c r="A259" t="s">
        <v>76</v>
      </c>
      <c r="B259" s="15">
        <v>1366666666.6666665</v>
      </c>
      <c r="C259" s="15">
        <v>1000000000</v>
      </c>
      <c r="D259" s="15">
        <v>200000000</v>
      </c>
      <c r="E259" s="6">
        <f t="shared" si="48"/>
        <v>11.075408775836586</v>
      </c>
      <c r="F259" s="21" t="s">
        <v>76</v>
      </c>
      <c r="G259" s="24">
        <f t="shared" si="49"/>
        <v>42.498223118795337</v>
      </c>
      <c r="H259" s="7">
        <f t="shared" si="50"/>
        <v>0.83333333333333337</v>
      </c>
      <c r="I259" s="7">
        <f t="shared" si="51"/>
        <v>0.16666666666666663</v>
      </c>
      <c r="K259" s="30">
        <f t="shared" si="52"/>
        <v>0.73170731707317083</v>
      </c>
      <c r="L259" s="30">
        <f t="shared" si="53"/>
        <v>1.7217362594850811E-2</v>
      </c>
      <c r="M259" s="30">
        <f t="shared" si="54"/>
        <v>0.14634146341463417</v>
      </c>
    </row>
    <row r="260" spans="1:20" x14ac:dyDescent="0.3">
      <c r="A260" t="s">
        <v>77</v>
      </c>
      <c r="B260" s="15">
        <v>966666666.66666663</v>
      </c>
      <c r="C260" s="15">
        <v>766666666.66666675</v>
      </c>
      <c r="D260" s="15">
        <v>200000000</v>
      </c>
      <c r="E260" s="6">
        <f t="shared" si="48"/>
        <v>11.238802779068504</v>
      </c>
      <c r="F260" s="21" t="s">
        <v>77</v>
      </c>
      <c r="G260" s="24">
        <f t="shared" si="49"/>
        <v>42.315125774100082</v>
      </c>
      <c r="H260" s="7">
        <f t="shared" si="50"/>
        <v>0.7931034482758621</v>
      </c>
      <c r="I260" s="7">
        <f t="shared" si="51"/>
        <v>0.2068965517241379</v>
      </c>
      <c r="K260" s="30">
        <f t="shared" si="52"/>
        <v>0.79310344827586221</v>
      </c>
      <c r="L260" s="30">
        <f t="shared" si="53"/>
        <v>1.8742788394624101E-2</v>
      </c>
      <c r="M260" s="30">
        <f t="shared" si="54"/>
        <v>0.20689655172413793</v>
      </c>
    </row>
    <row r="261" spans="1:20" x14ac:dyDescent="0.3">
      <c r="A261" t="s">
        <v>78</v>
      </c>
      <c r="B261" s="15">
        <v>1066666666.6666666</v>
      </c>
      <c r="C261" s="15">
        <v>333333333.33333337</v>
      </c>
      <c r="D261" s="15">
        <v>500000000</v>
      </c>
      <c r="E261" s="6">
        <f t="shared" si="48"/>
        <v>11.265344566520994</v>
      </c>
      <c r="F261" s="21" t="s">
        <v>78</v>
      </c>
      <c r="G261" s="24">
        <f t="shared" si="49"/>
        <v>42.327084238408133</v>
      </c>
      <c r="H261" s="7">
        <f t="shared" si="50"/>
        <v>0.4</v>
      </c>
      <c r="I261" s="7">
        <f t="shared" si="51"/>
        <v>0.6</v>
      </c>
      <c r="K261" s="30">
        <f t="shared" si="52"/>
        <v>0.31250000000000006</v>
      </c>
      <c r="L261" s="30">
        <f t="shared" si="53"/>
        <v>7.3829796127660875E-3</v>
      </c>
      <c r="M261" s="30">
        <f t="shared" si="54"/>
        <v>0.46875</v>
      </c>
    </row>
    <row r="262" spans="1:20" x14ac:dyDescent="0.3">
      <c r="A262" t="s">
        <v>26</v>
      </c>
      <c r="B262" s="15">
        <v>2100000000</v>
      </c>
      <c r="C262" s="15">
        <v>1433333333.3333335</v>
      </c>
      <c r="D262" s="15">
        <f>AVERAGE(1,3.2)*100000</f>
        <v>210000</v>
      </c>
      <c r="E262" s="6">
        <f t="shared" si="48"/>
        <v>11.358101707440847</v>
      </c>
      <c r="F262" s="21" t="s">
        <v>26</v>
      </c>
      <c r="G262" s="24">
        <f t="shared" si="49"/>
        <v>43.117951037677173</v>
      </c>
      <c r="H262" s="7">
        <f t="shared" si="50"/>
        <v>0.99985350983460564</v>
      </c>
      <c r="I262" s="7">
        <f t="shared" si="51"/>
        <v>1.4649016539436399E-4</v>
      </c>
      <c r="K262" s="30">
        <f t="shared" si="52"/>
        <v>0.68253968253968267</v>
      </c>
      <c r="L262" s="30">
        <f t="shared" si="53"/>
        <v>1.5829594545048495E-2</v>
      </c>
      <c r="M262" s="30">
        <f t="shared" si="54"/>
        <v>1E-4</v>
      </c>
    </row>
    <row r="263" spans="1:20" x14ac:dyDescent="0.3">
      <c r="A263" t="s">
        <v>79</v>
      </c>
      <c r="B263" s="15">
        <v>933333333.33333337</v>
      </c>
      <c r="C263" s="15">
        <v>1200000000</v>
      </c>
      <c r="D263" s="15">
        <v>10000</v>
      </c>
      <c r="E263" s="6">
        <f t="shared" si="48"/>
        <v>10.525211693276106</v>
      </c>
      <c r="F263" s="21" t="s">
        <v>79</v>
      </c>
      <c r="G263" s="24">
        <f t="shared" si="49"/>
        <v>41.883895698815145</v>
      </c>
      <c r="H263" s="7">
        <f t="shared" si="50"/>
        <v>0.99999166673611051</v>
      </c>
      <c r="I263" s="7">
        <f t="shared" si="51"/>
        <v>8.3332638894928479E-6</v>
      </c>
      <c r="K263" s="30">
        <f t="shared" si="52"/>
        <v>1.2857142857142856</v>
      </c>
      <c r="L263" s="30">
        <f t="shared" si="53"/>
        <v>3.0697103606593529E-2</v>
      </c>
      <c r="M263" s="30">
        <f t="shared" si="54"/>
        <v>1.0714285714285714E-5</v>
      </c>
    </row>
    <row r="264" spans="1:20" x14ac:dyDescent="0.3">
      <c r="G264" s="6">
        <f>AVERAGE(G252:G263)</f>
        <v>42.285676686538316</v>
      </c>
    </row>
    <row r="267" spans="1:20" s="38" customFormat="1" x14ac:dyDescent="0.3"/>
    <row r="268" spans="1:20" s="38" customFormat="1" x14ac:dyDescent="0.3"/>
    <row r="269" spans="1:20" s="51" customFormat="1" ht="21" x14ac:dyDescent="0.4">
      <c r="A269" s="51" t="s">
        <v>58</v>
      </c>
    </row>
    <row r="270" spans="1:20" x14ac:dyDescent="0.3">
      <c r="H270" t="s">
        <v>59</v>
      </c>
      <c r="K270" t="s">
        <v>60</v>
      </c>
      <c r="N270" t="s">
        <v>88</v>
      </c>
      <c r="R270" t="s">
        <v>89</v>
      </c>
    </row>
    <row r="271" spans="1:20" ht="15.6" x14ac:dyDescent="0.3">
      <c r="A271" s="47" t="s">
        <v>32</v>
      </c>
      <c r="B271" t="s">
        <v>61</v>
      </c>
      <c r="C271" t="s">
        <v>90</v>
      </c>
      <c r="D271" t="s">
        <v>63</v>
      </c>
      <c r="E271" t="s">
        <v>91</v>
      </c>
      <c r="F271" t="s">
        <v>67</v>
      </c>
      <c r="H271" t="s">
        <v>42</v>
      </c>
      <c r="I271" t="s">
        <v>92</v>
      </c>
      <c r="J271" t="s">
        <v>81</v>
      </c>
      <c r="K271" t="s">
        <v>92</v>
      </c>
      <c r="L271" t="s">
        <v>81</v>
      </c>
      <c r="N271" t="s">
        <v>42</v>
      </c>
      <c r="O271" t="s">
        <v>92</v>
      </c>
      <c r="P271" t="s">
        <v>81</v>
      </c>
      <c r="R271" t="s">
        <v>42</v>
      </c>
      <c r="S271" t="s">
        <v>92</v>
      </c>
      <c r="T271" t="s">
        <v>81</v>
      </c>
    </row>
    <row r="272" spans="1:20" x14ac:dyDescent="0.3">
      <c r="A272" t="s">
        <v>19</v>
      </c>
      <c r="B272" s="6">
        <f t="shared" ref="B272:C283" si="55">AVERAGE(G83,G169,G252)</f>
        <v>42.565661844584533</v>
      </c>
      <c r="C272" s="6">
        <f t="shared" si="55"/>
        <v>0.35227272727272724</v>
      </c>
      <c r="D272">
        <f t="shared" ref="D272:D283" si="56">STDEV(H83,H169,H252)/SQRT(3)</f>
        <v>8.5227272727272846E-2</v>
      </c>
      <c r="E272" s="4">
        <f>AVERAGE(I263,I180,I94,)</f>
        <v>1.1764808306363728E-5</v>
      </c>
      <c r="F272" s="4">
        <f>STDEV(I252,I169,I83)/SQRT(3)</f>
        <v>8.5227272727272679E-2</v>
      </c>
      <c r="H272">
        <v>0</v>
      </c>
      <c r="I272" s="4">
        <f t="shared" ref="I272:J277" si="57">AVERAGE(I75,I161,I244)</f>
        <v>0.59259259259259256</v>
      </c>
      <c r="J272" s="4">
        <f t="shared" si="57"/>
        <v>4.503968253968254</v>
      </c>
      <c r="K272" s="4">
        <f t="shared" ref="K272:L277" si="58">STDEV(I75,I161,I244)/SQRT(3)</f>
        <v>0.18518518518518529</v>
      </c>
      <c r="L272" s="4">
        <f t="shared" si="58"/>
        <v>2.9161591179165471</v>
      </c>
      <c r="N272">
        <v>0</v>
      </c>
      <c r="O272" s="4">
        <f>AVERAGE(J83,K169,K252)</f>
        <v>0.39424822001954496</v>
      </c>
      <c r="P272" s="4">
        <f>AVERAGE(J89,K175,K258)</f>
        <v>0.72705200501253131</v>
      </c>
      <c r="R272">
        <v>0</v>
      </c>
      <c r="S272" s="4">
        <f>AVERAGE(L83,M169,M252)</f>
        <v>0.80245707105961195</v>
      </c>
      <c r="T272" s="4">
        <f>AVERAGE(L89,M175,M258)</f>
        <v>0.26677631578947375</v>
      </c>
    </row>
    <row r="273" spans="1:20" x14ac:dyDescent="0.3">
      <c r="A273" t="s">
        <v>72</v>
      </c>
      <c r="B273" s="6">
        <f t="shared" si="55"/>
        <v>42.380429761115643</v>
      </c>
      <c r="C273" s="6">
        <f t="shared" si="55"/>
        <v>0.4743083003952569</v>
      </c>
      <c r="D273">
        <f t="shared" si="56"/>
        <v>0.12648221343873511</v>
      </c>
      <c r="E273" s="4">
        <f t="shared" ref="E273:E283" si="59">AVERAGE(I264,I181,I95,)</f>
        <v>0</v>
      </c>
      <c r="F273" s="4">
        <f t="shared" ref="F273:F283" si="60">STDEV(I253,I170,I84)/SQRT(3)</f>
        <v>0.12648221343873511</v>
      </c>
      <c r="H273">
        <v>5.0000000000000001E-3</v>
      </c>
      <c r="I273" s="4">
        <f t="shared" si="57"/>
        <v>1.2444444444444445</v>
      </c>
      <c r="J273" s="4">
        <f t="shared" si="57"/>
        <v>10.962962962962962</v>
      </c>
      <c r="K273" s="4">
        <f t="shared" si="58"/>
        <v>0.71111111111111114</v>
      </c>
      <c r="L273" s="4">
        <f t="shared" si="58"/>
        <v>7.927223846653507</v>
      </c>
      <c r="N273">
        <v>5.0000000000000001E-3</v>
      </c>
      <c r="O273" s="4">
        <f t="shared" ref="O273:O277" si="61">AVERAGE(J84,K170,K253)</f>
        <v>0.33437826541274812</v>
      </c>
      <c r="P273" s="4">
        <f t="shared" ref="P273:P277" si="62">AVERAGE(J90,K176,K259)</f>
        <v>0.67115111627306756</v>
      </c>
      <c r="R273">
        <v>5.0000000000000001E-3</v>
      </c>
      <c r="S273" s="4">
        <f t="shared" ref="S273:S277" si="63">AVERAGE(L84,M170,M253)</f>
        <v>0.38453500522466039</v>
      </c>
      <c r="T273" s="4">
        <f t="shared" ref="T273:T277" si="64">AVERAGE(L90,M176,M259)</f>
        <v>0.16703445605884629</v>
      </c>
    </row>
    <row r="274" spans="1:20" x14ac:dyDescent="0.3">
      <c r="A274" t="s">
        <v>73</v>
      </c>
      <c r="B274" s="6">
        <f t="shared" si="55"/>
        <v>42.418845795014199</v>
      </c>
      <c r="C274" s="6">
        <f t="shared" si="55"/>
        <v>0.54766318391191993</v>
      </c>
      <c r="D274">
        <f t="shared" si="56"/>
        <v>3.4705666556945708E-2</v>
      </c>
      <c r="E274" s="4">
        <f t="shared" si="59"/>
        <v>0</v>
      </c>
      <c r="F274" s="4">
        <f t="shared" si="60"/>
        <v>3.4705666556945271E-2</v>
      </c>
      <c r="H274">
        <v>0.01</v>
      </c>
      <c r="I274" s="4">
        <f t="shared" si="57"/>
        <v>1.2351851851851852</v>
      </c>
      <c r="J274" s="4">
        <f t="shared" si="57"/>
        <v>4.3465608465608474</v>
      </c>
      <c r="K274" s="4">
        <f t="shared" si="58"/>
        <v>0.15929155572613296</v>
      </c>
      <c r="L274" s="4">
        <f t="shared" si="58"/>
        <v>2.0324090215679971</v>
      </c>
      <c r="N274">
        <v>0.01</v>
      </c>
      <c r="O274" s="4">
        <f t="shared" si="61"/>
        <v>0.57124579124579122</v>
      </c>
      <c r="P274" s="4">
        <f t="shared" si="62"/>
        <v>0.75603448275862073</v>
      </c>
      <c r="R274">
        <v>0.01</v>
      </c>
      <c r="S274" s="4">
        <f t="shared" si="63"/>
        <v>0.44747474747474741</v>
      </c>
      <c r="T274" s="4">
        <f t="shared" si="64"/>
        <v>0.29146551724137931</v>
      </c>
    </row>
    <row r="275" spans="1:20" x14ac:dyDescent="0.3">
      <c r="A275" t="s">
        <v>74</v>
      </c>
      <c r="B275" s="6">
        <f t="shared" si="55"/>
        <v>42.310240765802426</v>
      </c>
      <c r="C275" s="6">
        <f t="shared" si="55"/>
        <v>0.43836693836693835</v>
      </c>
      <c r="D275">
        <f t="shared" si="56"/>
        <v>4.5242485945326164E-2</v>
      </c>
      <c r="E275" s="4">
        <f t="shared" si="59"/>
        <v>0</v>
      </c>
      <c r="F275" s="4">
        <f t="shared" si="60"/>
        <v>4.5242485945325761E-2</v>
      </c>
      <c r="H275">
        <v>2.5000000000000001E-2</v>
      </c>
      <c r="I275" s="4">
        <f t="shared" si="57"/>
        <v>0.8037037037037037</v>
      </c>
      <c r="J275" s="4">
        <f t="shared" si="57"/>
        <v>74.500000000000014</v>
      </c>
      <c r="K275" s="4">
        <f t="shared" si="58"/>
        <v>0.14434944644374126</v>
      </c>
      <c r="L275" s="4">
        <f t="shared" si="58"/>
        <v>73.861112852227933</v>
      </c>
      <c r="N275">
        <v>2.5000000000000001E-2</v>
      </c>
      <c r="O275" s="4">
        <f t="shared" si="61"/>
        <v>0.47771309150619495</v>
      </c>
      <c r="P275" s="4">
        <f t="shared" si="62"/>
        <v>0.54234544695071019</v>
      </c>
      <c r="R275">
        <v>2.5000000000000001E-2</v>
      </c>
      <c r="S275" s="4">
        <f t="shared" si="63"/>
        <v>0.60559785042543668</v>
      </c>
      <c r="T275" s="4">
        <f t="shared" si="64"/>
        <v>0.30068609022556392</v>
      </c>
    </row>
    <row r="276" spans="1:20" x14ac:dyDescent="0.3">
      <c r="A276" t="s">
        <v>20</v>
      </c>
      <c r="B276" s="6">
        <f t="shared" si="55"/>
        <v>42.327259230905462</v>
      </c>
      <c r="C276" s="6">
        <f t="shared" si="55"/>
        <v>0.61230769230769233</v>
      </c>
      <c r="D276">
        <f t="shared" si="56"/>
        <v>7.3846153846153784E-2</v>
      </c>
      <c r="E276" s="4">
        <f t="shared" si="59"/>
        <v>0</v>
      </c>
      <c r="F276" s="4">
        <f t="shared" si="60"/>
        <v>7.3846153846153853E-2</v>
      </c>
      <c r="H276">
        <v>0.05</v>
      </c>
      <c r="I276" s="4">
        <f t="shared" si="57"/>
        <v>1.8333333333333333</v>
      </c>
      <c r="J276" s="4">
        <f t="shared" si="57"/>
        <v>30002307.231040567</v>
      </c>
      <c r="K276" s="4">
        <f t="shared" si="58"/>
        <v>0.66666666666666619</v>
      </c>
      <c r="L276" s="4">
        <f t="shared" si="58"/>
        <v>29998846.447372131</v>
      </c>
      <c r="N276">
        <v>0.05</v>
      </c>
      <c r="O276" s="4">
        <f t="shared" si="61"/>
        <v>0.70123456790123451</v>
      </c>
      <c r="P276" s="4">
        <f t="shared" si="62"/>
        <v>0.87083837083837101</v>
      </c>
      <c r="R276">
        <v>0.05</v>
      </c>
      <c r="S276" s="4">
        <f t="shared" si="63"/>
        <v>0.47407407407407404</v>
      </c>
      <c r="T276" s="4">
        <f t="shared" si="64"/>
        <v>2.4657703112203112E-3</v>
      </c>
    </row>
    <row r="277" spans="1:20" x14ac:dyDescent="0.3">
      <c r="A277" t="s">
        <v>75</v>
      </c>
      <c r="B277" s="6">
        <f t="shared" si="55"/>
        <v>41.640898847682791</v>
      </c>
      <c r="C277" s="6">
        <f t="shared" si="55"/>
        <v>0.8833649473605738</v>
      </c>
      <c r="D277">
        <f t="shared" si="56"/>
        <v>7.7963596271601694E-3</v>
      </c>
      <c r="E277" s="4">
        <f t="shared" si="59"/>
        <v>0</v>
      </c>
      <c r="F277" s="4">
        <f t="shared" si="60"/>
        <v>7.7963596271601685E-3</v>
      </c>
      <c r="H277">
        <v>7.4999999999999997E-2</v>
      </c>
      <c r="I277" s="4">
        <f t="shared" si="57"/>
        <v>7.6507936507936494</v>
      </c>
      <c r="J277" s="4">
        <f t="shared" si="57"/>
        <v>171481.48148148146</v>
      </c>
      <c r="K277" s="4">
        <f t="shared" si="58"/>
        <v>0.57756842535430053</v>
      </c>
      <c r="L277" s="4">
        <f t="shared" si="58"/>
        <v>101158.58334768648</v>
      </c>
      <c r="N277">
        <v>7.4999999999999997E-2</v>
      </c>
      <c r="O277" s="4">
        <f t="shared" si="61"/>
        <v>1.5053763440860213</v>
      </c>
      <c r="P277" s="4">
        <f t="shared" si="62"/>
        <v>1.1936507936507936</v>
      </c>
      <c r="R277">
        <v>7.4999999999999997E-2</v>
      </c>
      <c r="S277" s="4">
        <f t="shared" si="63"/>
        <v>0.21104218362282878</v>
      </c>
      <c r="T277" s="4">
        <f t="shared" si="64"/>
        <v>2.4142857142857143E-5</v>
      </c>
    </row>
    <row r="278" spans="1:20" x14ac:dyDescent="0.3">
      <c r="A278" t="s">
        <v>25</v>
      </c>
      <c r="B278" s="6">
        <f t="shared" si="55"/>
        <v>42.339905223959065</v>
      </c>
      <c r="C278" s="6">
        <f t="shared" si="55"/>
        <v>0.71212121212121204</v>
      </c>
      <c r="D278">
        <f t="shared" si="56"/>
        <v>0.10078397323434375</v>
      </c>
      <c r="E278" s="4">
        <f t="shared" si="59"/>
        <v>0</v>
      </c>
      <c r="F278" s="4">
        <f t="shared" si="60"/>
        <v>0.10078397323434374</v>
      </c>
    </row>
    <row r="279" spans="1:20" x14ac:dyDescent="0.3">
      <c r="A279" t="s">
        <v>76</v>
      </c>
      <c r="B279" s="6">
        <f t="shared" si="55"/>
        <v>42.495050724569971</v>
      </c>
      <c r="C279" s="6">
        <f t="shared" si="55"/>
        <v>0.78239625167336013</v>
      </c>
      <c r="D279">
        <f t="shared" si="56"/>
        <v>0.12215429755150502</v>
      </c>
      <c r="E279" s="4">
        <f t="shared" si="59"/>
        <v>0</v>
      </c>
      <c r="F279" s="4">
        <f t="shared" si="60"/>
        <v>0.12215429755150506</v>
      </c>
      <c r="H279" s="44" t="s">
        <v>66</v>
      </c>
      <c r="I279" s="44"/>
      <c r="J279" s="44"/>
      <c r="K279" s="44" t="s">
        <v>67</v>
      </c>
      <c r="L279" s="44"/>
      <c r="N279" t="s">
        <v>93</v>
      </c>
      <c r="R279" t="s">
        <v>94</v>
      </c>
    </row>
    <row r="280" spans="1:20" x14ac:dyDescent="0.3">
      <c r="A280" t="s">
        <v>77</v>
      </c>
      <c r="B280" s="6">
        <f t="shared" si="55"/>
        <v>42.701603073857619</v>
      </c>
      <c r="C280" s="6">
        <f t="shared" si="55"/>
        <v>0.73649053125682962</v>
      </c>
      <c r="D280">
        <f t="shared" si="56"/>
        <v>0.10875023255293109</v>
      </c>
      <c r="E280" s="4">
        <f t="shared" si="59"/>
        <v>0</v>
      </c>
      <c r="F280" s="4">
        <f t="shared" si="60"/>
        <v>0.10875023255293123</v>
      </c>
      <c r="H280" s="44" t="s">
        <v>42</v>
      </c>
      <c r="I280" s="44" t="s">
        <v>92</v>
      </c>
      <c r="J280" s="44" t="s">
        <v>81</v>
      </c>
      <c r="K280" s="44" t="s">
        <v>92</v>
      </c>
      <c r="L280" s="44" t="s">
        <v>81</v>
      </c>
      <c r="N280" t="s">
        <v>42</v>
      </c>
      <c r="O280" t="s">
        <v>92</v>
      </c>
      <c r="P280" t="s">
        <v>81</v>
      </c>
      <c r="R280" t="s">
        <v>42</v>
      </c>
      <c r="S280" t="s">
        <v>92</v>
      </c>
      <c r="T280" t="s">
        <v>81</v>
      </c>
    </row>
    <row r="281" spans="1:20" x14ac:dyDescent="0.3">
      <c r="A281" t="s">
        <v>78</v>
      </c>
      <c r="B281" s="6">
        <f t="shared" si="55"/>
        <v>42.655227665787997</v>
      </c>
      <c r="C281" s="6">
        <f t="shared" si="55"/>
        <v>0.59161016803693711</v>
      </c>
      <c r="D281">
        <f t="shared" si="56"/>
        <v>0.20204329257960282</v>
      </c>
      <c r="E281" s="4">
        <f t="shared" si="59"/>
        <v>0.29629629629629628</v>
      </c>
      <c r="F281" s="4">
        <f t="shared" si="60"/>
        <v>0.20204329257960274</v>
      </c>
      <c r="H281" s="44">
        <v>0</v>
      </c>
      <c r="I281" s="45">
        <f t="shared" ref="I281:J286" si="65">AVERAGE(M75,M161,M244)</f>
        <v>-0.36363008135551583</v>
      </c>
      <c r="J281" s="45">
        <f t="shared" si="65"/>
        <v>0.13476332987733411</v>
      </c>
      <c r="K281" s="45">
        <f t="shared" ref="K281:L286" si="66">STDEV(M75,M161,M244)/SQRT(3)</f>
        <v>0.14399137779823096</v>
      </c>
      <c r="L281" s="45">
        <f t="shared" si="66"/>
        <v>0.13610189632203501</v>
      </c>
      <c r="N281">
        <v>0</v>
      </c>
      <c r="O281" s="4">
        <f>AVERAGE(L252,L169,K83)</f>
        <v>9.2580941409084062E-3</v>
      </c>
      <c r="P281" s="4">
        <f>AVERAGE(L258,L175,K89)</f>
        <v>1.7222793228640589E-2</v>
      </c>
      <c r="R281">
        <v>0</v>
      </c>
      <c r="S281" s="4">
        <f>S272/B272</f>
        <v>1.8852216464753633E-2</v>
      </c>
      <c r="T281" s="4">
        <f>T272/B278</f>
        <v>6.3008245856561789E-3</v>
      </c>
    </row>
    <row r="282" spans="1:20" x14ac:dyDescent="0.3">
      <c r="A282" t="s">
        <v>26</v>
      </c>
      <c r="B282" s="6">
        <f t="shared" si="55"/>
        <v>42.915858517625715</v>
      </c>
      <c r="C282" s="6">
        <f t="shared" si="55"/>
        <v>0.99652520506872477</v>
      </c>
      <c r="D282">
        <f t="shared" si="56"/>
        <v>3.4018071060598364E-3</v>
      </c>
      <c r="E282" s="4">
        <f t="shared" si="59"/>
        <v>0.62222222222222223</v>
      </c>
      <c r="F282" s="4">
        <f t="shared" si="60"/>
        <v>3.4018071060598369E-3</v>
      </c>
      <c r="H282" s="44">
        <v>5.0000000000000001E-3</v>
      </c>
      <c r="I282" s="45">
        <f>AVERAGE(M76,M162,M245)</f>
        <v>-0.18784336999262716</v>
      </c>
      <c r="J282" s="45">
        <f t="shared" si="65"/>
        <v>0.24220665165917063</v>
      </c>
      <c r="K282" s="45">
        <f t="shared" si="66"/>
        <v>0.14488460365204434</v>
      </c>
      <c r="L282" s="45">
        <f t="shared" si="66"/>
        <v>0.2443725684398951</v>
      </c>
      <c r="N282">
        <v>5.0000000000000001E-3</v>
      </c>
      <c r="O282" s="4">
        <f t="shared" ref="O282:O286" si="67">AVERAGE(L253,L170,K84)</f>
        <v>7.8925977074936083E-3</v>
      </c>
      <c r="P282" s="4">
        <f t="shared" ref="P282:P286" si="68">AVERAGE(L259,L176,K90)</f>
        <v>1.5761417239687676E-2</v>
      </c>
      <c r="R282">
        <v>5.0000000000000001E-3</v>
      </c>
      <c r="S282" s="4">
        <f t="shared" ref="S282:S286" si="69">S273/B273</f>
        <v>9.0734097646521291E-3</v>
      </c>
      <c r="T282" s="4">
        <f t="shared" ref="T282:T285" si="70">T273/B279</f>
        <v>3.9306802371286403E-3</v>
      </c>
    </row>
    <row r="283" spans="1:20" x14ac:dyDescent="0.3">
      <c r="A283" t="s">
        <v>79</v>
      </c>
      <c r="B283" s="6">
        <f t="shared" si="55"/>
        <v>41.993763991458707</v>
      </c>
      <c r="C283" s="6">
        <f t="shared" si="55"/>
        <v>0.99998431358892492</v>
      </c>
      <c r="D283">
        <f t="shared" si="56"/>
        <v>1.0284271800467448E-5</v>
      </c>
      <c r="E283" s="4">
        <f t="shared" si="59"/>
        <v>0.61759259259259258</v>
      </c>
      <c r="F283" s="4">
        <f t="shared" si="60"/>
        <v>1.0284271800467448E-5</v>
      </c>
      <c r="H283" s="44">
        <v>0.01</v>
      </c>
      <c r="I283" s="45">
        <f t="shared" si="65"/>
        <v>-0.17783280557276449</v>
      </c>
      <c r="J283" s="45">
        <f t="shared" si="65"/>
        <v>8.0647721914860415E-2</v>
      </c>
      <c r="K283" s="45">
        <f t="shared" si="66"/>
        <v>0.13362073307623873</v>
      </c>
      <c r="L283" s="45">
        <f t="shared" si="66"/>
        <v>0.18539147736938388</v>
      </c>
      <c r="N283">
        <v>0.01</v>
      </c>
      <c r="O283" s="4">
        <f t="shared" si="67"/>
        <v>1.347971820272495E-2</v>
      </c>
      <c r="P283" s="4">
        <f t="shared" si="68"/>
        <v>1.7728520480809976E-2</v>
      </c>
      <c r="R283">
        <v>0.01</v>
      </c>
      <c r="S283" s="4">
        <f t="shared" si="69"/>
        <v>1.0548960941491303E-2</v>
      </c>
      <c r="T283" s="4">
        <f t="shared" si="70"/>
        <v>6.8256340806984277E-3</v>
      </c>
    </row>
    <row r="284" spans="1:20" x14ac:dyDescent="0.3">
      <c r="H284" s="44">
        <v>2.5000000000000001E-2</v>
      </c>
      <c r="I284" s="45">
        <f t="shared" si="65"/>
        <v>-0.23127332308692827</v>
      </c>
      <c r="J284" s="45">
        <f t="shared" si="65"/>
        <v>0.15078598486136965</v>
      </c>
      <c r="K284" s="45">
        <f t="shared" si="66"/>
        <v>5.4517033946734378E-2</v>
      </c>
      <c r="L284" s="45">
        <f t="shared" si="66"/>
        <v>0.55230236636465957</v>
      </c>
      <c r="N284">
        <v>2.5000000000000001E-2</v>
      </c>
      <c r="O284" s="4">
        <f t="shared" si="67"/>
        <v>1.1293481245090352E-2</v>
      </c>
      <c r="P284" s="4">
        <f t="shared" si="68"/>
        <v>1.2861420068086693E-2</v>
      </c>
      <c r="R284">
        <v>2.5000000000000001E-2</v>
      </c>
      <c r="S284" s="4">
        <f t="shared" si="69"/>
        <v>1.4313268831949446E-2</v>
      </c>
      <c r="T284" s="4">
        <f t="shared" si="70"/>
        <v>7.0492201467425731E-3</v>
      </c>
    </row>
    <row r="285" spans="1:20" x14ac:dyDescent="0.3">
      <c r="H285" s="44">
        <v>0.05</v>
      </c>
      <c r="I285" s="45">
        <f t="shared" si="65"/>
        <v>-8.5327148349591556E-2</v>
      </c>
      <c r="J285" s="45">
        <f t="shared" si="65"/>
        <v>2.4846609661611372</v>
      </c>
      <c r="K285" s="45">
        <f t="shared" si="66"/>
        <v>0.13483580147024138</v>
      </c>
      <c r="L285" s="45">
        <f t="shared" si="66"/>
        <v>1.0166744112489912</v>
      </c>
      <c r="N285">
        <v>0.05</v>
      </c>
      <c r="O285" s="4">
        <f t="shared" si="67"/>
        <v>1.6613721743802257E-2</v>
      </c>
      <c r="P285" s="4">
        <f t="shared" si="68"/>
        <v>2.0327427244086215E-2</v>
      </c>
      <c r="R285">
        <v>0.05</v>
      </c>
      <c r="S285" s="4">
        <f t="shared" si="69"/>
        <v>1.1200207211335963E-2</v>
      </c>
      <c r="T285" s="4">
        <f t="shared" si="70"/>
        <v>5.7455924136006961E-5</v>
      </c>
    </row>
    <row r="286" spans="1:20" x14ac:dyDescent="0.3">
      <c r="H286" s="44">
        <v>7.4999999999999997E-2</v>
      </c>
      <c r="I286" s="45">
        <f t="shared" si="65"/>
        <v>0.27530815484494192</v>
      </c>
      <c r="J286" s="45">
        <f t="shared" si="65"/>
        <v>2.672981183332602</v>
      </c>
      <c r="K286" s="45">
        <f t="shared" si="66"/>
        <v>9.5152957398659421E-2</v>
      </c>
      <c r="L286" s="45">
        <f t="shared" si="66"/>
        <v>0.14868051120760023</v>
      </c>
      <c r="N286">
        <v>7.4999999999999997E-2</v>
      </c>
      <c r="O286" s="4">
        <f t="shared" si="67"/>
        <v>3.6541433557843193E-2</v>
      </c>
      <c r="P286" s="4">
        <f t="shared" si="68"/>
        <v>2.8503920290357119E-2</v>
      </c>
      <c r="R286">
        <v>7.4999999999999997E-2</v>
      </c>
      <c r="S286" s="4">
        <f t="shared" si="69"/>
        <v>5.0681466890230859E-3</v>
      </c>
      <c r="T286" s="4">
        <f>T277/B283</f>
        <v>5.7491529332230524E-7</v>
      </c>
    </row>
    <row r="287" spans="1:20" x14ac:dyDescent="0.3">
      <c r="H287" s="33" t="s">
        <v>68</v>
      </c>
    </row>
    <row r="304" spans="3:3" x14ac:dyDescent="0.3">
      <c r="C304" s="39"/>
    </row>
    <row r="305" spans="3:3" x14ac:dyDescent="0.3">
      <c r="C305" s="40"/>
    </row>
    <row r="306" spans="3:3" x14ac:dyDescent="0.3">
      <c r="C306" s="40"/>
    </row>
    <row r="307" spans="3:3" x14ac:dyDescent="0.3">
      <c r="C307" s="39"/>
    </row>
    <row r="308" spans="3:3" x14ac:dyDescent="0.3">
      <c r="C308" s="40"/>
    </row>
    <row r="309" spans="3:3" x14ac:dyDescent="0.3">
      <c r="C309" s="39"/>
    </row>
    <row r="310" spans="3:3" x14ac:dyDescent="0.3">
      <c r="C310" s="40"/>
    </row>
    <row r="311" spans="3:3" x14ac:dyDescent="0.3">
      <c r="C311" s="39"/>
    </row>
    <row r="312" spans="3:3" x14ac:dyDescent="0.3">
      <c r="C312" s="40"/>
    </row>
    <row r="313" spans="3:3" x14ac:dyDescent="0.3">
      <c r="C313" s="40"/>
    </row>
    <row r="314" spans="3:3" x14ac:dyDescent="0.3">
      <c r="C314" s="39"/>
    </row>
    <row r="315" spans="3:3" x14ac:dyDescent="0.3">
      <c r="C315" s="40"/>
    </row>
    <row r="316" spans="3:3" x14ac:dyDescent="0.3">
      <c r="C316" s="39"/>
    </row>
    <row r="317" spans="3:3" x14ac:dyDescent="0.3">
      <c r="C317" s="39"/>
    </row>
    <row r="318" spans="3:3" x14ac:dyDescent="0.3">
      <c r="C318" s="39"/>
    </row>
    <row r="319" spans="3:3" x14ac:dyDescent="0.3">
      <c r="C319" s="39"/>
    </row>
    <row r="320" spans="3:3" x14ac:dyDescent="0.3">
      <c r="C320" s="39"/>
    </row>
    <row r="321" spans="3:3" x14ac:dyDescent="0.3">
      <c r="C321" s="39"/>
    </row>
    <row r="322" spans="3:3" x14ac:dyDescent="0.3">
      <c r="C322" s="39"/>
    </row>
    <row r="323" spans="3:3" x14ac:dyDescent="0.3">
      <c r="C323" s="39"/>
    </row>
    <row r="324" spans="3:3" x14ac:dyDescent="0.3">
      <c r="C324" s="39"/>
    </row>
    <row r="325" spans="3:3" x14ac:dyDescent="0.3">
      <c r="C325" s="39"/>
    </row>
    <row r="326" spans="3:3" x14ac:dyDescent="0.3">
      <c r="C326" s="39"/>
    </row>
    <row r="327" spans="3:3" x14ac:dyDescent="0.3">
      <c r="C327" s="39"/>
    </row>
    <row r="328" spans="3:3" x14ac:dyDescent="0.3">
      <c r="C328" s="39"/>
    </row>
    <row r="329" spans="3:3" x14ac:dyDescent="0.3">
      <c r="C329" s="39"/>
    </row>
    <row r="330" spans="3:3" x14ac:dyDescent="0.3">
      <c r="C330" s="39"/>
    </row>
    <row r="331" spans="3:3" x14ac:dyDescent="0.3">
      <c r="C331" s="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Tet+Kamba</vt:lpstr>
      <vt:lpstr>Tet+Rup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</dc:creator>
  <cp:lastModifiedBy>Brigitta</cp:lastModifiedBy>
  <dcterms:created xsi:type="dcterms:W3CDTF">2018-04-30T21:39:09Z</dcterms:created>
  <dcterms:modified xsi:type="dcterms:W3CDTF">2018-04-30T22:04:47Z</dcterms:modified>
</cp:coreProperties>
</file>