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pivotTables/pivotTable5.xml" ContentType="application/vnd.openxmlformats-officedocument.spreadsheetml.pivotTable+xml"/>
  <Override PartName="/xl/charts/chart10.xml" ContentType="application/vnd.openxmlformats-officedocument.drawingml.chart+xml"/>
  <Override PartName="/xl/pivotTables/pivotTable3.xml" ContentType="application/vnd.openxmlformats-officedocument.spreadsheetml.pivotTable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95" yWindow="-15" windowWidth="36075" windowHeight="15990" tabRatio="909" firstSheet="1" activeTab="1"/>
  </bookViews>
  <sheets>
    <sheet name="Exptl Setup" sheetId="1" r:id="rId1"/>
    <sheet name="Pre-DEA characterisation" sheetId="3" r:id="rId2"/>
    <sheet name="pre-DEA dissolv CO2 plus totals" sheetId="8" r:id="rId3"/>
    <sheet name="Pre DEA CO2" sheetId="17" r:id="rId4"/>
    <sheet name="CO2 - predicted from measured" sheetId="7" r:id="rId5"/>
    <sheet name="post-DEA dissolved CO2" sheetId="10" r:id="rId6"/>
    <sheet name="DEA" sheetId="6" r:id="rId7"/>
    <sheet name="Post-DEA characterisation" sheetId="5" r:id="rId8"/>
    <sheet name="DEA summary" sheetId="15" r:id="rId9"/>
    <sheet name="Dilution Checks" sheetId="14" r:id="rId10"/>
    <sheet name="Workings" sheetId="16" r:id="rId11"/>
  </sheets>
  <definedNames>
    <definedName name="_xlnm._FilterDatabase" localSheetId="1" hidden="1">'Pre-DEA characterisation'!$C$8:$H$249</definedName>
  </definedNames>
  <calcPr calcId="125725"/>
  <pivotCaches>
    <pivotCache cacheId="0" r:id="rId12"/>
    <pivotCache cacheId="1" r:id="rId13"/>
    <pivotCache cacheId="2" r:id="rId14"/>
    <pivotCache cacheId="3" r:id="rId15"/>
    <pivotCache cacheId="4" r:id="rId16"/>
    <pivotCache cacheId="5" r:id="rId17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I78" i="6"/>
  <c r="AH77"/>
  <c r="W8" i="8"/>
  <c r="Q11" i="3"/>
  <c r="R11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R34" s="1"/>
  <c r="Q35"/>
  <c r="R35" s="1"/>
  <c r="Q36"/>
  <c r="R36" s="1"/>
  <c r="Q37"/>
  <c r="R37" s="1"/>
  <c r="Q38"/>
  <c r="R38" s="1"/>
  <c r="Q39"/>
  <c r="R39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48"/>
  <c r="R48" s="1"/>
  <c r="Q49"/>
  <c r="R49" s="1"/>
  <c r="Q50"/>
  <c r="R50" s="1"/>
  <c r="Q51"/>
  <c r="R51" s="1"/>
  <c r="Q52"/>
  <c r="R52" s="1"/>
  <c r="Q53"/>
  <c r="R53" s="1"/>
  <c r="Q54"/>
  <c r="R54" s="1"/>
  <c r="Q55"/>
  <c r="R55" s="1"/>
  <c r="Q56"/>
  <c r="R56" s="1"/>
  <c r="Q57"/>
  <c r="R57" s="1"/>
  <c r="Q58"/>
  <c r="R58" s="1"/>
  <c r="Q59"/>
  <c r="R59" s="1"/>
  <c r="Q60"/>
  <c r="R60" s="1"/>
  <c r="Q61"/>
  <c r="R61" s="1"/>
  <c r="Q62"/>
  <c r="R62" s="1"/>
  <c r="Q63"/>
  <c r="R63" s="1"/>
  <c r="Q64"/>
  <c r="R64" s="1"/>
  <c r="Q65"/>
  <c r="R65" s="1"/>
  <c r="Q66"/>
  <c r="R66" s="1"/>
  <c r="Q67"/>
  <c r="R67" s="1"/>
  <c r="Q68"/>
  <c r="R68" s="1"/>
  <c r="Q69"/>
  <c r="R69" s="1"/>
  <c r="Q70"/>
  <c r="R70" s="1"/>
  <c r="Q71"/>
  <c r="R71" s="1"/>
  <c r="Q72"/>
  <c r="R72" s="1"/>
  <c r="Q73"/>
  <c r="R73" s="1"/>
  <c r="Q74"/>
  <c r="R74" s="1"/>
  <c r="Q75"/>
  <c r="R75" s="1"/>
  <c r="Q76"/>
  <c r="R76" s="1"/>
  <c r="Q77"/>
  <c r="R77" s="1"/>
  <c r="Q78"/>
  <c r="R78" s="1"/>
  <c r="Q79"/>
  <c r="R79" s="1"/>
  <c r="Q80"/>
  <c r="R80" s="1"/>
  <c r="Q81"/>
  <c r="R81" s="1"/>
  <c r="Q82"/>
  <c r="R82" s="1"/>
  <c r="Q83"/>
  <c r="R83" s="1"/>
  <c r="Q84"/>
  <c r="R84" s="1"/>
  <c r="Q85"/>
  <c r="R85" s="1"/>
  <c r="Q86"/>
  <c r="R86" s="1"/>
  <c r="Q87"/>
  <c r="R87" s="1"/>
  <c r="Q88"/>
  <c r="R88" s="1"/>
  <c r="Q89"/>
  <c r="R89" s="1"/>
  <c r="Q90"/>
  <c r="R90" s="1"/>
  <c r="Q91"/>
  <c r="R91" s="1"/>
  <c r="Q92"/>
  <c r="R92" s="1"/>
  <c r="Q93"/>
  <c r="R93" s="1"/>
  <c r="Q94"/>
  <c r="R94" s="1"/>
  <c r="Q95"/>
  <c r="R95" s="1"/>
  <c r="Q96"/>
  <c r="R96" s="1"/>
  <c r="Q97"/>
  <c r="R97" s="1"/>
  <c r="Q98"/>
  <c r="R98" s="1"/>
  <c r="Q99"/>
  <c r="R99" s="1"/>
  <c r="Q100"/>
  <c r="R100" s="1"/>
  <c r="Q101"/>
  <c r="R101" s="1"/>
  <c r="Q102"/>
  <c r="R102" s="1"/>
  <c r="Q103"/>
  <c r="R103" s="1"/>
  <c r="Q104"/>
  <c r="R104" s="1"/>
  <c r="Q105"/>
  <c r="R105" s="1"/>
  <c r="Q106"/>
  <c r="R106" s="1"/>
  <c r="Q107"/>
  <c r="R107" s="1"/>
  <c r="Q108"/>
  <c r="R108" s="1"/>
  <c r="Q109"/>
  <c r="R109" s="1"/>
  <c r="Q110"/>
  <c r="R110" s="1"/>
  <c r="Q111"/>
  <c r="R111" s="1"/>
  <c r="Q112"/>
  <c r="R112" s="1"/>
  <c r="Q113"/>
  <c r="R113" s="1"/>
  <c r="Q114"/>
  <c r="R114" s="1"/>
  <c r="Q115"/>
  <c r="R115" s="1"/>
  <c r="Q116"/>
  <c r="R116" s="1"/>
  <c r="Q117"/>
  <c r="R117" s="1"/>
  <c r="Q118"/>
  <c r="R118" s="1"/>
  <c r="Q119"/>
  <c r="R119" s="1"/>
  <c r="Q120"/>
  <c r="R120" s="1"/>
  <c r="Q121"/>
  <c r="R121" s="1"/>
  <c r="Q122"/>
  <c r="R122" s="1"/>
  <c r="Q123"/>
  <c r="R123" s="1"/>
  <c r="Q124"/>
  <c r="R124" s="1"/>
  <c r="Q125"/>
  <c r="R125" s="1"/>
  <c r="Q126"/>
  <c r="R126" s="1"/>
  <c r="Q127"/>
  <c r="R127" s="1"/>
  <c r="Q128"/>
  <c r="R128" s="1"/>
  <c r="Q129"/>
  <c r="R129" s="1"/>
  <c r="Q130"/>
  <c r="R130" s="1"/>
  <c r="Q131"/>
  <c r="R131" s="1"/>
  <c r="Q132"/>
  <c r="R132" s="1"/>
  <c r="Q133"/>
  <c r="R133" s="1"/>
  <c r="Q134"/>
  <c r="R134" s="1"/>
  <c r="Q135"/>
  <c r="R135" s="1"/>
  <c r="Q136"/>
  <c r="R136" s="1"/>
  <c r="Q137"/>
  <c r="R137" s="1"/>
  <c r="Q138"/>
  <c r="R138" s="1"/>
  <c r="Q139"/>
  <c r="R139" s="1"/>
  <c r="Q140"/>
  <c r="R140" s="1"/>
  <c r="Q141"/>
  <c r="R141" s="1"/>
  <c r="Q142"/>
  <c r="R142" s="1"/>
  <c r="Q143"/>
  <c r="R143" s="1"/>
  <c r="Q144"/>
  <c r="R144" s="1"/>
  <c r="Q145"/>
  <c r="R145" s="1"/>
  <c r="Q146"/>
  <c r="R146" s="1"/>
  <c r="Q147"/>
  <c r="R147" s="1"/>
  <c r="Q148"/>
  <c r="R148" s="1"/>
  <c r="Q149"/>
  <c r="R149" s="1"/>
  <c r="Q150"/>
  <c r="R150" s="1"/>
  <c r="Q151"/>
  <c r="R151" s="1"/>
  <c r="Q152"/>
  <c r="R152" s="1"/>
  <c r="Q153"/>
  <c r="R153" s="1"/>
  <c r="Q154"/>
  <c r="R154" s="1"/>
  <c r="Q155"/>
  <c r="R155" s="1"/>
  <c r="Q156"/>
  <c r="R156" s="1"/>
  <c r="Q157"/>
  <c r="R157" s="1"/>
  <c r="Q158"/>
  <c r="R158" s="1"/>
  <c r="Q159"/>
  <c r="R159" s="1"/>
  <c r="Q160"/>
  <c r="R160" s="1"/>
  <c r="Q161"/>
  <c r="R161" s="1"/>
  <c r="Q162"/>
  <c r="R162" s="1"/>
  <c r="Q163"/>
  <c r="R163" s="1"/>
  <c r="Q164"/>
  <c r="R164" s="1"/>
  <c r="Q165"/>
  <c r="R165" s="1"/>
  <c r="Q166"/>
  <c r="R166" s="1"/>
  <c r="Q167"/>
  <c r="R167" s="1"/>
  <c r="Q168"/>
  <c r="R168" s="1"/>
  <c r="Q169"/>
  <c r="R169" s="1"/>
  <c r="Q170"/>
  <c r="R170" s="1"/>
  <c r="Q171"/>
  <c r="R171" s="1"/>
  <c r="Q172"/>
  <c r="R172" s="1"/>
  <c r="Q173"/>
  <c r="R173" s="1"/>
  <c r="Q174"/>
  <c r="R174" s="1"/>
  <c r="Q175"/>
  <c r="R175" s="1"/>
  <c r="Q176"/>
  <c r="R176" s="1"/>
  <c r="Q177"/>
  <c r="R177" s="1"/>
  <c r="Q178"/>
  <c r="R178" s="1"/>
  <c r="Q179"/>
  <c r="R179" s="1"/>
  <c r="Q180"/>
  <c r="R180" s="1"/>
  <c r="Q181"/>
  <c r="R181" s="1"/>
  <c r="Q182"/>
  <c r="R182" s="1"/>
  <c r="Q183"/>
  <c r="R183" s="1"/>
  <c r="Q184"/>
  <c r="R184" s="1"/>
  <c r="Q185"/>
  <c r="R185" s="1"/>
  <c r="Q186"/>
  <c r="R186" s="1"/>
  <c r="Q187"/>
  <c r="R187" s="1"/>
  <c r="Q188"/>
  <c r="R188" s="1"/>
  <c r="Q189"/>
  <c r="R189" s="1"/>
  <c r="Q190"/>
  <c r="R190" s="1"/>
  <c r="Q191"/>
  <c r="R191" s="1"/>
  <c r="Q192"/>
  <c r="R192" s="1"/>
  <c r="Q193"/>
  <c r="R193" s="1"/>
  <c r="Q194"/>
  <c r="R194" s="1"/>
  <c r="Q195"/>
  <c r="R195" s="1"/>
  <c r="Q196"/>
  <c r="R196" s="1"/>
  <c r="Q197"/>
  <c r="R197" s="1"/>
  <c r="Q198"/>
  <c r="R198" s="1"/>
  <c r="Q199"/>
  <c r="R199" s="1"/>
  <c r="Q200"/>
  <c r="R200" s="1"/>
  <c r="Q201"/>
  <c r="R201" s="1"/>
  <c r="Q202"/>
  <c r="R202" s="1"/>
  <c r="Q203"/>
  <c r="R203" s="1"/>
  <c r="Q204"/>
  <c r="R204" s="1"/>
  <c r="Q205"/>
  <c r="R205" s="1"/>
  <c r="Q206"/>
  <c r="R206" s="1"/>
  <c r="Q207"/>
  <c r="R207" s="1"/>
  <c r="Q208"/>
  <c r="R208" s="1"/>
  <c r="Q209"/>
  <c r="R209" s="1"/>
  <c r="Q210"/>
  <c r="R210" s="1"/>
  <c r="Q211"/>
  <c r="R211" s="1"/>
  <c r="Q212"/>
  <c r="R212" s="1"/>
  <c r="Q213"/>
  <c r="R213" s="1"/>
  <c r="Q214"/>
  <c r="R214" s="1"/>
  <c r="Q215"/>
  <c r="R215" s="1"/>
  <c r="Q216"/>
  <c r="R216" s="1"/>
  <c r="Q217"/>
  <c r="R217" s="1"/>
  <c r="Q218"/>
  <c r="R218" s="1"/>
  <c r="Q219"/>
  <c r="R219" s="1"/>
  <c r="Q220"/>
  <c r="R220" s="1"/>
  <c r="Q221"/>
  <c r="R221" s="1"/>
  <c r="Q222"/>
  <c r="R222" s="1"/>
  <c r="Q223"/>
  <c r="R223" s="1"/>
  <c r="Q224"/>
  <c r="R224" s="1"/>
  <c r="Q225"/>
  <c r="R225" s="1"/>
  <c r="Q226"/>
  <c r="R226" s="1"/>
  <c r="Q227"/>
  <c r="R227" s="1"/>
  <c r="Q228"/>
  <c r="R228" s="1"/>
  <c r="Q229"/>
  <c r="R229" s="1"/>
  <c r="Q230"/>
  <c r="R230" s="1"/>
  <c r="Q231"/>
  <c r="R231" s="1"/>
  <c r="Q232"/>
  <c r="R232" s="1"/>
  <c r="Q233"/>
  <c r="R233" s="1"/>
  <c r="Q234"/>
  <c r="R234" s="1"/>
  <c r="Q235"/>
  <c r="R235" s="1"/>
  <c r="Q236"/>
  <c r="R236" s="1"/>
  <c r="Q237"/>
  <c r="R237" s="1"/>
  <c r="Q238"/>
  <c r="R238" s="1"/>
  <c r="Q239"/>
  <c r="R239" s="1"/>
  <c r="Q240"/>
  <c r="R240" s="1"/>
  <c r="Q241"/>
  <c r="R241" s="1"/>
  <c r="Q242"/>
  <c r="R242" s="1"/>
  <c r="Q243"/>
  <c r="R243" s="1"/>
  <c r="Q244"/>
  <c r="R244" s="1"/>
  <c r="Q245"/>
  <c r="R245" s="1"/>
  <c r="Q246"/>
  <c r="R246" s="1"/>
  <c r="Q247"/>
  <c r="R247" s="1"/>
  <c r="Q248"/>
  <c r="R248" s="1"/>
  <c r="Q249"/>
  <c r="R249" s="1"/>
  <c r="R24" i="6"/>
  <c r="W9" i="8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Q10" i="3"/>
  <c r="R10" s="1"/>
  <c r="Q24" i="6"/>
  <c r="Y126" i="8"/>
  <c r="X126"/>
  <c r="V126"/>
  <c r="X8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J127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L103"/>
  <c r="V9"/>
  <c r="X9"/>
  <c r="Y9"/>
  <c r="Z9" s="1"/>
  <c r="V10"/>
  <c r="X10"/>
  <c r="Y10"/>
  <c r="Z10" s="1"/>
  <c r="V11"/>
  <c r="X11"/>
  <c r="Y11"/>
  <c r="Z11" s="1"/>
  <c r="V12"/>
  <c r="X12"/>
  <c r="Y12"/>
  <c r="Z12" s="1"/>
  <c r="V13"/>
  <c r="X13"/>
  <c r="Y13"/>
  <c r="Z13" s="1"/>
  <c r="V14"/>
  <c r="X14"/>
  <c r="Y14"/>
  <c r="Z14" s="1"/>
  <c r="V15"/>
  <c r="X15"/>
  <c r="Y15"/>
  <c r="Z15" s="1"/>
  <c r="V16"/>
  <c r="X16"/>
  <c r="Y16"/>
  <c r="Z16" s="1"/>
  <c r="V17"/>
  <c r="X17"/>
  <c r="Y17"/>
  <c r="Z17" s="1"/>
  <c r="V18"/>
  <c r="X18"/>
  <c r="Y18"/>
  <c r="Z18" s="1"/>
  <c r="V19"/>
  <c r="X19"/>
  <c r="Y19"/>
  <c r="Z19" s="1"/>
  <c r="V20"/>
  <c r="X20"/>
  <c r="Y20"/>
  <c r="Z20" s="1"/>
  <c r="V21"/>
  <c r="X21"/>
  <c r="Y21"/>
  <c r="Z21" s="1"/>
  <c r="V22"/>
  <c r="X22"/>
  <c r="Y22"/>
  <c r="Z22" s="1"/>
  <c r="V23"/>
  <c r="X23"/>
  <c r="Y23"/>
  <c r="Z23" s="1"/>
  <c r="V24"/>
  <c r="X24"/>
  <c r="Y24"/>
  <c r="Z24" s="1"/>
  <c r="V25"/>
  <c r="X25"/>
  <c r="Y25"/>
  <c r="Z25" s="1"/>
  <c r="V26"/>
  <c r="X26"/>
  <c r="Y26"/>
  <c r="Z26" s="1"/>
  <c r="V27"/>
  <c r="X27"/>
  <c r="Y27"/>
  <c r="Z27" s="1"/>
  <c r="V28"/>
  <c r="X28"/>
  <c r="Y28"/>
  <c r="Z28" s="1"/>
  <c r="V29"/>
  <c r="X29"/>
  <c r="Y29"/>
  <c r="Z29" s="1"/>
  <c r="V30"/>
  <c r="X30"/>
  <c r="Y30"/>
  <c r="Z30" s="1"/>
  <c r="V31"/>
  <c r="X31"/>
  <c r="Y31"/>
  <c r="Z31" s="1"/>
  <c r="V32"/>
  <c r="X32"/>
  <c r="Y32"/>
  <c r="Z32" s="1"/>
  <c r="V33"/>
  <c r="X33"/>
  <c r="Y33"/>
  <c r="Z33" s="1"/>
  <c r="V34"/>
  <c r="X34"/>
  <c r="Y34"/>
  <c r="Z34" s="1"/>
  <c r="V35"/>
  <c r="X35"/>
  <c r="Y35"/>
  <c r="Z35" s="1"/>
  <c r="V36"/>
  <c r="X36"/>
  <c r="Y36"/>
  <c r="Z36" s="1"/>
  <c r="V37"/>
  <c r="X37"/>
  <c r="Y37"/>
  <c r="Z37" s="1"/>
  <c r="V38"/>
  <c r="X38"/>
  <c r="Y38"/>
  <c r="Z38" s="1"/>
  <c r="V39"/>
  <c r="X39"/>
  <c r="Y39"/>
  <c r="Z39" s="1"/>
  <c r="V40"/>
  <c r="X40"/>
  <c r="Y40"/>
  <c r="Z40" s="1"/>
  <c r="V41"/>
  <c r="X41"/>
  <c r="Y41"/>
  <c r="Z41" s="1"/>
  <c r="V42"/>
  <c r="X42"/>
  <c r="Y42"/>
  <c r="Z42" s="1"/>
  <c r="V43"/>
  <c r="X43"/>
  <c r="Y43"/>
  <c r="Z43" s="1"/>
  <c r="V44"/>
  <c r="X44"/>
  <c r="Y44"/>
  <c r="Z44" s="1"/>
  <c r="V45"/>
  <c r="X45"/>
  <c r="Y45"/>
  <c r="Z45" s="1"/>
  <c r="V46"/>
  <c r="X46"/>
  <c r="Y46"/>
  <c r="Z46" s="1"/>
  <c r="V47"/>
  <c r="X47"/>
  <c r="Y47"/>
  <c r="Z47" s="1"/>
  <c r="V48"/>
  <c r="X48"/>
  <c r="Y48"/>
  <c r="Z48" s="1"/>
  <c r="V49"/>
  <c r="X49"/>
  <c r="Y49"/>
  <c r="Z49" s="1"/>
  <c r="V50"/>
  <c r="X50"/>
  <c r="Y50"/>
  <c r="Z50" s="1"/>
  <c r="V51"/>
  <c r="X51"/>
  <c r="Y51"/>
  <c r="Z51" s="1"/>
  <c r="V52"/>
  <c r="X52"/>
  <c r="Y52"/>
  <c r="Z52" s="1"/>
  <c r="V53"/>
  <c r="X53"/>
  <c r="Y53"/>
  <c r="Z53" s="1"/>
  <c r="V54"/>
  <c r="X54"/>
  <c r="Y54"/>
  <c r="Z54" s="1"/>
  <c r="V55"/>
  <c r="X55"/>
  <c r="Y55"/>
  <c r="Z55" s="1"/>
  <c r="V56"/>
  <c r="X56"/>
  <c r="Y56"/>
  <c r="Z56" s="1"/>
  <c r="V57"/>
  <c r="X57"/>
  <c r="Y57"/>
  <c r="Z57" s="1"/>
  <c r="V58"/>
  <c r="X58"/>
  <c r="Y58"/>
  <c r="Z58" s="1"/>
  <c r="V59"/>
  <c r="X59"/>
  <c r="Y59"/>
  <c r="Z59" s="1"/>
  <c r="V60"/>
  <c r="X60"/>
  <c r="Y60"/>
  <c r="Z60" s="1"/>
  <c r="V61"/>
  <c r="X61"/>
  <c r="Y61"/>
  <c r="Z61" s="1"/>
  <c r="V62"/>
  <c r="X62"/>
  <c r="Y62"/>
  <c r="Z62" s="1"/>
  <c r="V63"/>
  <c r="X63"/>
  <c r="Y63"/>
  <c r="Z63" s="1"/>
  <c r="V64"/>
  <c r="X64"/>
  <c r="Y64"/>
  <c r="Z64" s="1"/>
  <c r="V65"/>
  <c r="X65"/>
  <c r="Y65"/>
  <c r="Z65" s="1"/>
  <c r="V66"/>
  <c r="X66"/>
  <c r="Y66"/>
  <c r="Z66" s="1"/>
  <c r="V67"/>
  <c r="X67"/>
  <c r="Y67"/>
  <c r="Z67" s="1"/>
  <c r="V68"/>
  <c r="X68"/>
  <c r="Y68"/>
  <c r="Z68" s="1"/>
  <c r="V69"/>
  <c r="X69"/>
  <c r="Y69"/>
  <c r="Z69" s="1"/>
  <c r="V70"/>
  <c r="X70"/>
  <c r="Y70"/>
  <c r="Z70" s="1"/>
  <c r="V71"/>
  <c r="X71"/>
  <c r="Y71"/>
  <c r="Z71" s="1"/>
  <c r="V72"/>
  <c r="X72"/>
  <c r="Y72"/>
  <c r="Z72" s="1"/>
  <c r="V73"/>
  <c r="X73"/>
  <c r="Y73"/>
  <c r="Z73" s="1"/>
  <c r="V74"/>
  <c r="X74"/>
  <c r="Y74"/>
  <c r="Z74" s="1"/>
  <c r="V75"/>
  <c r="X75"/>
  <c r="Y75"/>
  <c r="Z75" s="1"/>
  <c r="V76"/>
  <c r="X76"/>
  <c r="Y76"/>
  <c r="Z76" s="1"/>
  <c r="V77"/>
  <c r="X77"/>
  <c r="Y77"/>
  <c r="Z77" s="1"/>
  <c r="V78"/>
  <c r="X78"/>
  <c r="Y78"/>
  <c r="Z78" s="1"/>
  <c r="V79"/>
  <c r="X79"/>
  <c r="Y79"/>
  <c r="Z79" s="1"/>
  <c r="V80"/>
  <c r="X80"/>
  <c r="Y80"/>
  <c r="Z80" s="1"/>
  <c r="V81"/>
  <c r="X81"/>
  <c r="Y81"/>
  <c r="Z81" s="1"/>
  <c r="V82"/>
  <c r="X82"/>
  <c r="Y82"/>
  <c r="Z82" s="1"/>
  <c r="V83"/>
  <c r="X83"/>
  <c r="Y83"/>
  <c r="Z83" s="1"/>
  <c r="V84"/>
  <c r="X84"/>
  <c r="Y84"/>
  <c r="Z84" s="1"/>
  <c r="V85"/>
  <c r="X85"/>
  <c r="Y85"/>
  <c r="Z85" s="1"/>
  <c r="V86"/>
  <c r="X86"/>
  <c r="Y86"/>
  <c r="Z86" s="1"/>
  <c r="V87"/>
  <c r="X87"/>
  <c r="Y87"/>
  <c r="Z87" s="1"/>
  <c r="V88"/>
  <c r="X88"/>
  <c r="Y88"/>
  <c r="Z88" s="1"/>
  <c r="V89"/>
  <c r="X89"/>
  <c r="Y89"/>
  <c r="Z89" s="1"/>
  <c r="V90"/>
  <c r="X90"/>
  <c r="Y90"/>
  <c r="Z90" s="1"/>
  <c r="V91"/>
  <c r="X91"/>
  <c r="Y91"/>
  <c r="Z91" s="1"/>
  <c r="V92"/>
  <c r="X92"/>
  <c r="Y92"/>
  <c r="Z92" s="1"/>
  <c r="V93"/>
  <c r="X93"/>
  <c r="Y93"/>
  <c r="Z93" s="1"/>
  <c r="V94"/>
  <c r="X94"/>
  <c r="Y94"/>
  <c r="Z94" s="1"/>
  <c r="V95"/>
  <c r="X95"/>
  <c r="Y95"/>
  <c r="Z95" s="1"/>
  <c r="V96"/>
  <c r="X96"/>
  <c r="Y96"/>
  <c r="Z96" s="1"/>
  <c r="V97"/>
  <c r="X97"/>
  <c r="Y97"/>
  <c r="Z97" s="1"/>
  <c r="V98"/>
  <c r="X98"/>
  <c r="Y98"/>
  <c r="Z98" s="1"/>
  <c r="V99"/>
  <c r="X99"/>
  <c r="Y99"/>
  <c r="Z99" s="1"/>
  <c r="V100"/>
  <c r="X100"/>
  <c r="Y100"/>
  <c r="Z100" s="1"/>
  <c r="V101"/>
  <c r="X101"/>
  <c r="Y101"/>
  <c r="Z101" s="1"/>
  <c r="V102"/>
  <c r="X102"/>
  <c r="Y102"/>
  <c r="Z102" s="1"/>
  <c r="V103"/>
  <c r="X103"/>
  <c r="Y103"/>
  <c r="Z103" s="1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7"/>
  <c r="Y8"/>
  <c r="Z8" s="1"/>
  <c r="V8"/>
  <c r="R9" i="7"/>
  <c r="AF9"/>
  <c r="V10" i="3"/>
  <c r="AR9" i="7"/>
  <c r="N7" i="10"/>
  <c r="M7"/>
  <c r="BZ48" i="7"/>
  <c r="BZ47"/>
  <c r="BZ46"/>
  <c r="BZ45"/>
  <c r="BZ44"/>
  <c r="BZ43"/>
  <c r="BZ42"/>
  <c r="BZ41"/>
  <c r="BZ40"/>
  <c r="BZ39"/>
  <c r="BZ38"/>
  <c r="BZ37"/>
  <c r="BZ36"/>
  <c r="BZ35"/>
  <c r="BZ34"/>
  <c r="BZ33"/>
  <c r="BZ32"/>
  <c r="BZ31"/>
  <c r="BZ30"/>
  <c r="BZ29"/>
  <c r="BZ28"/>
  <c r="BZ27"/>
  <c r="BZ26"/>
  <c r="BZ25"/>
  <c r="BZ24"/>
  <c r="BZ23"/>
  <c r="BZ22"/>
  <c r="BZ21"/>
  <c r="BZ20"/>
  <c r="BZ19"/>
  <c r="BZ18"/>
  <c r="BZ17"/>
  <c r="BZ16"/>
  <c r="BZ15"/>
  <c r="BZ14"/>
  <c r="BZ13"/>
  <c r="BZ12"/>
  <c r="BZ11"/>
  <c r="BZ10"/>
  <c r="BZ9"/>
  <c r="BV48"/>
  <c r="BV47"/>
  <c r="BV46"/>
  <c r="BV45"/>
  <c r="BV44"/>
  <c r="BV43"/>
  <c r="BV42"/>
  <c r="BV41"/>
  <c r="BV40"/>
  <c r="BV39"/>
  <c r="BV38"/>
  <c r="BV37"/>
  <c r="BV36"/>
  <c r="BV35"/>
  <c r="BV34"/>
  <c r="BV33"/>
  <c r="BV32"/>
  <c r="BV31"/>
  <c r="BV30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U11"/>
  <c r="BY44"/>
  <c r="F115"/>
  <c r="F116"/>
  <c r="BU44"/>
  <c r="F114"/>
  <c r="BY34"/>
  <c r="F84"/>
  <c r="F85"/>
  <c r="BU34"/>
  <c r="BY28"/>
  <c r="F66"/>
  <c r="F68"/>
  <c r="BU28"/>
  <c r="F67"/>
  <c r="BY26"/>
  <c r="F61"/>
  <c r="F62"/>
  <c r="BU26"/>
  <c r="F60"/>
  <c r="BY21"/>
  <c r="F45"/>
  <c r="F46"/>
  <c r="BU21"/>
  <c r="BR21"/>
  <c r="BY19"/>
  <c r="F39"/>
  <c r="F41"/>
  <c r="BU19"/>
  <c r="F40"/>
  <c r="BY11"/>
  <c r="F16"/>
  <c r="F17"/>
  <c r="F18"/>
  <c r="F15"/>
  <c r="BY9"/>
  <c r="F9"/>
  <c r="F10"/>
  <c r="BU9"/>
  <c r="F11"/>
  <c r="BR35"/>
  <c r="F87"/>
  <c r="F88"/>
  <c r="F89"/>
  <c r="AM87"/>
  <c r="J3"/>
  <c r="J4"/>
  <c r="R87"/>
  <c r="AM88"/>
  <c r="R88"/>
  <c r="AM89"/>
  <c r="R89"/>
  <c r="Y87"/>
  <c r="Y88"/>
  <c r="Y89"/>
  <c r="AF87"/>
  <c r="AF88"/>
  <c r="AF89"/>
  <c r="BU35"/>
  <c r="BY35"/>
  <c r="BR36"/>
  <c r="F90"/>
  <c r="F91"/>
  <c r="F92"/>
  <c r="AM90"/>
  <c r="R90"/>
  <c r="AM91"/>
  <c r="R91"/>
  <c r="AM92"/>
  <c r="R92"/>
  <c r="Y90"/>
  <c r="Y91"/>
  <c r="Y92"/>
  <c r="AF90"/>
  <c r="AF91"/>
  <c r="AF92"/>
  <c r="BU36"/>
  <c r="BY36"/>
  <c r="BR37"/>
  <c r="F93"/>
  <c r="F94"/>
  <c r="F95"/>
  <c r="AM93"/>
  <c r="R93"/>
  <c r="AM94"/>
  <c r="R94"/>
  <c r="AM95"/>
  <c r="R95"/>
  <c r="Y93"/>
  <c r="Y94"/>
  <c r="Y95"/>
  <c r="AF93"/>
  <c r="AF94"/>
  <c r="AF95"/>
  <c r="BU37"/>
  <c r="BY37"/>
  <c r="BR38"/>
  <c r="F96"/>
  <c r="F97"/>
  <c r="F98"/>
  <c r="AM96"/>
  <c r="R96"/>
  <c r="AM97"/>
  <c r="R97"/>
  <c r="AM98"/>
  <c r="R98"/>
  <c r="Y96"/>
  <c r="Y97"/>
  <c r="Y98"/>
  <c r="AF96"/>
  <c r="AF97"/>
  <c r="AF98"/>
  <c r="BU38"/>
  <c r="BY38"/>
  <c r="BR39"/>
  <c r="F99"/>
  <c r="F100"/>
  <c r="F101"/>
  <c r="AM99"/>
  <c r="R99"/>
  <c r="AM100"/>
  <c r="R100"/>
  <c r="AM101"/>
  <c r="R101"/>
  <c r="Y99"/>
  <c r="Y100"/>
  <c r="Y101"/>
  <c r="AF99"/>
  <c r="AF100"/>
  <c r="AF101"/>
  <c r="BU39"/>
  <c r="BY39"/>
  <c r="BR40"/>
  <c r="F102"/>
  <c r="F103"/>
  <c r="F104"/>
  <c r="AM102"/>
  <c r="R102"/>
  <c r="AM103"/>
  <c r="R103"/>
  <c r="AM104"/>
  <c r="R104"/>
  <c r="Y102"/>
  <c r="Y103"/>
  <c r="Y104"/>
  <c r="AF102"/>
  <c r="AF103"/>
  <c r="AF104"/>
  <c r="BU40"/>
  <c r="BY40"/>
  <c r="BR41"/>
  <c r="F105"/>
  <c r="F106"/>
  <c r="F107"/>
  <c r="AM105"/>
  <c r="R105"/>
  <c r="AM106"/>
  <c r="R106"/>
  <c r="AM107"/>
  <c r="R107"/>
  <c r="Y105"/>
  <c r="Y106"/>
  <c r="Y107"/>
  <c r="AF105"/>
  <c r="AF106"/>
  <c r="AF107"/>
  <c r="BU41"/>
  <c r="BY41"/>
  <c r="BR42"/>
  <c r="F108"/>
  <c r="F109"/>
  <c r="F110"/>
  <c r="AM108"/>
  <c r="R108"/>
  <c r="AM109"/>
  <c r="R109"/>
  <c r="AM110"/>
  <c r="R110"/>
  <c r="Y108"/>
  <c r="Y109"/>
  <c r="Y110"/>
  <c r="AF108"/>
  <c r="AF109"/>
  <c r="AF110"/>
  <c r="BU42"/>
  <c r="BY42"/>
  <c r="BY48"/>
  <c r="F12"/>
  <c r="AM10"/>
  <c r="AM11"/>
  <c r="AM12"/>
  <c r="R10"/>
  <c r="R11"/>
  <c r="R12"/>
  <c r="Y10"/>
  <c r="Y11"/>
  <c r="Y12"/>
  <c r="AF10"/>
  <c r="AF11"/>
  <c r="AF12"/>
  <c r="F13"/>
  <c r="AM13"/>
  <c r="R13"/>
  <c r="Y13"/>
  <c r="AF13"/>
  <c r="BR10"/>
  <c r="F14"/>
  <c r="AM14"/>
  <c r="R14"/>
  <c r="Y14"/>
  <c r="AF14"/>
  <c r="BU10"/>
  <c r="BY10"/>
  <c r="AM15"/>
  <c r="R15"/>
  <c r="Y15"/>
  <c r="AF15"/>
  <c r="AM16"/>
  <c r="R16"/>
  <c r="Y16"/>
  <c r="AF16"/>
  <c r="BR11"/>
  <c r="AM17"/>
  <c r="R17"/>
  <c r="Y17"/>
  <c r="AF17"/>
  <c r="AM18"/>
  <c r="R18"/>
  <c r="Y18"/>
  <c r="AF18"/>
  <c r="F19"/>
  <c r="AM19"/>
  <c r="R19"/>
  <c r="Y19"/>
  <c r="AF19"/>
  <c r="BR12"/>
  <c r="F20"/>
  <c r="AM20"/>
  <c r="R20"/>
  <c r="Y20"/>
  <c r="AF20"/>
  <c r="BU12"/>
  <c r="BY12"/>
  <c r="F21"/>
  <c r="AM21"/>
  <c r="R21"/>
  <c r="Y21"/>
  <c r="AF21"/>
  <c r="F22"/>
  <c r="AM22"/>
  <c r="R22"/>
  <c r="Y22"/>
  <c r="AF22"/>
  <c r="BR13"/>
  <c r="F23"/>
  <c r="AM23"/>
  <c r="R23"/>
  <c r="Y23"/>
  <c r="AF23"/>
  <c r="BU13"/>
  <c r="BY13"/>
  <c r="F24"/>
  <c r="AM24"/>
  <c r="R24"/>
  <c r="Y24"/>
  <c r="AF24"/>
  <c r="F25"/>
  <c r="AM25"/>
  <c r="R25"/>
  <c r="Y25"/>
  <c r="AF25"/>
  <c r="BR14"/>
  <c r="F26"/>
  <c r="AM26"/>
  <c r="R26"/>
  <c r="Y26"/>
  <c r="AF26"/>
  <c r="BU14"/>
  <c r="BY14"/>
  <c r="F27"/>
  <c r="AM27"/>
  <c r="R27"/>
  <c r="Y27"/>
  <c r="AF27"/>
  <c r="F28"/>
  <c r="AM28"/>
  <c r="R28"/>
  <c r="Y28"/>
  <c r="AF28"/>
  <c r="BR15"/>
  <c r="F29"/>
  <c r="AM29"/>
  <c r="R29"/>
  <c r="Y29"/>
  <c r="AF29"/>
  <c r="BU15"/>
  <c r="BY15"/>
  <c r="F30"/>
  <c r="AM30"/>
  <c r="R30"/>
  <c r="Y30"/>
  <c r="AF30"/>
  <c r="F31"/>
  <c r="AM31"/>
  <c r="R31"/>
  <c r="Y31"/>
  <c r="AF31"/>
  <c r="BR16"/>
  <c r="F32"/>
  <c r="AM32"/>
  <c r="R32"/>
  <c r="Y32"/>
  <c r="AF32"/>
  <c r="BU16"/>
  <c r="BY16"/>
  <c r="F33"/>
  <c r="AM33"/>
  <c r="R33"/>
  <c r="Y33"/>
  <c r="AF33"/>
  <c r="F34"/>
  <c r="AM34"/>
  <c r="R34"/>
  <c r="Y34"/>
  <c r="AF34"/>
  <c r="BR17"/>
  <c r="F35"/>
  <c r="AM35"/>
  <c r="R35"/>
  <c r="Y35"/>
  <c r="AF35"/>
  <c r="BU17"/>
  <c r="BY17"/>
  <c r="F36"/>
  <c r="AM36"/>
  <c r="R36"/>
  <c r="Y36"/>
  <c r="AF36"/>
  <c r="F37"/>
  <c r="AM37"/>
  <c r="R37"/>
  <c r="Y37"/>
  <c r="AF37"/>
  <c r="BR18"/>
  <c r="F38"/>
  <c r="AM38"/>
  <c r="R38"/>
  <c r="Y38"/>
  <c r="AF38"/>
  <c r="BU18"/>
  <c r="BY18"/>
  <c r="AM39"/>
  <c r="R39"/>
  <c r="Y39"/>
  <c r="AF39"/>
  <c r="AM40"/>
  <c r="R40"/>
  <c r="Y40"/>
  <c r="AF40"/>
  <c r="BR19"/>
  <c r="AM41"/>
  <c r="R41"/>
  <c r="Y41"/>
  <c r="AF41"/>
  <c r="F42"/>
  <c r="AM42"/>
  <c r="R42"/>
  <c r="Y42"/>
  <c r="AF42"/>
  <c r="F43"/>
  <c r="AM43"/>
  <c r="R43"/>
  <c r="Y43"/>
  <c r="AF43"/>
  <c r="BR20"/>
  <c r="F44"/>
  <c r="AM44"/>
  <c r="R44"/>
  <c r="Y44"/>
  <c r="AF44"/>
  <c r="BU20"/>
  <c r="BY20"/>
  <c r="AM45"/>
  <c r="R45"/>
  <c r="Y45"/>
  <c r="AF45"/>
  <c r="AM46"/>
  <c r="R46"/>
  <c r="Y46"/>
  <c r="AF46"/>
  <c r="F47"/>
  <c r="AM47"/>
  <c r="R47"/>
  <c r="Y47"/>
  <c r="AF47"/>
  <c r="F48"/>
  <c r="AM48"/>
  <c r="R48"/>
  <c r="Y48"/>
  <c r="AF48"/>
  <c r="F49"/>
  <c r="AM49"/>
  <c r="R49"/>
  <c r="Y49"/>
  <c r="AF49"/>
  <c r="BR22"/>
  <c r="F50"/>
  <c r="AM50"/>
  <c r="R50"/>
  <c r="Y50"/>
  <c r="AF50"/>
  <c r="BU22"/>
  <c r="BY22"/>
  <c r="F51"/>
  <c r="AM51"/>
  <c r="R51"/>
  <c r="Y51"/>
  <c r="AF51"/>
  <c r="F52"/>
  <c r="AM52"/>
  <c r="R52"/>
  <c r="Y52"/>
  <c r="AF52"/>
  <c r="BR23"/>
  <c r="F53"/>
  <c r="AM53"/>
  <c r="R53"/>
  <c r="Y53"/>
  <c r="AF53"/>
  <c r="BU23"/>
  <c r="BY23"/>
  <c r="F54"/>
  <c r="AM54"/>
  <c r="R54"/>
  <c r="Y54"/>
  <c r="AF54"/>
  <c r="F55"/>
  <c r="AM55"/>
  <c r="R55"/>
  <c r="Y55"/>
  <c r="AF55"/>
  <c r="BR24"/>
  <c r="F56"/>
  <c r="AM56"/>
  <c r="R56"/>
  <c r="Y56"/>
  <c r="AF56"/>
  <c r="BU24"/>
  <c r="BY24"/>
  <c r="F57"/>
  <c r="AM57"/>
  <c r="R57"/>
  <c r="Y57"/>
  <c r="AF57"/>
  <c r="F58"/>
  <c r="AM58"/>
  <c r="R58"/>
  <c r="Y58"/>
  <c r="AF58"/>
  <c r="BR25"/>
  <c r="F59"/>
  <c r="AM59"/>
  <c r="R59"/>
  <c r="Y59"/>
  <c r="AF59"/>
  <c r="BU25"/>
  <c r="BY25"/>
  <c r="AM60"/>
  <c r="R60"/>
  <c r="Y60"/>
  <c r="AF60"/>
  <c r="AM61"/>
  <c r="R61"/>
  <c r="Y61"/>
  <c r="AF61"/>
  <c r="BR26"/>
  <c r="AM62"/>
  <c r="R62"/>
  <c r="Y62"/>
  <c r="AF62"/>
  <c r="F63"/>
  <c r="AM63"/>
  <c r="R63"/>
  <c r="Y63"/>
  <c r="AF63"/>
  <c r="F64"/>
  <c r="AM64"/>
  <c r="R64"/>
  <c r="Y64"/>
  <c r="AF64"/>
  <c r="BR27"/>
  <c r="F65"/>
  <c r="AM65"/>
  <c r="R65"/>
  <c r="Y65"/>
  <c r="AF65"/>
  <c r="BU27"/>
  <c r="BY27"/>
  <c r="AM66"/>
  <c r="R66"/>
  <c r="Y66"/>
  <c r="AF66"/>
  <c r="AM67"/>
  <c r="R67"/>
  <c r="Y67"/>
  <c r="AF67"/>
  <c r="BR28"/>
  <c r="AM68"/>
  <c r="R68"/>
  <c r="Y68"/>
  <c r="AF68"/>
  <c r="F69"/>
  <c r="AM69"/>
  <c r="R69"/>
  <c r="Y69"/>
  <c r="AF69"/>
  <c r="F70"/>
  <c r="AM70"/>
  <c r="R70"/>
  <c r="Y70"/>
  <c r="AF70"/>
  <c r="BR29"/>
  <c r="F71"/>
  <c r="AM71"/>
  <c r="R71"/>
  <c r="Y71"/>
  <c r="AF71"/>
  <c r="BU29"/>
  <c r="BY29"/>
  <c r="F72"/>
  <c r="AM72"/>
  <c r="R72"/>
  <c r="Y72"/>
  <c r="AF72"/>
  <c r="F73"/>
  <c r="AM73"/>
  <c r="R73"/>
  <c r="Y73"/>
  <c r="AF73"/>
  <c r="BR30"/>
  <c r="F74"/>
  <c r="AM74"/>
  <c r="R74"/>
  <c r="Y74"/>
  <c r="AF74"/>
  <c r="BU30"/>
  <c r="BY30"/>
  <c r="F75"/>
  <c r="AM75"/>
  <c r="R75"/>
  <c r="Y75"/>
  <c r="AF75"/>
  <c r="F76"/>
  <c r="AM76"/>
  <c r="R76"/>
  <c r="Y76"/>
  <c r="AF76"/>
  <c r="BR31"/>
  <c r="F77"/>
  <c r="AM77"/>
  <c r="R77"/>
  <c r="Y77"/>
  <c r="AF77"/>
  <c r="BU31"/>
  <c r="BY31"/>
  <c r="F78"/>
  <c r="AM78"/>
  <c r="R78"/>
  <c r="Y78"/>
  <c r="AF78"/>
  <c r="F79"/>
  <c r="AM79"/>
  <c r="R79"/>
  <c r="Y79"/>
  <c r="AF79"/>
  <c r="BR32"/>
  <c r="F80"/>
  <c r="AM80"/>
  <c r="R80"/>
  <c r="Y80"/>
  <c r="AF80"/>
  <c r="BU32"/>
  <c r="BY32"/>
  <c r="F81"/>
  <c r="AM81"/>
  <c r="R81"/>
  <c r="Y81"/>
  <c r="AF81"/>
  <c r="F82"/>
  <c r="AM82"/>
  <c r="R82"/>
  <c r="Y82"/>
  <c r="AF82"/>
  <c r="BR33"/>
  <c r="F83"/>
  <c r="AM83"/>
  <c r="R83"/>
  <c r="Y83"/>
  <c r="AF83"/>
  <c r="BU33"/>
  <c r="BY33"/>
  <c r="AM84"/>
  <c r="R84"/>
  <c r="Y84"/>
  <c r="AF84"/>
  <c r="AM85"/>
  <c r="R85"/>
  <c r="Y85"/>
  <c r="AF85"/>
  <c r="BR34"/>
  <c r="F86"/>
  <c r="AM86"/>
  <c r="R86"/>
  <c r="Y86"/>
  <c r="AF86"/>
  <c r="F111"/>
  <c r="AM111"/>
  <c r="R111"/>
  <c r="Y111"/>
  <c r="AF111"/>
  <c r="F112"/>
  <c r="AM112"/>
  <c r="R112"/>
  <c r="Y112"/>
  <c r="AF112"/>
  <c r="BR43"/>
  <c r="F113"/>
  <c r="AM113"/>
  <c r="R113"/>
  <c r="Y113"/>
  <c r="AF113"/>
  <c r="BU43"/>
  <c r="BY43"/>
  <c r="AM114"/>
  <c r="R114"/>
  <c r="Y114"/>
  <c r="AF114"/>
  <c r="AM115"/>
  <c r="R115"/>
  <c r="Y115"/>
  <c r="AF115"/>
  <c r="BR44"/>
  <c r="AM116"/>
  <c r="R116"/>
  <c r="Y116"/>
  <c r="AF116"/>
  <c r="F117"/>
  <c r="AM117"/>
  <c r="R117"/>
  <c r="Y117"/>
  <c r="AF117"/>
  <c r="F118"/>
  <c r="AM118"/>
  <c r="R118"/>
  <c r="Y118"/>
  <c r="AF118"/>
  <c r="BR45"/>
  <c r="F119"/>
  <c r="AM119"/>
  <c r="R119"/>
  <c r="Y119"/>
  <c r="AF119"/>
  <c r="BU45"/>
  <c r="BY45"/>
  <c r="F120"/>
  <c r="AM120"/>
  <c r="R120"/>
  <c r="Y120"/>
  <c r="AF120"/>
  <c r="F121"/>
  <c r="AM121"/>
  <c r="R121"/>
  <c r="Y121"/>
  <c r="AF121"/>
  <c r="BR46"/>
  <c r="F122"/>
  <c r="AM122"/>
  <c r="R122"/>
  <c r="Y122"/>
  <c r="AF122"/>
  <c r="BU46"/>
  <c r="BY46"/>
  <c r="F123"/>
  <c r="AM123"/>
  <c r="R123"/>
  <c r="Y123"/>
  <c r="AF123"/>
  <c r="F124"/>
  <c r="AM124"/>
  <c r="R124"/>
  <c r="Y124"/>
  <c r="AF124"/>
  <c r="BR47"/>
  <c r="F125"/>
  <c r="AM125"/>
  <c r="R125"/>
  <c r="Y125"/>
  <c r="AF125"/>
  <c r="BU47"/>
  <c r="BY47"/>
  <c r="F126"/>
  <c r="AM126"/>
  <c r="R126"/>
  <c r="Y126"/>
  <c r="AF126"/>
  <c r="F127"/>
  <c r="AM127"/>
  <c r="R127"/>
  <c r="Y127"/>
  <c r="AF127"/>
  <c r="BR48"/>
  <c r="F128"/>
  <c r="AM128"/>
  <c r="R128"/>
  <c r="Y128"/>
  <c r="AF128"/>
  <c r="BU48"/>
  <c r="AM9"/>
  <c r="Y9"/>
  <c r="BR9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D9"/>
  <c r="C9"/>
  <c r="B9"/>
  <c r="A9"/>
  <c r="F78" i="6"/>
  <c r="F79"/>
  <c r="F80"/>
  <c r="F55"/>
  <c r="F56"/>
  <c r="F54"/>
  <c r="F101"/>
  <c r="F102"/>
  <c r="F103"/>
  <c r="F126"/>
  <c r="A140"/>
  <c r="B140"/>
  <c r="C140"/>
  <c r="D140"/>
  <c r="F140"/>
  <c r="A141"/>
  <c r="B141"/>
  <c r="C141"/>
  <c r="D141"/>
  <c r="F141"/>
  <c r="A142"/>
  <c r="B142"/>
  <c r="C142"/>
  <c r="D142"/>
  <c r="F142"/>
  <c r="A143"/>
  <c r="B143"/>
  <c r="C143"/>
  <c r="D143"/>
  <c r="F143"/>
  <c r="A133"/>
  <c r="B133"/>
  <c r="C133"/>
  <c r="D133"/>
  <c r="F133"/>
  <c r="A134"/>
  <c r="B134"/>
  <c r="C134"/>
  <c r="D134"/>
  <c r="F134"/>
  <c r="A135"/>
  <c r="B135"/>
  <c r="C135"/>
  <c r="D135"/>
  <c r="F135"/>
  <c r="A136"/>
  <c r="B136"/>
  <c r="C136"/>
  <c r="D136"/>
  <c r="F136"/>
  <c r="A137"/>
  <c r="B137"/>
  <c r="C137"/>
  <c r="D137"/>
  <c r="F137"/>
  <c r="A138"/>
  <c r="B138"/>
  <c r="C138"/>
  <c r="D138"/>
  <c r="F138"/>
  <c r="A139"/>
  <c r="B139"/>
  <c r="C139"/>
  <c r="D139"/>
  <c r="F139"/>
  <c r="A81"/>
  <c r="B81"/>
  <c r="C81"/>
  <c r="D81"/>
  <c r="F81"/>
  <c r="A82"/>
  <c r="B82"/>
  <c r="C82"/>
  <c r="D82"/>
  <c r="F82"/>
  <c r="A83"/>
  <c r="B83"/>
  <c r="C83"/>
  <c r="D83"/>
  <c r="F83"/>
  <c r="A84"/>
  <c r="B84"/>
  <c r="C84"/>
  <c r="D84"/>
  <c r="F84"/>
  <c r="A85"/>
  <c r="B85"/>
  <c r="C85"/>
  <c r="D85"/>
  <c r="F85"/>
  <c r="A86"/>
  <c r="B86"/>
  <c r="C86"/>
  <c r="D86"/>
  <c r="F86"/>
  <c r="A87"/>
  <c r="B87"/>
  <c r="C87"/>
  <c r="D87"/>
  <c r="F87"/>
  <c r="A88"/>
  <c r="B88"/>
  <c r="C88"/>
  <c r="D88"/>
  <c r="F88"/>
  <c r="A89"/>
  <c r="B89"/>
  <c r="C89"/>
  <c r="D89"/>
  <c r="F89"/>
  <c r="A90"/>
  <c r="B90"/>
  <c r="C90"/>
  <c r="D90"/>
  <c r="F90"/>
  <c r="A91"/>
  <c r="B91"/>
  <c r="C91"/>
  <c r="D91"/>
  <c r="F91"/>
  <c r="A92"/>
  <c r="B92"/>
  <c r="C92"/>
  <c r="D92"/>
  <c r="F92"/>
  <c r="A93"/>
  <c r="B93"/>
  <c r="C93"/>
  <c r="D93"/>
  <c r="F93"/>
  <c r="A94"/>
  <c r="B94"/>
  <c r="C94"/>
  <c r="D94"/>
  <c r="F94"/>
  <c r="A95"/>
  <c r="B95"/>
  <c r="C95"/>
  <c r="D95"/>
  <c r="F95"/>
  <c r="A96"/>
  <c r="B96"/>
  <c r="C96"/>
  <c r="D96"/>
  <c r="F96"/>
  <c r="A97"/>
  <c r="B97"/>
  <c r="C97"/>
  <c r="D97"/>
  <c r="F97"/>
  <c r="A98"/>
  <c r="B98"/>
  <c r="C98"/>
  <c r="D98"/>
  <c r="F98"/>
  <c r="A99"/>
  <c r="B99"/>
  <c r="C99"/>
  <c r="D99"/>
  <c r="F99"/>
  <c r="A100"/>
  <c r="B100"/>
  <c r="C100"/>
  <c r="D100"/>
  <c r="F100"/>
  <c r="A101"/>
  <c r="B101"/>
  <c r="C101"/>
  <c r="D101"/>
  <c r="A102"/>
  <c r="B102"/>
  <c r="C102"/>
  <c r="D102"/>
  <c r="A103"/>
  <c r="B103"/>
  <c r="C103"/>
  <c r="D103"/>
  <c r="A104"/>
  <c r="B104"/>
  <c r="C104"/>
  <c r="D104"/>
  <c r="F104"/>
  <c r="A105"/>
  <c r="B105"/>
  <c r="C105"/>
  <c r="D105"/>
  <c r="F105"/>
  <c r="A106"/>
  <c r="B106"/>
  <c r="C106"/>
  <c r="D106"/>
  <c r="F106"/>
  <c r="A107"/>
  <c r="B107"/>
  <c r="C107"/>
  <c r="D107"/>
  <c r="F107"/>
  <c r="A108"/>
  <c r="B108"/>
  <c r="C108"/>
  <c r="D108"/>
  <c r="F108"/>
  <c r="A109"/>
  <c r="B109"/>
  <c r="C109"/>
  <c r="D109"/>
  <c r="F109"/>
  <c r="A110"/>
  <c r="B110"/>
  <c r="C110"/>
  <c r="D110"/>
  <c r="F110"/>
  <c r="A111"/>
  <c r="B111"/>
  <c r="C111"/>
  <c r="D111"/>
  <c r="F111"/>
  <c r="A112"/>
  <c r="B112"/>
  <c r="C112"/>
  <c r="D112"/>
  <c r="F112"/>
  <c r="A113"/>
  <c r="B113"/>
  <c r="C113"/>
  <c r="D113"/>
  <c r="F113"/>
  <c r="A114"/>
  <c r="B114"/>
  <c r="C114"/>
  <c r="D114"/>
  <c r="F114"/>
  <c r="A115"/>
  <c r="B115"/>
  <c r="C115"/>
  <c r="D115"/>
  <c r="F115"/>
  <c r="A116"/>
  <c r="B116"/>
  <c r="C116"/>
  <c r="D116"/>
  <c r="F116"/>
  <c r="A117"/>
  <c r="B117"/>
  <c r="C117"/>
  <c r="D117"/>
  <c r="F117"/>
  <c r="A118"/>
  <c r="B118"/>
  <c r="C118"/>
  <c r="D118"/>
  <c r="F118"/>
  <c r="A119"/>
  <c r="B119"/>
  <c r="C119"/>
  <c r="D119"/>
  <c r="F119"/>
  <c r="A120"/>
  <c r="B120"/>
  <c r="C120"/>
  <c r="D120"/>
  <c r="F120"/>
  <c r="A121"/>
  <c r="B121"/>
  <c r="C121"/>
  <c r="D121"/>
  <c r="F121"/>
  <c r="A122"/>
  <c r="B122"/>
  <c r="C122"/>
  <c r="D122"/>
  <c r="F122"/>
  <c r="A123"/>
  <c r="B123"/>
  <c r="C123"/>
  <c r="D123"/>
  <c r="F123"/>
  <c r="A124"/>
  <c r="B124"/>
  <c r="C124"/>
  <c r="D124"/>
  <c r="F124"/>
  <c r="A125"/>
  <c r="B125"/>
  <c r="C125"/>
  <c r="D125"/>
  <c r="F125"/>
  <c r="A126"/>
  <c r="B126"/>
  <c r="C126"/>
  <c r="D126"/>
  <c r="A127"/>
  <c r="B127"/>
  <c r="C127"/>
  <c r="D127"/>
  <c r="F127"/>
  <c r="A128"/>
  <c r="B128"/>
  <c r="C128"/>
  <c r="D128"/>
  <c r="F128"/>
  <c r="A129"/>
  <c r="B129"/>
  <c r="C129"/>
  <c r="D129"/>
  <c r="F129"/>
  <c r="A130"/>
  <c r="B130"/>
  <c r="C130"/>
  <c r="D130"/>
  <c r="F130"/>
  <c r="A131"/>
  <c r="B131"/>
  <c r="C131"/>
  <c r="D131"/>
  <c r="F131"/>
  <c r="A132"/>
  <c r="B132"/>
  <c r="C132"/>
  <c r="D132"/>
  <c r="F132"/>
  <c r="A60"/>
  <c r="B60"/>
  <c r="C60"/>
  <c r="D60"/>
  <c r="F60"/>
  <c r="A61"/>
  <c r="B61"/>
  <c r="C61"/>
  <c r="D61"/>
  <c r="F61"/>
  <c r="A62"/>
  <c r="B62"/>
  <c r="C62"/>
  <c r="D62"/>
  <c r="F62"/>
  <c r="A63"/>
  <c r="B63"/>
  <c r="C63"/>
  <c r="D63"/>
  <c r="F63"/>
  <c r="A64"/>
  <c r="B64"/>
  <c r="C64"/>
  <c r="D64"/>
  <c r="F64"/>
  <c r="A65"/>
  <c r="B65"/>
  <c r="C65"/>
  <c r="D65"/>
  <c r="F65"/>
  <c r="A66"/>
  <c r="B66"/>
  <c r="C66"/>
  <c r="D66"/>
  <c r="F66"/>
  <c r="A67"/>
  <c r="B67"/>
  <c r="C67"/>
  <c r="D67"/>
  <c r="F67"/>
  <c r="A68"/>
  <c r="B68"/>
  <c r="C68"/>
  <c r="D68"/>
  <c r="F68"/>
  <c r="A69"/>
  <c r="B69"/>
  <c r="C69"/>
  <c r="D69"/>
  <c r="F69"/>
  <c r="A70"/>
  <c r="B70"/>
  <c r="C70"/>
  <c r="D70"/>
  <c r="F70"/>
  <c r="A71"/>
  <c r="B71"/>
  <c r="C71"/>
  <c r="D71"/>
  <c r="F71"/>
  <c r="A72"/>
  <c r="B72"/>
  <c r="C72"/>
  <c r="D72"/>
  <c r="F72"/>
  <c r="A73"/>
  <c r="B73"/>
  <c r="C73"/>
  <c r="D73"/>
  <c r="F73"/>
  <c r="A74"/>
  <c r="B74"/>
  <c r="C74"/>
  <c r="D74"/>
  <c r="F74"/>
  <c r="A75"/>
  <c r="B75"/>
  <c r="C75"/>
  <c r="D75"/>
  <c r="F75"/>
  <c r="A76"/>
  <c r="B76"/>
  <c r="C76"/>
  <c r="D76"/>
  <c r="F76"/>
  <c r="A77"/>
  <c r="B77"/>
  <c r="C77"/>
  <c r="D77"/>
  <c r="F77"/>
  <c r="A78"/>
  <c r="B78"/>
  <c r="C78"/>
  <c r="D78"/>
  <c r="A79"/>
  <c r="B79"/>
  <c r="C79"/>
  <c r="D79"/>
  <c r="A80"/>
  <c r="B80"/>
  <c r="C80"/>
  <c r="D80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7"/>
  <c r="F58"/>
  <c r="F59"/>
  <c r="F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D24"/>
  <c r="C24"/>
  <c r="B24"/>
  <c r="A24"/>
  <c r="F4" i="15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3"/>
  <c r="W60"/>
  <c r="X60"/>
  <c r="Y60"/>
  <c r="Z60"/>
  <c r="W61"/>
  <c r="X61"/>
  <c r="Y61"/>
  <c r="Z61"/>
  <c r="W62"/>
  <c r="X62"/>
  <c r="Y62"/>
  <c r="Z62"/>
  <c r="W63"/>
  <c r="X63"/>
  <c r="Y63"/>
  <c r="Z63"/>
  <c r="V61"/>
  <c r="V62"/>
  <c r="V63"/>
  <c r="V60"/>
  <c r="G26"/>
  <c r="G110"/>
  <c r="G2"/>
  <c r="E2"/>
  <c r="A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B2"/>
  <c r="C2"/>
  <c r="D2"/>
  <c r="A2"/>
  <c r="W6" i="14"/>
  <c r="W8"/>
  <c r="W10"/>
  <c r="W12"/>
  <c r="W14"/>
  <c r="W4"/>
  <c r="W16" s="1"/>
  <c r="Q6"/>
  <c r="Q7"/>
  <c r="Q8"/>
  <c r="Q9"/>
  <c r="Q10"/>
  <c r="Q11"/>
  <c r="Q12"/>
  <c r="Q13"/>
  <c r="Q14"/>
  <c r="Q15"/>
  <c r="Q5"/>
  <c r="Q4"/>
  <c r="K7"/>
  <c r="K8"/>
  <c r="K9"/>
  <c r="K10"/>
  <c r="K11"/>
  <c r="K12"/>
  <c r="K13"/>
  <c r="K14"/>
  <c r="K15"/>
  <c r="K5"/>
  <c r="K6"/>
  <c r="K4"/>
  <c r="K16"/>
  <c r="E5"/>
  <c r="E6"/>
  <c r="E7"/>
  <c r="E8"/>
  <c r="E9"/>
  <c r="E10"/>
  <c r="E11"/>
  <c r="E12"/>
  <c r="E13"/>
  <c r="E14"/>
  <c r="E15"/>
  <c r="E4"/>
  <c r="E16" s="1"/>
  <c r="Q16"/>
  <c r="C4" i="1"/>
  <c r="D4"/>
  <c r="E4" s="1"/>
  <c r="I247"/>
  <c r="I246"/>
  <c r="I245"/>
  <c r="I244"/>
  <c r="I243"/>
  <c r="I242"/>
  <c r="I223"/>
  <c r="I222"/>
  <c r="I221"/>
  <c r="I220"/>
  <c r="I219"/>
  <c r="I218"/>
  <c r="I199"/>
  <c r="I198"/>
  <c r="I197"/>
  <c r="I196"/>
  <c r="I195"/>
  <c r="I194"/>
  <c r="I175"/>
  <c r="I174"/>
  <c r="I173"/>
  <c r="I172"/>
  <c r="I171"/>
  <c r="I170"/>
  <c r="I151"/>
  <c r="I150"/>
  <c r="I149"/>
  <c r="I148"/>
  <c r="I147"/>
  <c r="I146"/>
  <c r="I127"/>
  <c r="I126"/>
  <c r="I125"/>
  <c r="I124"/>
  <c r="I123"/>
  <c r="I122"/>
  <c r="I103"/>
  <c r="I102"/>
  <c r="I101"/>
  <c r="I100"/>
  <c r="I99"/>
  <c r="I98"/>
  <c r="I79"/>
  <c r="I78"/>
  <c r="I77"/>
  <c r="I76"/>
  <c r="I75"/>
  <c r="I74"/>
  <c r="I55"/>
  <c r="I54"/>
  <c r="I53"/>
  <c r="I52"/>
  <c r="I51"/>
  <c r="I50"/>
  <c r="I30"/>
  <c r="I31"/>
  <c r="I27"/>
  <c r="I28"/>
  <c r="I29"/>
  <c r="I26"/>
  <c r="D3"/>
  <c r="E3" s="1"/>
  <c r="C3"/>
  <c r="C5" s="1"/>
  <c r="C2"/>
  <c r="G10"/>
  <c r="K10" s="1"/>
  <c r="D2"/>
  <c r="E2"/>
  <c r="F2" s="1"/>
  <c r="G2" s="1"/>
  <c r="G12"/>
  <c r="K12" s="1"/>
  <c r="E9" i="8" s="1"/>
  <c r="G20" i="1"/>
  <c r="K20" s="1"/>
  <c r="G24"/>
  <c r="K24" s="1"/>
  <c r="E15" i="8" s="1"/>
  <c r="G36" i="1"/>
  <c r="K36" s="1"/>
  <c r="E21" i="8" s="1"/>
  <c r="G40" i="1"/>
  <c r="K40" s="1"/>
  <c r="G52"/>
  <c r="K52" s="1"/>
  <c r="G56"/>
  <c r="K56" s="1"/>
  <c r="G68"/>
  <c r="K68" s="1"/>
  <c r="G72"/>
  <c r="K72" s="1"/>
  <c r="E39" i="8" s="1"/>
  <c r="G19" i="1"/>
  <c r="K19" s="1"/>
  <c r="E13" i="8" s="1"/>
  <c r="G23" i="1"/>
  <c r="K23" s="1"/>
  <c r="E14" i="8" s="1"/>
  <c r="G35" i="1"/>
  <c r="K35" s="1"/>
  <c r="E20" i="8" s="1"/>
  <c r="G39" i="1"/>
  <c r="K39" s="1"/>
  <c r="G243"/>
  <c r="K243" s="1"/>
  <c r="G239"/>
  <c r="K239" s="1"/>
  <c r="E122" i="8" s="1"/>
  <c r="G227" i="1"/>
  <c r="K227" s="1"/>
  <c r="E116" i="8" s="1"/>
  <c r="G223" i="1"/>
  <c r="K223" s="1"/>
  <c r="E115" i="8" s="1"/>
  <c r="G211" i="1"/>
  <c r="K211" s="1"/>
  <c r="E109" i="8" s="1"/>
  <c r="G207" i="1"/>
  <c r="K207" s="1"/>
  <c r="G195"/>
  <c r="K195" s="1"/>
  <c r="G191"/>
  <c r="K191" s="1"/>
  <c r="E98" i="8" s="1"/>
  <c r="G179" i="1"/>
  <c r="K179" s="1"/>
  <c r="E92" i="8" s="1"/>
  <c r="G175" i="1"/>
  <c r="K175" s="1"/>
  <c r="E91" i="8" s="1"/>
  <c r="G163" i="1"/>
  <c r="K163" s="1"/>
  <c r="E85" i="8" s="1"/>
  <c r="G159" i="1"/>
  <c r="K159" s="1"/>
  <c r="G147"/>
  <c r="K147" s="1"/>
  <c r="G143"/>
  <c r="K143" s="1"/>
  <c r="E74" i="8" s="1"/>
  <c r="G131" i="1"/>
  <c r="K131" s="1"/>
  <c r="E68" i="8" s="1"/>
  <c r="G127" i="1"/>
  <c r="K127" s="1"/>
  <c r="E67" i="8" s="1"/>
  <c r="G115" i="1"/>
  <c r="K115" s="1"/>
  <c r="E61" i="8" s="1"/>
  <c r="G111" i="1"/>
  <c r="K111" s="1"/>
  <c r="G99"/>
  <c r="K99" s="1"/>
  <c r="G95"/>
  <c r="K95" s="1"/>
  <c r="E50" i="8" s="1"/>
  <c r="G83" i="1"/>
  <c r="K83" s="1"/>
  <c r="E44" i="8" s="1"/>
  <c r="G79" i="1"/>
  <c r="K79" s="1"/>
  <c r="E43" i="8" s="1"/>
  <c r="G61" i="1"/>
  <c r="K61" s="1"/>
  <c r="E34" i="8" s="1"/>
  <c r="G53" i="1"/>
  <c r="K53" s="1"/>
  <c r="E29" i="8" s="1"/>
  <c r="G238" i="1"/>
  <c r="K238" s="1"/>
  <c r="G234"/>
  <c r="K234" s="1"/>
  <c r="E120" i="8" s="1"/>
  <c r="G222" i="1"/>
  <c r="K222" s="1"/>
  <c r="E114" i="8" s="1"/>
  <c r="G218" i="1"/>
  <c r="K218" s="1"/>
  <c r="G206"/>
  <c r="K206" s="1"/>
  <c r="G202"/>
  <c r="K202" s="1"/>
  <c r="G190"/>
  <c r="K190" s="1"/>
  <c r="G186"/>
  <c r="K186" s="1"/>
  <c r="E96" i="8" s="1"/>
  <c r="G174" i="1"/>
  <c r="K174" s="1"/>
  <c r="E90" i="8" s="1"/>
  <c r="G170" i="1"/>
  <c r="K170" s="1"/>
  <c r="G158"/>
  <c r="K158" s="1"/>
  <c r="G154"/>
  <c r="K154" s="1"/>
  <c r="G142"/>
  <c r="K142" s="1"/>
  <c r="G138"/>
  <c r="K138" s="1"/>
  <c r="E72" i="8" s="1"/>
  <c r="G122" i="1"/>
  <c r="G106"/>
  <c r="K106" s="1"/>
  <c r="G90"/>
  <c r="G74"/>
  <c r="K74" s="1"/>
  <c r="G67"/>
  <c r="K67" s="1"/>
  <c r="E37" i="8" s="1"/>
  <c r="G51" i="1"/>
  <c r="K51" s="1"/>
  <c r="K90"/>
  <c r="K122"/>
  <c r="G8"/>
  <c r="K8" s="1"/>
  <c r="G55"/>
  <c r="G71"/>
  <c r="K71" s="1"/>
  <c r="E38" i="8" s="1"/>
  <c r="G80" i="1"/>
  <c r="G88"/>
  <c r="K88" s="1"/>
  <c r="G96"/>
  <c r="G104"/>
  <c r="K104" s="1"/>
  <c r="G112"/>
  <c r="G120"/>
  <c r="K120" s="1"/>
  <c r="E63" i="8" s="1"/>
  <c r="G128" i="1"/>
  <c r="G136"/>
  <c r="K136" s="1"/>
  <c r="G144"/>
  <c r="G152"/>
  <c r="K152" s="1"/>
  <c r="G160"/>
  <c r="G168"/>
  <c r="K168" s="1"/>
  <c r="E87" i="8" s="1"/>
  <c r="G176" i="1"/>
  <c r="G184"/>
  <c r="K184" s="1"/>
  <c r="G192"/>
  <c r="G200"/>
  <c r="K200" s="1"/>
  <c r="G208"/>
  <c r="G216"/>
  <c r="K216" s="1"/>
  <c r="E111" i="8" s="1"/>
  <c r="G224" i="1"/>
  <c r="G232"/>
  <c r="K232" s="1"/>
  <c r="G240"/>
  <c r="G49"/>
  <c r="K49" s="1"/>
  <c r="E28" i="8" s="1"/>
  <c r="G65" i="1"/>
  <c r="G77"/>
  <c r="K77" s="1"/>
  <c r="E41" i="8" s="1"/>
  <c r="G85" i="1"/>
  <c r="G93"/>
  <c r="K93" s="1"/>
  <c r="G101"/>
  <c r="G109"/>
  <c r="K109" s="1"/>
  <c r="E58" i="8" s="1"/>
  <c r="G117" i="1"/>
  <c r="G125"/>
  <c r="K125" s="1"/>
  <c r="E65" i="8" s="1"/>
  <c r="G133" i="1"/>
  <c r="G141"/>
  <c r="K141" s="1"/>
  <c r="G149"/>
  <c r="G157"/>
  <c r="K157" s="1"/>
  <c r="E82" i="8" s="1"/>
  <c r="G165" i="1"/>
  <c r="G173"/>
  <c r="K173" s="1"/>
  <c r="E89" i="8" s="1"/>
  <c r="G177" i="1"/>
  <c r="G181"/>
  <c r="G185"/>
  <c r="G189"/>
  <c r="K189" s="1"/>
  <c r="G193"/>
  <c r="G197"/>
  <c r="G201"/>
  <c r="G205"/>
  <c r="K205" s="1"/>
  <c r="E106" i="8" s="1"/>
  <c r="G209" i="1"/>
  <c r="G213"/>
  <c r="G217"/>
  <c r="G221"/>
  <c r="K221" s="1"/>
  <c r="E113" i="8" s="1"/>
  <c r="G225" i="1"/>
  <c r="G229"/>
  <c r="G233"/>
  <c r="G237"/>
  <c r="K237" s="1"/>
  <c r="G241"/>
  <c r="G245"/>
  <c r="G246"/>
  <c r="G41"/>
  <c r="K41" s="1"/>
  <c r="E23" i="8" s="1"/>
  <c r="G37" i="1"/>
  <c r="G33"/>
  <c r="G29"/>
  <c r="G25"/>
  <c r="K25" s="1"/>
  <c r="E16" i="8" s="1"/>
  <c r="G21" i="1"/>
  <c r="G17"/>
  <c r="G13"/>
  <c r="G9"/>
  <c r="K9" s="1"/>
  <c r="G70"/>
  <c r="G66"/>
  <c r="G62"/>
  <c r="G58"/>
  <c r="K58" s="1"/>
  <c r="G54"/>
  <c r="G50"/>
  <c r="G46"/>
  <c r="G42"/>
  <c r="K42" s="1"/>
  <c r="E24" i="8" s="1"/>
  <c r="G38" i="1"/>
  <c r="G34"/>
  <c r="G30"/>
  <c r="G26"/>
  <c r="K26" s="1"/>
  <c r="G22"/>
  <c r="G18"/>
  <c r="G14"/>
  <c r="K14"/>
  <c r="K22"/>
  <c r="K30"/>
  <c r="K38"/>
  <c r="K46"/>
  <c r="K54"/>
  <c r="K62"/>
  <c r="K70"/>
  <c r="K13"/>
  <c r="K21"/>
  <c r="K29"/>
  <c r="K37"/>
  <c r="K246"/>
  <c r="K241"/>
  <c r="K233"/>
  <c r="K225"/>
  <c r="K217"/>
  <c r="K209"/>
  <c r="K201"/>
  <c r="K193"/>
  <c r="K185"/>
  <c r="K177"/>
  <c r="K18"/>
  <c r="K34"/>
  <c r="K50"/>
  <c r="K66"/>
  <c r="K17"/>
  <c r="K33"/>
  <c r="K245"/>
  <c r="K229"/>
  <c r="K213"/>
  <c r="K197"/>
  <c r="K181"/>
  <c r="K165"/>
  <c r="K149"/>
  <c r="K133"/>
  <c r="K117"/>
  <c r="K101"/>
  <c r="K85"/>
  <c r="K65"/>
  <c r="K240"/>
  <c r="K224"/>
  <c r="K208"/>
  <c r="K192"/>
  <c r="K176"/>
  <c r="K160"/>
  <c r="K144"/>
  <c r="K128"/>
  <c r="K112"/>
  <c r="K96"/>
  <c r="K80"/>
  <c r="K55"/>
  <c r="K110" i="5"/>
  <c r="K26"/>
  <c r="A4"/>
  <c r="B4"/>
  <c r="C4"/>
  <c r="D4"/>
  <c r="E4"/>
  <c r="F4"/>
  <c r="A5"/>
  <c r="B5"/>
  <c r="C5"/>
  <c r="D5"/>
  <c r="E5"/>
  <c r="F5"/>
  <c r="A6"/>
  <c r="B6"/>
  <c r="C6"/>
  <c r="D6"/>
  <c r="E6"/>
  <c r="F6"/>
  <c r="A7"/>
  <c r="B7"/>
  <c r="C7"/>
  <c r="D7"/>
  <c r="E7"/>
  <c r="F7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2"/>
  <c r="B12"/>
  <c r="C12"/>
  <c r="D12"/>
  <c r="E12"/>
  <c r="F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5"/>
  <c r="B25"/>
  <c r="C25"/>
  <c r="D25"/>
  <c r="E25"/>
  <c r="F25"/>
  <c r="A26"/>
  <c r="B26"/>
  <c r="C26"/>
  <c r="D26"/>
  <c r="E26"/>
  <c r="F26"/>
  <c r="A27"/>
  <c r="B27"/>
  <c r="C27"/>
  <c r="D27"/>
  <c r="E27"/>
  <c r="F27"/>
  <c r="A28"/>
  <c r="B28"/>
  <c r="C28"/>
  <c r="D28"/>
  <c r="E28"/>
  <c r="F28"/>
  <c r="A29"/>
  <c r="B29"/>
  <c r="C29"/>
  <c r="D29"/>
  <c r="E29"/>
  <c r="F29"/>
  <c r="A30"/>
  <c r="B30"/>
  <c r="C30"/>
  <c r="D30"/>
  <c r="E30"/>
  <c r="F30"/>
  <c r="A31"/>
  <c r="B31"/>
  <c r="C31"/>
  <c r="D31"/>
  <c r="E31"/>
  <c r="F31"/>
  <c r="A32"/>
  <c r="B32"/>
  <c r="C32"/>
  <c r="D32"/>
  <c r="E32"/>
  <c r="F32"/>
  <c r="A33"/>
  <c r="B33"/>
  <c r="C33"/>
  <c r="D33"/>
  <c r="E33"/>
  <c r="F33"/>
  <c r="A34"/>
  <c r="B34"/>
  <c r="C34"/>
  <c r="D34"/>
  <c r="E34"/>
  <c r="F34"/>
  <c r="A35"/>
  <c r="B35"/>
  <c r="C35"/>
  <c r="D35"/>
  <c r="E35"/>
  <c r="F35"/>
  <c r="A36"/>
  <c r="B36"/>
  <c r="C36"/>
  <c r="D36"/>
  <c r="E36"/>
  <c r="F36"/>
  <c r="A37"/>
  <c r="B37"/>
  <c r="C37"/>
  <c r="D37"/>
  <c r="E37"/>
  <c r="F37"/>
  <c r="A38"/>
  <c r="B38"/>
  <c r="C38"/>
  <c r="D38"/>
  <c r="E38"/>
  <c r="F38"/>
  <c r="A39"/>
  <c r="B39"/>
  <c r="C39"/>
  <c r="D39"/>
  <c r="E39"/>
  <c r="F39"/>
  <c r="A40"/>
  <c r="B40"/>
  <c r="C40"/>
  <c r="D40"/>
  <c r="E40"/>
  <c r="F40"/>
  <c r="A41"/>
  <c r="B41"/>
  <c r="C41"/>
  <c r="D41"/>
  <c r="E41"/>
  <c r="F41"/>
  <c r="A42"/>
  <c r="B42"/>
  <c r="C42"/>
  <c r="D42"/>
  <c r="E42"/>
  <c r="F42"/>
  <c r="A43"/>
  <c r="B43"/>
  <c r="C43"/>
  <c r="D43"/>
  <c r="E43"/>
  <c r="F43"/>
  <c r="A44"/>
  <c r="B44"/>
  <c r="C44"/>
  <c r="D44"/>
  <c r="E44"/>
  <c r="F44"/>
  <c r="A45"/>
  <c r="B45"/>
  <c r="C45"/>
  <c r="D45"/>
  <c r="E45"/>
  <c r="F45"/>
  <c r="A46"/>
  <c r="B46"/>
  <c r="C46"/>
  <c r="D46"/>
  <c r="E46"/>
  <c r="F46"/>
  <c r="A47"/>
  <c r="B47"/>
  <c r="C47"/>
  <c r="D47"/>
  <c r="E47"/>
  <c r="F47"/>
  <c r="A48"/>
  <c r="B48"/>
  <c r="C48"/>
  <c r="D48"/>
  <c r="E48"/>
  <c r="F48"/>
  <c r="A49"/>
  <c r="B49"/>
  <c r="C49"/>
  <c r="D49"/>
  <c r="E49"/>
  <c r="F49"/>
  <c r="A50"/>
  <c r="B50"/>
  <c r="C50"/>
  <c r="D50"/>
  <c r="E50"/>
  <c r="F50"/>
  <c r="A51"/>
  <c r="B51"/>
  <c r="C51"/>
  <c r="D51"/>
  <c r="E51"/>
  <c r="F51"/>
  <c r="A52"/>
  <c r="B52"/>
  <c r="C52"/>
  <c r="D52"/>
  <c r="E52"/>
  <c r="F52"/>
  <c r="A53"/>
  <c r="B53"/>
  <c r="C53"/>
  <c r="D53"/>
  <c r="E53"/>
  <c r="F53"/>
  <c r="A54"/>
  <c r="B54"/>
  <c r="C54"/>
  <c r="D54"/>
  <c r="E54"/>
  <c r="F54"/>
  <c r="A55"/>
  <c r="B55"/>
  <c r="C55"/>
  <c r="D55"/>
  <c r="E55"/>
  <c r="F55"/>
  <c r="A56"/>
  <c r="B56"/>
  <c r="C56"/>
  <c r="D56"/>
  <c r="E56"/>
  <c r="F56"/>
  <c r="A57"/>
  <c r="B57"/>
  <c r="C57"/>
  <c r="D57"/>
  <c r="E57"/>
  <c r="F57"/>
  <c r="A58"/>
  <c r="B58"/>
  <c r="C58"/>
  <c r="D58"/>
  <c r="E58"/>
  <c r="F58"/>
  <c r="A59"/>
  <c r="B59"/>
  <c r="C59"/>
  <c r="D59"/>
  <c r="E59"/>
  <c r="F59"/>
  <c r="A60"/>
  <c r="B60"/>
  <c r="C60"/>
  <c r="D60"/>
  <c r="E60"/>
  <c r="F60"/>
  <c r="A61"/>
  <c r="B61"/>
  <c r="C61"/>
  <c r="D61"/>
  <c r="E61"/>
  <c r="F61"/>
  <c r="A62"/>
  <c r="B62"/>
  <c r="C62"/>
  <c r="D62"/>
  <c r="E62"/>
  <c r="F62"/>
  <c r="A63"/>
  <c r="B63"/>
  <c r="C63"/>
  <c r="D63"/>
  <c r="E63"/>
  <c r="F63"/>
  <c r="A64"/>
  <c r="B64"/>
  <c r="C64"/>
  <c r="D64"/>
  <c r="E64"/>
  <c r="F64"/>
  <c r="A65"/>
  <c r="B65"/>
  <c r="C65"/>
  <c r="D65"/>
  <c r="E65"/>
  <c r="F65"/>
  <c r="A66"/>
  <c r="B66"/>
  <c r="C66"/>
  <c r="D66"/>
  <c r="E66"/>
  <c r="F66"/>
  <c r="A67"/>
  <c r="B67"/>
  <c r="C67"/>
  <c r="D67"/>
  <c r="E67"/>
  <c r="F67"/>
  <c r="A68"/>
  <c r="B68"/>
  <c r="C68"/>
  <c r="D68"/>
  <c r="E68"/>
  <c r="F68"/>
  <c r="A69"/>
  <c r="B69"/>
  <c r="C69"/>
  <c r="D69"/>
  <c r="E69"/>
  <c r="F69"/>
  <c r="A70"/>
  <c r="B70"/>
  <c r="C70"/>
  <c r="D70"/>
  <c r="E70"/>
  <c r="F70"/>
  <c r="A71"/>
  <c r="B71"/>
  <c r="C71"/>
  <c r="D71"/>
  <c r="E71"/>
  <c r="F71"/>
  <c r="A72"/>
  <c r="B72"/>
  <c r="C72"/>
  <c r="D72"/>
  <c r="E72"/>
  <c r="F72"/>
  <c r="A73"/>
  <c r="B73"/>
  <c r="C73"/>
  <c r="D73"/>
  <c r="E73"/>
  <c r="F73"/>
  <c r="A74"/>
  <c r="B74"/>
  <c r="C74"/>
  <c r="D74"/>
  <c r="E74"/>
  <c r="F74"/>
  <c r="A75"/>
  <c r="B75"/>
  <c r="C75"/>
  <c r="D75"/>
  <c r="E75"/>
  <c r="F75"/>
  <c r="A76"/>
  <c r="B76"/>
  <c r="C76"/>
  <c r="D76"/>
  <c r="E76"/>
  <c r="F76"/>
  <c r="A77"/>
  <c r="B77"/>
  <c r="C77"/>
  <c r="D77"/>
  <c r="E77"/>
  <c r="F77"/>
  <c r="A78"/>
  <c r="B78"/>
  <c r="C78"/>
  <c r="D78"/>
  <c r="E78"/>
  <c r="F78"/>
  <c r="A79"/>
  <c r="B79"/>
  <c r="C79"/>
  <c r="D79"/>
  <c r="E79"/>
  <c r="F79"/>
  <c r="A80"/>
  <c r="B80"/>
  <c r="C80"/>
  <c r="D80"/>
  <c r="E80"/>
  <c r="F80"/>
  <c r="A81"/>
  <c r="B81"/>
  <c r="C81"/>
  <c r="D81"/>
  <c r="E81"/>
  <c r="F81"/>
  <c r="A82"/>
  <c r="B82"/>
  <c r="C82"/>
  <c r="D82"/>
  <c r="E82"/>
  <c r="F82"/>
  <c r="A83"/>
  <c r="B83"/>
  <c r="C83"/>
  <c r="D83"/>
  <c r="E83"/>
  <c r="F83"/>
  <c r="A84"/>
  <c r="B84"/>
  <c r="C84"/>
  <c r="D84"/>
  <c r="E84"/>
  <c r="F84"/>
  <c r="A85"/>
  <c r="B85"/>
  <c r="C85"/>
  <c r="D85"/>
  <c r="E85"/>
  <c r="F85"/>
  <c r="A86"/>
  <c r="B86"/>
  <c r="C86"/>
  <c r="D86"/>
  <c r="E86"/>
  <c r="F86"/>
  <c r="A87"/>
  <c r="B87"/>
  <c r="C87"/>
  <c r="D87"/>
  <c r="E87"/>
  <c r="F87"/>
  <c r="A88"/>
  <c r="B88"/>
  <c r="C88"/>
  <c r="D88"/>
  <c r="E88"/>
  <c r="F88"/>
  <c r="A89"/>
  <c r="B89"/>
  <c r="C89"/>
  <c r="D89"/>
  <c r="E89"/>
  <c r="F89"/>
  <c r="A90"/>
  <c r="B90"/>
  <c r="C90"/>
  <c r="D90"/>
  <c r="E90"/>
  <c r="F90"/>
  <c r="A91"/>
  <c r="B91"/>
  <c r="C91"/>
  <c r="D91"/>
  <c r="E91"/>
  <c r="F91"/>
  <c r="A92"/>
  <c r="B92"/>
  <c r="C92"/>
  <c r="D92"/>
  <c r="E92"/>
  <c r="F92"/>
  <c r="A93"/>
  <c r="B93"/>
  <c r="C93"/>
  <c r="D93"/>
  <c r="E93"/>
  <c r="F93"/>
  <c r="A94"/>
  <c r="B94"/>
  <c r="C94"/>
  <c r="D94"/>
  <c r="E94"/>
  <c r="F94"/>
  <c r="A95"/>
  <c r="B95"/>
  <c r="C95"/>
  <c r="D95"/>
  <c r="E95"/>
  <c r="F95"/>
  <c r="A96"/>
  <c r="B96"/>
  <c r="C96"/>
  <c r="D96"/>
  <c r="E96"/>
  <c r="F96"/>
  <c r="A97"/>
  <c r="B97"/>
  <c r="C97"/>
  <c r="D97"/>
  <c r="E97"/>
  <c r="F97"/>
  <c r="A98"/>
  <c r="B98"/>
  <c r="C98"/>
  <c r="D98"/>
  <c r="E98"/>
  <c r="F98"/>
  <c r="A99"/>
  <c r="B99"/>
  <c r="C99"/>
  <c r="D99"/>
  <c r="E99"/>
  <c r="F99"/>
  <c r="A100"/>
  <c r="B100"/>
  <c r="C100"/>
  <c r="D100"/>
  <c r="E100"/>
  <c r="F100"/>
  <c r="A101"/>
  <c r="B101"/>
  <c r="C101"/>
  <c r="D101"/>
  <c r="E101"/>
  <c r="F101"/>
  <c r="A102"/>
  <c r="B102"/>
  <c r="C102"/>
  <c r="D102"/>
  <c r="E102"/>
  <c r="F102"/>
  <c r="A103"/>
  <c r="B103"/>
  <c r="C103"/>
  <c r="D103"/>
  <c r="E103"/>
  <c r="F103"/>
  <c r="A104"/>
  <c r="B104"/>
  <c r="C104"/>
  <c r="D104"/>
  <c r="E104"/>
  <c r="F104"/>
  <c r="A105"/>
  <c r="B105"/>
  <c r="C105"/>
  <c r="D105"/>
  <c r="E105"/>
  <c r="F105"/>
  <c r="A106"/>
  <c r="B106"/>
  <c r="C106"/>
  <c r="D106"/>
  <c r="E106"/>
  <c r="F106"/>
  <c r="A107"/>
  <c r="B107"/>
  <c r="C107"/>
  <c r="D107"/>
  <c r="E107"/>
  <c r="F107"/>
  <c r="A108"/>
  <c r="B108"/>
  <c r="C108"/>
  <c r="D108"/>
  <c r="E108"/>
  <c r="F108"/>
  <c r="A109"/>
  <c r="B109"/>
  <c r="C109"/>
  <c r="D109"/>
  <c r="E109"/>
  <c r="F109"/>
  <c r="A110"/>
  <c r="B110"/>
  <c r="C110"/>
  <c r="D110"/>
  <c r="E110"/>
  <c r="F110"/>
  <c r="A111"/>
  <c r="B111"/>
  <c r="C111"/>
  <c r="D111"/>
  <c r="E111"/>
  <c r="F111"/>
  <c r="A112"/>
  <c r="B112"/>
  <c r="C112"/>
  <c r="D112"/>
  <c r="E112"/>
  <c r="F112"/>
  <c r="A113"/>
  <c r="B113"/>
  <c r="C113"/>
  <c r="D113"/>
  <c r="E113"/>
  <c r="F113"/>
  <c r="A114"/>
  <c r="B114"/>
  <c r="C114"/>
  <c r="D114"/>
  <c r="E114"/>
  <c r="F114"/>
  <c r="A115"/>
  <c r="B115"/>
  <c r="C115"/>
  <c r="D115"/>
  <c r="E115"/>
  <c r="F115"/>
  <c r="A116"/>
  <c r="B116"/>
  <c r="C116"/>
  <c r="D116"/>
  <c r="E116"/>
  <c r="F116"/>
  <c r="A117"/>
  <c r="B117"/>
  <c r="C117"/>
  <c r="D117"/>
  <c r="E117"/>
  <c r="F117"/>
  <c r="A118"/>
  <c r="B118"/>
  <c r="C118"/>
  <c r="D118"/>
  <c r="E118"/>
  <c r="F118"/>
  <c r="A119"/>
  <c r="B119"/>
  <c r="C119"/>
  <c r="D119"/>
  <c r="E119"/>
  <c r="F119"/>
  <c r="A120"/>
  <c r="B120"/>
  <c r="C120"/>
  <c r="D120"/>
  <c r="E120"/>
  <c r="F120"/>
  <c r="A121"/>
  <c r="B121"/>
  <c r="C121"/>
  <c r="D121"/>
  <c r="E121"/>
  <c r="F121"/>
  <c r="A122"/>
  <c r="B122"/>
  <c r="C122"/>
  <c r="D122"/>
  <c r="E122"/>
  <c r="F122"/>
  <c r="B3"/>
  <c r="C3"/>
  <c r="D3"/>
  <c r="E3"/>
  <c r="F3"/>
  <c r="A3"/>
  <c r="G36"/>
  <c r="G25"/>
  <c r="G53"/>
  <c r="G60"/>
  <c r="G71"/>
  <c r="G77"/>
  <c r="G78"/>
  <c r="G84"/>
  <c r="G95"/>
  <c r="G101"/>
  <c r="G102"/>
  <c r="G108"/>
  <c r="G119"/>
  <c r="G49"/>
  <c r="G55"/>
  <c r="G73"/>
  <c r="G79"/>
  <c r="G97"/>
  <c r="G103"/>
  <c r="G121"/>
  <c r="G19"/>
  <c r="G33"/>
  <c r="G27"/>
  <c r="G26"/>
  <c r="G20"/>
  <c r="G9"/>
  <c r="G5"/>
  <c r="G6"/>
  <c r="G11"/>
  <c r="G18"/>
  <c r="G23"/>
  <c r="G30"/>
  <c r="G35"/>
  <c r="G10"/>
  <c r="G112"/>
  <c r="G100"/>
  <c r="G88"/>
  <c r="G12"/>
  <c r="G17"/>
  <c r="G24"/>
  <c r="G29"/>
  <c r="G4"/>
  <c r="G16"/>
  <c r="G118"/>
  <c r="G106"/>
  <c r="G94"/>
  <c r="G82"/>
  <c r="G70"/>
  <c r="G58"/>
  <c r="G46"/>
  <c r="G116"/>
  <c r="G111"/>
  <c r="G104"/>
  <c r="G99"/>
  <c r="G92"/>
  <c r="G87"/>
  <c r="G80"/>
  <c r="G75"/>
  <c r="G68"/>
  <c r="G63"/>
  <c r="G56"/>
  <c r="G51"/>
  <c r="G44"/>
  <c r="G39"/>
  <c r="G3"/>
  <c r="K4" i="10"/>
  <c r="S107"/>
  <c r="S105"/>
  <c r="S109" s="1"/>
  <c r="S106"/>
  <c r="S110"/>
  <c r="K114" s="1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S59"/>
  <c r="S58"/>
  <c r="S57"/>
  <c r="S62" s="1"/>
  <c r="S56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I126"/>
  <c r="S104"/>
  <c r="I125"/>
  <c r="I124"/>
  <c r="K124" s="1"/>
  <c r="I123"/>
  <c r="I122"/>
  <c r="I121"/>
  <c r="I120"/>
  <c r="I119"/>
  <c r="I118"/>
  <c r="K118" s="1"/>
  <c r="I117"/>
  <c r="K117" s="1"/>
  <c r="L117" s="1"/>
  <c r="I116"/>
  <c r="I115"/>
  <c r="K115" s="1"/>
  <c r="I114"/>
  <c r="I113"/>
  <c r="K113" s="1"/>
  <c r="I112"/>
  <c r="I111"/>
  <c r="I110"/>
  <c r="I109"/>
  <c r="I108"/>
  <c r="K108" s="1"/>
  <c r="I107"/>
  <c r="I106"/>
  <c r="I105"/>
  <c r="I104"/>
  <c r="I79"/>
  <c r="S80"/>
  <c r="S83"/>
  <c r="S81"/>
  <c r="S86" s="1"/>
  <c r="S82"/>
  <c r="S85"/>
  <c r="I80"/>
  <c r="I81"/>
  <c r="J81"/>
  <c r="I82"/>
  <c r="I83"/>
  <c r="J83"/>
  <c r="I84"/>
  <c r="I85"/>
  <c r="J85"/>
  <c r="I86"/>
  <c r="I87"/>
  <c r="J87"/>
  <c r="I88"/>
  <c r="I89"/>
  <c r="J89"/>
  <c r="I90"/>
  <c r="I91"/>
  <c r="J91"/>
  <c r="I92"/>
  <c r="I93"/>
  <c r="J93"/>
  <c r="I94"/>
  <c r="I95"/>
  <c r="J95"/>
  <c r="I96"/>
  <c r="I97"/>
  <c r="J97"/>
  <c r="I98"/>
  <c r="I99"/>
  <c r="J99"/>
  <c r="I100"/>
  <c r="I101"/>
  <c r="J101"/>
  <c r="I102"/>
  <c r="J79"/>
  <c r="J82"/>
  <c r="J84"/>
  <c r="J86"/>
  <c r="J88"/>
  <c r="J90"/>
  <c r="J92"/>
  <c r="J94"/>
  <c r="J96"/>
  <c r="J98"/>
  <c r="J100"/>
  <c r="J102"/>
  <c r="J103"/>
  <c r="I103"/>
  <c r="J80"/>
  <c r="I54"/>
  <c r="I53"/>
  <c r="I52"/>
  <c r="K52" s="1"/>
  <c r="L52" s="1"/>
  <c r="I51"/>
  <c r="I50"/>
  <c r="I49"/>
  <c r="I48"/>
  <c r="K48" s="1"/>
  <c r="I47"/>
  <c r="I46"/>
  <c r="I45"/>
  <c r="I44"/>
  <c r="I43"/>
  <c r="I42"/>
  <c r="K42" s="1"/>
  <c r="I41"/>
  <c r="I40"/>
  <c r="K40" s="1"/>
  <c r="I39"/>
  <c r="I38"/>
  <c r="I37"/>
  <c r="I36"/>
  <c r="K36" s="1"/>
  <c r="I35"/>
  <c r="I34"/>
  <c r="K34" s="1"/>
  <c r="L34" s="1"/>
  <c r="I33"/>
  <c r="I32"/>
  <c r="K32" s="1"/>
  <c r="J54"/>
  <c r="J32"/>
  <c r="M32" s="1"/>
  <c r="J33"/>
  <c r="J34"/>
  <c r="N34" s="1"/>
  <c r="J35"/>
  <c r="J36"/>
  <c r="J37"/>
  <c r="J38"/>
  <c r="M38" s="1"/>
  <c r="J39"/>
  <c r="J40"/>
  <c r="N40" s="1"/>
  <c r="J41"/>
  <c r="J42"/>
  <c r="N42" s="1"/>
  <c r="J43"/>
  <c r="J44"/>
  <c r="J45"/>
  <c r="J46"/>
  <c r="M46" s="1"/>
  <c r="J47"/>
  <c r="J48"/>
  <c r="M48" s="1"/>
  <c r="J49"/>
  <c r="J50"/>
  <c r="M50" s="1"/>
  <c r="J51"/>
  <c r="J52"/>
  <c r="N52" s="1"/>
  <c r="J53"/>
  <c r="J31"/>
  <c r="M31" s="1"/>
  <c r="I31"/>
  <c r="I8"/>
  <c r="J8"/>
  <c r="I9"/>
  <c r="J9"/>
  <c r="I10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J7"/>
  <c r="I7"/>
  <c r="S7"/>
  <c r="S32"/>
  <c r="K43" s="1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D7"/>
  <c r="C7"/>
  <c r="B7"/>
  <c r="A7"/>
  <c r="S35"/>
  <c r="S34"/>
  <c r="S33"/>
  <c r="S37"/>
  <c r="S10"/>
  <c r="S9"/>
  <c r="S12" s="1"/>
  <c r="S8"/>
  <c r="S13"/>
  <c r="S38"/>
  <c r="E64"/>
  <c r="K45"/>
  <c r="L45" s="1"/>
  <c r="K49"/>
  <c r="L49" s="1"/>
  <c r="K51"/>
  <c r="L51" s="1"/>
  <c r="K53"/>
  <c r="L53" s="1"/>
  <c r="K38"/>
  <c r="K31"/>
  <c r="N31"/>
  <c r="N38"/>
  <c r="K54"/>
  <c r="L54" s="1"/>
  <c r="K44"/>
  <c r="L44" s="1"/>
  <c r="K46"/>
  <c r="K50"/>
  <c r="N53"/>
  <c r="N49"/>
  <c r="N45"/>
  <c r="M44"/>
  <c r="L31"/>
  <c r="L38"/>
  <c r="N44"/>
  <c r="M49"/>
  <c r="L50"/>
  <c r="L46"/>
  <c r="N46"/>
  <c r="E60"/>
  <c r="E84"/>
  <c r="E108"/>
  <c r="E62"/>
  <c r="E86"/>
  <c r="E110"/>
  <c r="E20"/>
  <c r="E21"/>
  <c r="E104"/>
  <c r="E39"/>
  <c r="E34"/>
  <c r="E27"/>
  <c r="E22"/>
  <c r="E15"/>
  <c r="E10"/>
  <c r="E43"/>
  <c r="E67"/>
  <c r="E91"/>
  <c r="E115"/>
  <c r="E28"/>
  <c r="E92"/>
  <c r="E116"/>
  <c r="E14"/>
  <c r="V129" i="3"/>
  <c r="O128" i="7" s="1"/>
  <c r="V106" i="3"/>
  <c r="O105" i="7" s="1"/>
  <c r="V128" i="3"/>
  <c r="O127" i="7" s="1"/>
  <c r="V127" i="3"/>
  <c r="O126" i="7" s="1"/>
  <c r="V126" i="3"/>
  <c r="O125" i="7" s="1"/>
  <c r="V125" i="3"/>
  <c r="O124" i="7" s="1"/>
  <c r="V124" i="3"/>
  <c r="O123" i="7" s="1"/>
  <c r="V123" i="3"/>
  <c r="O122" i="7" s="1"/>
  <c r="V122" i="3"/>
  <c r="O121" i="7" s="1"/>
  <c r="V121" i="3"/>
  <c r="O120" i="7" s="1"/>
  <c r="V120" i="3"/>
  <c r="O119" i="7" s="1"/>
  <c r="V119" i="3"/>
  <c r="O118" i="7" s="1"/>
  <c r="V118" i="3"/>
  <c r="O117" i="7" s="1"/>
  <c r="V117" i="3"/>
  <c r="O116" i="7" s="1"/>
  <c r="V116" i="3"/>
  <c r="O115" i="7" s="1"/>
  <c r="V115" i="3"/>
  <c r="O114" i="7" s="1"/>
  <c r="V114" i="3"/>
  <c r="O113" i="7" s="1"/>
  <c r="V113" i="3"/>
  <c r="O112" i="7" s="1"/>
  <c r="V112" i="3"/>
  <c r="O111" i="7" s="1"/>
  <c r="V111" i="3"/>
  <c r="O110" i="7" s="1"/>
  <c r="V110" i="3"/>
  <c r="O109" i="7" s="1"/>
  <c r="V109" i="3"/>
  <c r="O108" i="7" s="1"/>
  <c r="V108" i="3"/>
  <c r="O107" i="7" s="1"/>
  <c r="V107" i="3"/>
  <c r="O106" i="7" s="1"/>
  <c r="V104" i="3"/>
  <c r="O103" i="7" s="1"/>
  <c r="V105" i="3"/>
  <c r="O104" i="7" s="1"/>
  <c r="V103" i="3"/>
  <c r="O102" i="7" s="1"/>
  <c r="V102" i="3"/>
  <c r="O101" i="7" s="1"/>
  <c r="V101" i="3"/>
  <c r="O100" i="7" s="1"/>
  <c r="V100" i="3"/>
  <c r="O99" i="7" s="1"/>
  <c r="V99" i="3"/>
  <c r="O98" i="7" s="1"/>
  <c r="V98" i="3"/>
  <c r="O97" i="7" s="1"/>
  <c r="V97" i="3"/>
  <c r="O96" i="7" s="1"/>
  <c r="V96" i="3"/>
  <c r="O95" i="7" s="1"/>
  <c r="V95" i="3"/>
  <c r="O94" i="7" s="1"/>
  <c r="V94" i="3"/>
  <c r="O93" i="7" s="1"/>
  <c r="V93" i="3"/>
  <c r="O92" i="7" s="1"/>
  <c r="V92" i="3"/>
  <c r="O91" i="7" s="1"/>
  <c r="V91" i="3"/>
  <c r="O90" i="7" s="1"/>
  <c r="V90" i="3"/>
  <c r="O89" i="7" s="1"/>
  <c r="V89" i="3"/>
  <c r="O88" i="7" s="1"/>
  <c r="V88" i="3"/>
  <c r="O87" i="7" s="1"/>
  <c r="V87" i="3"/>
  <c r="O86" i="7" s="1"/>
  <c r="V86" i="3"/>
  <c r="O85" i="7" s="1"/>
  <c r="V85" i="3"/>
  <c r="O84" i="7" s="1"/>
  <c r="V84" i="3"/>
  <c r="O83" i="7" s="1"/>
  <c r="V83" i="3"/>
  <c r="O82" i="7" s="1"/>
  <c r="V82" i="3"/>
  <c r="O81" i="7" s="1"/>
  <c r="V71" i="3"/>
  <c r="O70" i="7" s="1"/>
  <c r="V70" i="3"/>
  <c r="O69" i="7" s="1"/>
  <c r="V58" i="3"/>
  <c r="O57" i="7" s="1"/>
  <c r="V81" i="3"/>
  <c r="O80" i="7" s="1"/>
  <c r="V80" i="3"/>
  <c r="O79" i="7" s="1"/>
  <c r="V79" i="3"/>
  <c r="O78" i="7" s="1"/>
  <c r="V78" i="3"/>
  <c r="O77" i="7" s="1"/>
  <c r="V77" i="3"/>
  <c r="O76" i="7" s="1"/>
  <c r="V76" i="3"/>
  <c r="O75" i="7" s="1"/>
  <c r="V75" i="3"/>
  <c r="O74" i="7" s="1"/>
  <c r="V74" i="3"/>
  <c r="O73" i="7" s="1"/>
  <c r="V73" i="3"/>
  <c r="O72" i="7" s="1"/>
  <c r="V72" i="3"/>
  <c r="O71" i="7" s="1"/>
  <c r="V69" i="3"/>
  <c r="O68" i="7" s="1"/>
  <c r="V68" i="3"/>
  <c r="O67" i="7" s="1"/>
  <c r="V67" i="3"/>
  <c r="O66" i="7" s="1"/>
  <c r="V66" i="3"/>
  <c r="O65" i="7" s="1"/>
  <c r="V65" i="3"/>
  <c r="O64" i="7" s="1"/>
  <c r="V64" i="3"/>
  <c r="O63" i="7" s="1"/>
  <c r="V63" i="3"/>
  <c r="O62" i="7" s="1"/>
  <c r="V62" i="3"/>
  <c r="O61" i="7" s="1"/>
  <c r="V61" i="3"/>
  <c r="O60" i="7" s="1"/>
  <c r="V60" i="3"/>
  <c r="O59" i="7" s="1"/>
  <c r="V59" i="3"/>
  <c r="O58" i="7" s="1"/>
  <c r="V34" i="3"/>
  <c r="O33" i="7" s="1"/>
  <c r="V57" i="3"/>
  <c r="O56" i="7" s="1"/>
  <c r="V56" i="3"/>
  <c r="O55" i="7" s="1"/>
  <c r="V55" i="3"/>
  <c r="O54" i="7" s="1"/>
  <c r="V54" i="3"/>
  <c r="O53" i="7" s="1"/>
  <c r="V53" i="3"/>
  <c r="O52" i="7" s="1"/>
  <c r="V52" i="3"/>
  <c r="O51" i="7" s="1"/>
  <c r="V51" i="3"/>
  <c r="O50" i="7" s="1"/>
  <c r="V50" i="3"/>
  <c r="O49" i="7" s="1"/>
  <c r="V49" i="3"/>
  <c r="O48" i="7" s="1"/>
  <c r="V48" i="3"/>
  <c r="O47" i="7" s="1"/>
  <c r="V47" i="3"/>
  <c r="O46" i="7" s="1"/>
  <c r="V46" i="3"/>
  <c r="O45" i="7" s="1"/>
  <c r="V45" i="3"/>
  <c r="O44" i="7" s="1"/>
  <c r="V44" i="3"/>
  <c r="O43" i="7" s="1"/>
  <c r="V43" i="3"/>
  <c r="O42" i="7" s="1"/>
  <c r="V42" i="3"/>
  <c r="O41" i="7" s="1"/>
  <c r="V41" i="3"/>
  <c r="O40" i="7" s="1"/>
  <c r="V40" i="3"/>
  <c r="O39" i="7" s="1"/>
  <c r="V39" i="3"/>
  <c r="O38" i="7" s="1"/>
  <c r="V38" i="3"/>
  <c r="O37" i="7" s="1"/>
  <c r="V37" i="3"/>
  <c r="O36" i="7" s="1"/>
  <c r="V36" i="3"/>
  <c r="O35" i="7" s="1"/>
  <c r="V35" i="3"/>
  <c r="O34" i="7" s="1"/>
  <c r="V33" i="3"/>
  <c r="O32" i="7" s="1"/>
  <c r="V32" i="3"/>
  <c r="O31" i="7" s="1"/>
  <c r="V31" i="3"/>
  <c r="O30" i="7" s="1"/>
  <c r="V30" i="3"/>
  <c r="O29" i="7" s="1"/>
  <c r="V29" i="3"/>
  <c r="O28" i="7" s="1"/>
  <c r="V28" i="3"/>
  <c r="O27" i="7" s="1"/>
  <c r="V27" i="3"/>
  <c r="O26" i="7" s="1"/>
  <c r="V26" i="3"/>
  <c r="O25" i="7" s="1"/>
  <c r="V25" i="3"/>
  <c r="O24" i="7" s="1"/>
  <c r="V24" i="3"/>
  <c r="O23" i="7" s="1"/>
  <c r="V23" i="3"/>
  <c r="O22" i="7" s="1"/>
  <c r="V22" i="3"/>
  <c r="O21" i="7" s="1"/>
  <c r="V21" i="3"/>
  <c r="O20" i="7" s="1"/>
  <c r="V20" i="3"/>
  <c r="O19" i="7" s="1"/>
  <c r="V19" i="3"/>
  <c r="O18" i="7" s="1"/>
  <c r="V18" i="3"/>
  <c r="O17" i="7" s="1"/>
  <c r="V17" i="3"/>
  <c r="O16" i="7" s="1"/>
  <c r="V16" i="3"/>
  <c r="O15" i="7" s="1"/>
  <c r="V15" i="3"/>
  <c r="O14" i="7" s="1"/>
  <c r="V14" i="3"/>
  <c r="O13" i="7" s="1"/>
  <c r="V13" i="3"/>
  <c r="O12" i="7" s="1"/>
  <c r="V12" i="3"/>
  <c r="O11" i="7" s="1"/>
  <c r="V11" i="3"/>
  <c r="O10" i="7" s="1"/>
  <c r="O9"/>
  <c r="A10" i="3"/>
  <c r="B10"/>
  <c r="C10"/>
  <c r="D10"/>
  <c r="E10"/>
  <c r="F10"/>
  <c r="A11"/>
  <c r="B11"/>
  <c r="C11"/>
  <c r="D11"/>
  <c r="E11"/>
  <c r="F11"/>
  <c r="A12"/>
  <c r="B12"/>
  <c r="C12"/>
  <c r="D12"/>
  <c r="E12"/>
  <c r="F12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7"/>
  <c r="B27"/>
  <c r="C27"/>
  <c r="D27"/>
  <c r="E27"/>
  <c r="F27"/>
  <c r="A28"/>
  <c r="B28"/>
  <c r="C28"/>
  <c r="D28"/>
  <c r="E28"/>
  <c r="F28"/>
  <c r="A29"/>
  <c r="B29"/>
  <c r="C29"/>
  <c r="D29"/>
  <c r="E29"/>
  <c r="F29"/>
  <c r="A30"/>
  <c r="B30"/>
  <c r="C30"/>
  <c r="D30"/>
  <c r="E30"/>
  <c r="F30"/>
  <c r="B13"/>
  <c r="B14"/>
  <c r="B19"/>
  <c r="B20"/>
  <c r="B25"/>
  <c r="B26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C13"/>
  <c r="D13"/>
  <c r="E13"/>
  <c r="C14"/>
  <c r="D14"/>
  <c r="E14"/>
  <c r="C19"/>
  <c r="D19"/>
  <c r="E19"/>
  <c r="C20"/>
  <c r="D20"/>
  <c r="E20"/>
  <c r="C25"/>
  <c r="D25"/>
  <c r="E25"/>
  <c r="C26"/>
  <c r="D26"/>
  <c r="E26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C37"/>
  <c r="D37"/>
  <c r="E37"/>
  <c r="C38"/>
  <c r="D38"/>
  <c r="E38"/>
  <c r="C39"/>
  <c r="D39"/>
  <c r="E39"/>
  <c r="C40"/>
  <c r="D40"/>
  <c r="E40"/>
  <c r="C41"/>
  <c r="D41"/>
  <c r="E41"/>
  <c r="C42"/>
  <c r="D42"/>
  <c r="E42"/>
  <c r="C43"/>
  <c r="D43"/>
  <c r="E43"/>
  <c r="C44"/>
  <c r="D44"/>
  <c r="E44"/>
  <c r="C45"/>
  <c r="D45"/>
  <c r="E45"/>
  <c r="C46"/>
  <c r="D46"/>
  <c r="E46"/>
  <c r="C47"/>
  <c r="D47"/>
  <c r="E47"/>
  <c r="C48"/>
  <c r="D48"/>
  <c r="E48"/>
  <c r="C49"/>
  <c r="D49"/>
  <c r="E49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4"/>
  <c r="D64"/>
  <c r="E64"/>
  <c r="C65"/>
  <c r="D65"/>
  <c r="E65"/>
  <c r="C66"/>
  <c r="D66"/>
  <c r="E66"/>
  <c r="C67"/>
  <c r="D67"/>
  <c r="E67"/>
  <c r="C68"/>
  <c r="D68"/>
  <c r="E68"/>
  <c r="C69"/>
  <c r="D69"/>
  <c r="E69"/>
  <c r="C70"/>
  <c r="D70"/>
  <c r="E70"/>
  <c r="C71"/>
  <c r="D71"/>
  <c r="E71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84"/>
  <c r="D84"/>
  <c r="E84"/>
  <c r="C85"/>
  <c r="D85"/>
  <c r="E85"/>
  <c r="C86"/>
  <c r="D86"/>
  <c r="E86"/>
  <c r="C87"/>
  <c r="D87"/>
  <c r="E87"/>
  <c r="C88"/>
  <c r="D88"/>
  <c r="E88"/>
  <c r="C89"/>
  <c r="D89"/>
  <c r="E89"/>
  <c r="C90"/>
  <c r="D90"/>
  <c r="E90"/>
  <c r="C91"/>
  <c r="D91"/>
  <c r="E91"/>
  <c r="C92"/>
  <c r="D92"/>
  <c r="E92"/>
  <c r="C93"/>
  <c r="D93"/>
  <c r="E93"/>
  <c r="C94"/>
  <c r="D94"/>
  <c r="E94"/>
  <c r="C95"/>
  <c r="D95"/>
  <c r="E95"/>
  <c r="C96"/>
  <c r="D96"/>
  <c r="E96"/>
  <c r="C97"/>
  <c r="D97"/>
  <c r="E97"/>
  <c r="C98"/>
  <c r="D98"/>
  <c r="E98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D110"/>
  <c r="E110"/>
  <c r="C111"/>
  <c r="D111"/>
  <c r="E111"/>
  <c r="C112"/>
  <c r="D112"/>
  <c r="E112"/>
  <c r="C113"/>
  <c r="D113"/>
  <c r="E113"/>
  <c r="C114"/>
  <c r="D114"/>
  <c r="E114"/>
  <c r="C115"/>
  <c r="D115"/>
  <c r="E115"/>
  <c r="C116"/>
  <c r="D116"/>
  <c r="E116"/>
  <c r="C117"/>
  <c r="D117"/>
  <c r="E117"/>
  <c r="C118"/>
  <c r="D118"/>
  <c r="E118"/>
  <c r="C119"/>
  <c r="D119"/>
  <c r="E119"/>
  <c r="C120"/>
  <c r="D120"/>
  <c r="E120"/>
  <c r="C121"/>
  <c r="D121"/>
  <c r="E121"/>
  <c r="C122"/>
  <c r="D122"/>
  <c r="E122"/>
  <c r="C123"/>
  <c r="D123"/>
  <c r="E123"/>
  <c r="C124"/>
  <c r="D124"/>
  <c r="E124"/>
  <c r="C125"/>
  <c r="D125"/>
  <c r="E125"/>
  <c r="C126"/>
  <c r="D126"/>
  <c r="E126"/>
  <c r="C127"/>
  <c r="D127"/>
  <c r="E127"/>
  <c r="C128"/>
  <c r="D128"/>
  <c r="E128"/>
  <c r="C129"/>
  <c r="D129"/>
  <c r="E129"/>
  <c r="C130"/>
  <c r="D130"/>
  <c r="E130"/>
  <c r="C131"/>
  <c r="D131"/>
  <c r="E131"/>
  <c r="C132"/>
  <c r="D132"/>
  <c r="E132"/>
  <c r="C133"/>
  <c r="D133"/>
  <c r="E133"/>
  <c r="C134"/>
  <c r="D134"/>
  <c r="E134"/>
  <c r="C135"/>
  <c r="D135"/>
  <c r="E135"/>
  <c r="C136"/>
  <c r="D136"/>
  <c r="E136"/>
  <c r="C137"/>
  <c r="D137"/>
  <c r="E137"/>
  <c r="C138"/>
  <c r="D138"/>
  <c r="E138"/>
  <c r="C139"/>
  <c r="D139"/>
  <c r="E139"/>
  <c r="C140"/>
  <c r="D140"/>
  <c r="E140"/>
  <c r="C141"/>
  <c r="D141"/>
  <c r="E141"/>
  <c r="C142"/>
  <c r="D142"/>
  <c r="E142"/>
  <c r="C143"/>
  <c r="D143"/>
  <c r="E143"/>
  <c r="C144"/>
  <c r="D144"/>
  <c r="E144"/>
  <c r="C145"/>
  <c r="D145"/>
  <c r="E145"/>
  <c r="C146"/>
  <c r="D146"/>
  <c r="E146"/>
  <c r="C147"/>
  <c r="D147"/>
  <c r="E147"/>
  <c r="C148"/>
  <c r="D148"/>
  <c r="E148"/>
  <c r="C149"/>
  <c r="D149"/>
  <c r="E149"/>
  <c r="C150"/>
  <c r="D150"/>
  <c r="E150"/>
  <c r="C151"/>
  <c r="D151"/>
  <c r="E151"/>
  <c r="C152"/>
  <c r="D152"/>
  <c r="E152"/>
  <c r="C153"/>
  <c r="D153"/>
  <c r="E153"/>
  <c r="C154"/>
  <c r="D154"/>
  <c r="E154"/>
  <c r="C155"/>
  <c r="D155"/>
  <c r="E155"/>
  <c r="C156"/>
  <c r="D156"/>
  <c r="E156"/>
  <c r="C157"/>
  <c r="D157"/>
  <c r="E157"/>
  <c r="C158"/>
  <c r="D158"/>
  <c r="E158"/>
  <c r="C159"/>
  <c r="D159"/>
  <c r="E159"/>
  <c r="C160"/>
  <c r="D160"/>
  <c r="E160"/>
  <c r="C161"/>
  <c r="D161"/>
  <c r="E161"/>
  <c r="C162"/>
  <c r="D162"/>
  <c r="E162"/>
  <c r="C163"/>
  <c r="D163"/>
  <c r="E163"/>
  <c r="C164"/>
  <c r="D164"/>
  <c r="E164"/>
  <c r="C165"/>
  <c r="D165"/>
  <c r="E165"/>
  <c r="C166"/>
  <c r="D166"/>
  <c r="E166"/>
  <c r="C167"/>
  <c r="D167"/>
  <c r="E167"/>
  <c r="C168"/>
  <c r="D168"/>
  <c r="E168"/>
  <c r="C169"/>
  <c r="D169"/>
  <c r="E169"/>
  <c r="C170"/>
  <c r="D170"/>
  <c r="E170"/>
  <c r="C171"/>
  <c r="D171"/>
  <c r="E171"/>
  <c r="C172"/>
  <c r="D172"/>
  <c r="E172"/>
  <c r="C173"/>
  <c r="D173"/>
  <c r="E173"/>
  <c r="C174"/>
  <c r="D174"/>
  <c r="E174"/>
  <c r="C175"/>
  <c r="D175"/>
  <c r="E175"/>
  <c r="C176"/>
  <c r="D176"/>
  <c r="E176"/>
  <c r="C177"/>
  <c r="D177"/>
  <c r="E177"/>
  <c r="C178"/>
  <c r="D178"/>
  <c r="E178"/>
  <c r="C179"/>
  <c r="D179"/>
  <c r="E179"/>
  <c r="C180"/>
  <c r="D180"/>
  <c r="E180"/>
  <c r="C181"/>
  <c r="D181"/>
  <c r="E181"/>
  <c r="C182"/>
  <c r="D182"/>
  <c r="E182"/>
  <c r="C183"/>
  <c r="D183"/>
  <c r="E183"/>
  <c r="C184"/>
  <c r="D184"/>
  <c r="E184"/>
  <c r="C185"/>
  <c r="D185"/>
  <c r="E185"/>
  <c r="C186"/>
  <c r="D186"/>
  <c r="E186"/>
  <c r="C187"/>
  <c r="D187"/>
  <c r="E187"/>
  <c r="C188"/>
  <c r="D188"/>
  <c r="E188"/>
  <c r="C189"/>
  <c r="D189"/>
  <c r="E189"/>
  <c r="C190"/>
  <c r="D190"/>
  <c r="E190"/>
  <c r="C191"/>
  <c r="D191"/>
  <c r="E191"/>
  <c r="C192"/>
  <c r="D192"/>
  <c r="E192"/>
  <c r="C193"/>
  <c r="D193"/>
  <c r="E193"/>
  <c r="C194"/>
  <c r="D194"/>
  <c r="E194"/>
  <c r="C195"/>
  <c r="D195"/>
  <c r="E195"/>
  <c r="C196"/>
  <c r="D196"/>
  <c r="E196"/>
  <c r="C197"/>
  <c r="D197"/>
  <c r="E197"/>
  <c r="C198"/>
  <c r="D198"/>
  <c r="E198"/>
  <c r="C199"/>
  <c r="D199"/>
  <c r="E199"/>
  <c r="C200"/>
  <c r="D200"/>
  <c r="E200"/>
  <c r="C201"/>
  <c r="D201"/>
  <c r="E201"/>
  <c r="C202"/>
  <c r="D202"/>
  <c r="E202"/>
  <c r="C203"/>
  <c r="D203"/>
  <c r="E203"/>
  <c r="C204"/>
  <c r="D204"/>
  <c r="E204"/>
  <c r="C205"/>
  <c r="D205"/>
  <c r="E205"/>
  <c r="C206"/>
  <c r="D206"/>
  <c r="E206"/>
  <c r="C207"/>
  <c r="D207"/>
  <c r="E207"/>
  <c r="C208"/>
  <c r="D208"/>
  <c r="E208"/>
  <c r="C209"/>
  <c r="D209"/>
  <c r="E209"/>
  <c r="C210"/>
  <c r="D210"/>
  <c r="E210"/>
  <c r="C211"/>
  <c r="D211"/>
  <c r="E211"/>
  <c r="C212"/>
  <c r="D212"/>
  <c r="E212"/>
  <c r="C213"/>
  <c r="D213"/>
  <c r="E213"/>
  <c r="C214"/>
  <c r="D214"/>
  <c r="E214"/>
  <c r="C215"/>
  <c r="D215"/>
  <c r="E215"/>
  <c r="C216"/>
  <c r="D216"/>
  <c r="E216"/>
  <c r="C217"/>
  <c r="D217"/>
  <c r="E217"/>
  <c r="C218"/>
  <c r="D218"/>
  <c r="E218"/>
  <c r="C219"/>
  <c r="D219"/>
  <c r="E219"/>
  <c r="C220"/>
  <c r="D220"/>
  <c r="E220"/>
  <c r="C221"/>
  <c r="D221"/>
  <c r="E221"/>
  <c r="C222"/>
  <c r="D222"/>
  <c r="E222"/>
  <c r="C223"/>
  <c r="D223"/>
  <c r="E223"/>
  <c r="C224"/>
  <c r="D224"/>
  <c r="E224"/>
  <c r="C225"/>
  <c r="D225"/>
  <c r="E225"/>
  <c r="C226"/>
  <c r="D226"/>
  <c r="E226"/>
  <c r="C227"/>
  <c r="D227"/>
  <c r="E227"/>
  <c r="C228"/>
  <c r="D228"/>
  <c r="E228"/>
  <c r="C229"/>
  <c r="D229"/>
  <c r="E229"/>
  <c r="C230"/>
  <c r="D230"/>
  <c r="E230"/>
  <c r="C231"/>
  <c r="D231"/>
  <c r="E231"/>
  <c r="C232"/>
  <c r="D232"/>
  <c r="E232"/>
  <c r="C233"/>
  <c r="D233"/>
  <c r="E233"/>
  <c r="C234"/>
  <c r="D234"/>
  <c r="E234"/>
  <c r="C235"/>
  <c r="D235"/>
  <c r="E235"/>
  <c r="C236"/>
  <c r="D236"/>
  <c r="E236"/>
  <c r="C237"/>
  <c r="D237"/>
  <c r="E237"/>
  <c r="C238"/>
  <c r="D238"/>
  <c r="E238"/>
  <c r="C239"/>
  <c r="D239"/>
  <c r="E239"/>
  <c r="C240"/>
  <c r="D240"/>
  <c r="E240"/>
  <c r="C241"/>
  <c r="D241"/>
  <c r="E241"/>
  <c r="C242"/>
  <c r="D242"/>
  <c r="E242"/>
  <c r="C243"/>
  <c r="D243"/>
  <c r="E243"/>
  <c r="C244"/>
  <c r="D244"/>
  <c r="E244"/>
  <c r="C245"/>
  <c r="D245"/>
  <c r="E245"/>
  <c r="C246"/>
  <c r="D246"/>
  <c r="E246"/>
  <c r="C247"/>
  <c r="D247"/>
  <c r="E247"/>
  <c r="C248"/>
  <c r="D248"/>
  <c r="E248"/>
  <c r="C249"/>
  <c r="D249"/>
  <c r="E249"/>
  <c r="F13"/>
  <c r="F14"/>
  <c r="F19"/>
  <c r="F20"/>
  <c r="F25"/>
  <c r="F26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A13"/>
  <c r="A14"/>
  <c r="A19"/>
  <c r="A20"/>
  <c r="A25"/>
  <c r="A26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G76"/>
  <c r="G53"/>
  <c r="G69"/>
  <c r="G92"/>
  <c r="G108"/>
  <c r="G124"/>
  <c r="G140"/>
  <c r="G144"/>
  <c r="G156"/>
  <c r="G160"/>
  <c r="G172"/>
  <c r="G176"/>
  <c r="G188"/>
  <c r="G192"/>
  <c r="G204"/>
  <c r="G208"/>
  <c r="G220"/>
  <c r="G224"/>
  <c r="G236"/>
  <c r="G240"/>
  <c r="G55"/>
  <c r="G63"/>
  <c r="G81"/>
  <c r="G85"/>
  <c r="G97"/>
  <c r="G101"/>
  <c r="G113"/>
  <c r="G117"/>
  <c r="G129"/>
  <c r="G133"/>
  <c r="G145"/>
  <c r="G149"/>
  <c r="G161"/>
  <c r="G165"/>
  <c r="G177"/>
  <c r="G181"/>
  <c r="G193"/>
  <c r="G197"/>
  <c r="G209"/>
  <c r="G213"/>
  <c r="G225"/>
  <c r="G229"/>
  <c r="G241"/>
  <c r="G245"/>
  <c r="G41"/>
  <c r="G37"/>
  <c r="G25"/>
  <c r="G21"/>
  <c r="G74"/>
  <c r="G70"/>
  <c r="G58"/>
  <c r="G54"/>
  <c r="G42"/>
  <c r="G38"/>
  <c r="G26"/>
  <c r="G22"/>
  <c r="G14"/>
  <c r="G12"/>
  <c r="G16"/>
  <c r="G24"/>
  <c r="G32"/>
  <c r="G40"/>
  <c r="G48"/>
  <c r="G56"/>
  <c r="G64"/>
  <c r="G72"/>
  <c r="G15"/>
  <c r="G23"/>
  <c r="G31"/>
  <c r="G39"/>
  <c r="G248"/>
  <c r="G243"/>
  <c r="G235"/>
  <c r="G227"/>
  <c r="G219"/>
  <c r="G211"/>
  <c r="G203"/>
  <c r="G195"/>
  <c r="G187"/>
  <c r="G179"/>
  <c r="G20"/>
  <c r="G28"/>
  <c r="G36"/>
  <c r="G44"/>
  <c r="G52"/>
  <c r="G60"/>
  <c r="G68"/>
  <c r="G11"/>
  <c r="G19"/>
  <c r="G27"/>
  <c r="G35"/>
  <c r="G43"/>
  <c r="G247"/>
  <c r="G239"/>
  <c r="G231"/>
  <c r="G223"/>
  <c r="G215"/>
  <c r="G207"/>
  <c r="G199"/>
  <c r="G191"/>
  <c r="G183"/>
  <c r="G175"/>
  <c r="G167"/>
  <c r="G159"/>
  <c r="G151"/>
  <c r="G143"/>
  <c r="G135"/>
  <c r="G127"/>
  <c r="G119"/>
  <c r="G111"/>
  <c r="G103"/>
  <c r="G95"/>
  <c r="G87"/>
  <c r="G79"/>
  <c r="G67"/>
  <c r="G51"/>
  <c r="G242"/>
  <c r="G234"/>
  <c r="G226"/>
  <c r="G218"/>
  <c r="G210"/>
  <c r="G202"/>
  <c r="G194"/>
  <c r="G186"/>
  <c r="G178"/>
  <c r="G170"/>
  <c r="G162"/>
  <c r="G154"/>
  <c r="G146"/>
  <c r="G138"/>
  <c r="G130"/>
  <c r="G122"/>
  <c r="G114"/>
  <c r="G106"/>
  <c r="G98"/>
  <c r="G90"/>
  <c r="G82"/>
  <c r="G73"/>
  <c r="G57"/>
  <c r="G10"/>
  <c r="K5" i="8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J56"/>
  <c r="I56"/>
  <c r="S60"/>
  <c r="S59"/>
  <c r="S63" s="1"/>
  <c r="S58"/>
  <c r="S62"/>
  <c r="S57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S108"/>
  <c r="S107"/>
  <c r="S106"/>
  <c r="S110" s="1"/>
  <c r="S105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33"/>
  <c r="S33"/>
  <c r="S36"/>
  <c r="S34"/>
  <c r="S35"/>
  <c r="S38" s="1"/>
  <c r="I34"/>
  <c r="I35"/>
  <c r="I36"/>
  <c r="J36"/>
  <c r="I37"/>
  <c r="I38"/>
  <c r="I39"/>
  <c r="I40"/>
  <c r="J40"/>
  <c r="I41"/>
  <c r="I42"/>
  <c r="I43"/>
  <c r="I44"/>
  <c r="J44"/>
  <c r="I45"/>
  <c r="I46"/>
  <c r="I47"/>
  <c r="I48"/>
  <c r="J48"/>
  <c r="I49"/>
  <c r="I50"/>
  <c r="I51"/>
  <c r="I52"/>
  <c r="J52"/>
  <c r="I53"/>
  <c r="I54"/>
  <c r="I55"/>
  <c r="I32"/>
  <c r="I9"/>
  <c r="S8"/>
  <c r="S11"/>
  <c r="S9"/>
  <c r="S10"/>
  <c r="S13" s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J34"/>
  <c r="J38"/>
  <c r="J42"/>
  <c r="J46"/>
  <c r="J50"/>
  <c r="J54"/>
  <c r="J33"/>
  <c r="J35"/>
  <c r="J37"/>
  <c r="J39"/>
  <c r="J41"/>
  <c r="J43"/>
  <c r="J45"/>
  <c r="J47"/>
  <c r="J49"/>
  <c r="J51"/>
  <c r="J53"/>
  <c r="J55"/>
  <c r="J80"/>
  <c r="I80"/>
  <c r="S84"/>
  <c r="S83"/>
  <c r="S82"/>
  <c r="S87" s="1"/>
  <c r="S81"/>
  <c r="J32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I8"/>
  <c r="J8"/>
  <c r="A126"/>
  <c r="B126"/>
  <c r="C126"/>
  <c r="D126"/>
  <c r="A127"/>
  <c r="B127"/>
  <c r="C127"/>
  <c r="D127"/>
  <c r="A125"/>
  <c r="B125"/>
  <c r="C125"/>
  <c r="D125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A86"/>
  <c r="A83"/>
  <c r="A84"/>
  <c r="A85"/>
  <c r="A74"/>
  <c r="A75"/>
  <c r="A76"/>
  <c r="A77"/>
  <c r="A78"/>
  <c r="A79"/>
  <c r="A80"/>
  <c r="A81"/>
  <c r="A82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8"/>
  <c r="A9"/>
  <c r="A10"/>
  <c r="E48"/>
  <c r="E18"/>
  <c r="E30"/>
  <c r="E10"/>
  <c r="E17"/>
  <c r="E22"/>
  <c r="E126"/>
  <c r="E124"/>
  <c r="E119"/>
  <c r="E112"/>
  <c r="E107"/>
  <c r="E100"/>
  <c r="E95"/>
  <c r="E12"/>
  <c r="E36"/>
  <c r="E11"/>
  <c r="E125"/>
  <c r="E118"/>
  <c r="E101"/>
  <c r="E94"/>
  <c r="E77"/>
  <c r="E70"/>
  <c r="E53"/>
  <c r="E46"/>
  <c r="E35"/>
  <c r="E123"/>
  <c r="E99"/>
  <c r="E75"/>
  <c r="E51"/>
  <c r="E31"/>
  <c r="B21" i="16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B33"/>
  <c r="B31"/>
  <c r="B32"/>
  <c r="B30"/>
  <c r="B23"/>
  <c r="AK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L22"/>
  <c r="AM22"/>
  <c r="AN22"/>
  <c r="AO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B22"/>
  <c r="B24"/>
  <c r="S9" i="7" l="1"/>
  <c r="K55" i="8"/>
  <c r="K50"/>
  <c r="K39"/>
  <c r="K34"/>
  <c r="S86"/>
  <c r="K105" s="1"/>
  <c r="S14"/>
  <c r="K8" s="1"/>
  <c r="S39"/>
  <c r="K52" s="1"/>
  <c r="K33"/>
  <c r="K37"/>
  <c r="K40"/>
  <c r="K44"/>
  <c r="K47"/>
  <c r="K49"/>
  <c r="K53"/>
  <c r="K32"/>
  <c r="K35"/>
  <c r="L35" s="1"/>
  <c r="K38"/>
  <c r="K42"/>
  <c r="K51"/>
  <c r="L51" s="1"/>
  <c r="K54"/>
  <c r="K28" i="10"/>
  <c r="K29"/>
  <c r="K30"/>
  <c r="K8"/>
  <c r="K27"/>
  <c r="K25"/>
  <c r="K23"/>
  <c r="K21"/>
  <c r="K19"/>
  <c r="K17"/>
  <c r="K15"/>
  <c r="K13"/>
  <c r="K11"/>
  <c r="K9"/>
  <c r="K7"/>
  <c r="L43"/>
  <c r="N43"/>
  <c r="M43"/>
  <c r="L113"/>
  <c r="M113"/>
  <c r="L115"/>
  <c r="N115"/>
  <c r="M115"/>
  <c r="M114"/>
  <c r="N114"/>
  <c r="L114"/>
  <c r="K126"/>
  <c r="K110"/>
  <c r="K103"/>
  <c r="L103" s="1"/>
  <c r="K105"/>
  <c r="L105" s="1"/>
  <c r="K111"/>
  <c r="K122"/>
  <c r="K106"/>
  <c r="K120"/>
  <c r="K112"/>
  <c r="K104"/>
  <c r="E31" i="7"/>
  <c r="E46" i="6"/>
  <c r="E29" i="10"/>
  <c r="E42" i="7"/>
  <c r="E57" i="6"/>
  <c r="E40" i="10"/>
  <c r="E59" i="7"/>
  <c r="E74" i="6"/>
  <c r="E57" i="10"/>
  <c r="E83" i="7"/>
  <c r="E98" i="6"/>
  <c r="E81" i="10"/>
  <c r="E90" i="7"/>
  <c r="E105" i="6"/>
  <c r="E88" i="10"/>
  <c r="E107" i="7"/>
  <c r="E122" i="6"/>
  <c r="E105" i="10"/>
  <c r="E114" i="7"/>
  <c r="E129" i="6"/>
  <c r="E112" i="10"/>
  <c r="E61" i="7"/>
  <c r="E76" i="6"/>
  <c r="E59" i="10"/>
  <c r="E85" i="7"/>
  <c r="E100" i="6"/>
  <c r="E83" i="10"/>
  <c r="E109" i="7"/>
  <c r="E124" i="6"/>
  <c r="E107" i="10"/>
  <c r="E25" i="7"/>
  <c r="E40" i="6"/>
  <c r="E23" i="10"/>
  <c r="E33" i="7"/>
  <c r="E48" i="6"/>
  <c r="E31" i="10"/>
  <c r="E26" i="7"/>
  <c r="E41" i="6"/>
  <c r="E24" i="10"/>
  <c r="F3" i="1"/>
  <c r="G3"/>
  <c r="N55" i="8"/>
  <c r="M51"/>
  <c r="N47"/>
  <c r="N39"/>
  <c r="M35"/>
  <c r="K10"/>
  <c r="K78"/>
  <c r="M103" i="10"/>
  <c r="K99"/>
  <c r="K95"/>
  <c r="K91"/>
  <c r="K87"/>
  <c r="K83"/>
  <c r="N117"/>
  <c r="N113"/>
  <c r="M111"/>
  <c r="M105"/>
  <c r="M110"/>
  <c r="J29" i="1"/>
  <c r="J125"/>
  <c r="J127"/>
  <c r="J175"/>
  <c r="J197"/>
  <c r="J199"/>
  <c r="J247"/>
  <c r="K9" i="8"/>
  <c r="L9" s="1"/>
  <c r="K13"/>
  <c r="L13" s="1"/>
  <c r="K17"/>
  <c r="L17" s="1"/>
  <c r="K21"/>
  <c r="L21" s="1"/>
  <c r="K25"/>
  <c r="L25" s="1"/>
  <c r="K29"/>
  <c r="L29" s="1"/>
  <c r="K11"/>
  <c r="N11" s="1"/>
  <c r="K15"/>
  <c r="K19"/>
  <c r="N19" s="1"/>
  <c r="K23"/>
  <c r="K27"/>
  <c r="N27" s="1"/>
  <c r="K31"/>
  <c r="L55"/>
  <c r="M55"/>
  <c r="L50"/>
  <c r="N50"/>
  <c r="M50"/>
  <c r="M39"/>
  <c r="L39"/>
  <c r="L34"/>
  <c r="N34"/>
  <c r="K77"/>
  <c r="K73"/>
  <c r="K69"/>
  <c r="K65"/>
  <c r="K61"/>
  <c r="K57"/>
  <c r="K56"/>
  <c r="K79"/>
  <c r="K75"/>
  <c r="K71"/>
  <c r="K67"/>
  <c r="K63"/>
  <c r="K59"/>
  <c r="N32" i="10"/>
  <c r="L32"/>
  <c r="L36"/>
  <c r="M36"/>
  <c r="N36"/>
  <c r="L40"/>
  <c r="M40"/>
  <c r="L42"/>
  <c r="M42"/>
  <c r="N48"/>
  <c r="L48"/>
  <c r="K80"/>
  <c r="K82"/>
  <c r="K84"/>
  <c r="K86"/>
  <c r="K88"/>
  <c r="N88" s="1"/>
  <c r="K90"/>
  <c r="K92"/>
  <c r="K94"/>
  <c r="K96"/>
  <c r="K98"/>
  <c r="K100"/>
  <c r="K102"/>
  <c r="N108"/>
  <c r="M108"/>
  <c r="L108"/>
  <c r="L118"/>
  <c r="N118"/>
  <c r="N124"/>
  <c r="M124"/>
  <c r="L124"/>
  <c r="E18" i="7"/>
  <c r="E33" i="6"/>
  <c r="E16" i="10"/>
  <c r="E35" i="7"/>
  <c r="E50" i="6"/>
  <c r="E33" i="10"/>
  <c r="E10" i="7"/>
  <c r="E25" i="6"/>
  <c r="E8" i="10"/>
  <c r="E124" i="7"/>
  <c r="E139" i="6"/>
  <c r="E122" i="10"/>
  <c r="E100" i="7"/>
  <c r="E115" i="6"/>
  <c r="E98" i="10"/>
  <c r="E76" i="7"/>
  <c r="E91" i="6"/>
  <c r="E74" i="10"/>
  <c r="E52" i="7"/>
  <c r="E67" i="6"/>
  <c r="E50" i="10"/>
  <c r="E122" i="7"/>
  <c r="E137" i="6"/>
  <c r="E120" i="10"/>
  <c r="E105" i="7"/>
  <c r="E120" i="6"/>
  <c r="E103" i="10"/>
  <c r="E98" i="7"/>
  <c r="E113" i="6"/>
  <c r="E96" i="10"/>
  <c r="E81" i="7"/>
  <c r="E96" i="6"/>
  <c r="E79" i="10"/>
  <c r="E74" i="7"/>
  <c r="E89" i="6"/>
  <c r="E72" i="10"/>
  <c r="E57" i="7"/>
  <c r="E72" i="6"/>
  <c r="E55" i="10"/>
  <c r="E50" i="7"/>
  <c r="E65" i="6"/>
  <c r="E48" i="10"/>
  <c r="E9" i="7"/>
  <c r="E24" i="6"/>
  <c r="E7" i="10"/>
  <c r="E77" i="7"/>
  <c r="E92" i="6"/>
  <c r="E75" i="10"/>
  <c r="E84" i="7"/>
  <c r="E99" i="6"/>
  <c r="E82" i="10"/>
  <c r="E101" i="7"/>
  <c r="E116" i="6"/>
  <c r="E99" i="10"/>
  <c r="E108" i="7"/>
  <c r="E123" i="6"/>
  <c r="E106" i="10"/>
  <c r="E125" i="7"/>
  <c r="E140" i="6"/>
  <c r="E123" i="10"/>
  <c r="E55" i="7"/>
  <c r="E70" i="6"/>
  <c r="E53" i="10"/>
  <c r="E79" i="7"/>
  <c r="E94" i="6"/>
  <c r="E77" i="10"/>
  <c r="E103" i="7"/>
  <c r="E118" i="6"/>
  <c r="E101" i="10"/>
  <c r="E127" i="7"/>
  <c r="E142" i="6"/>
  <c r="E125" i="10"/>
  <c r="E39" i="7"/>
  <c r="E54" i="6"/>
  <c r="E37" i="10"/>
  <c r="E32" i="7"/>
  <c r="E47" i="6"/>
  <c r="E30" i="10"/>
  <c r="E15" i="7"/>
  <c r="E30" i="6"/>
  <c r="E13" i="10"/>
  <c r="J216" i="1"/>
  <c r="J212"/>
  <c r="J208"/>
  <c r="J204"/>
  <c r="J200"/>
  <c r="J169"/>
  <c r="J165"/>
  <c r="J161"/>
  <c r="J157"/>
  <c r="J153"/>
  <c r="J121"/>
  <c r="J117"/>
  <c r="J113"/>
  <c r="J109"/>
  <c r="J105"/>
  <c r="J73"/>
  <c r="J69"/>
  <c r="J65"/>
  <c r="J61"/>
  <c r="J57"/>
  <c r="J241"/>
  <c r="J237"/>
  <c r="J233"/>
  <c r="J229"/>
  <c r="J225"/>
  <c r="J191"/>
  <c r="J187"/>
  <c r="J183"/>
  <c r="J179"/>
  <c r="J145"/>
  <c r="J141"/>
  <c r="J137"/>
  <c r="J133"/>
  <c r="J129"/>
  <c r="J97"/>
  <c r="J93"/>
  <c r="J89"/>
  <c r="J85"/>
  <c r="J81"/>
  <c r="J49"/>
  <c r="J45"/>
  <c r="J41"/>
  <c r="J37"/>
  <c r="J33"/>
  <c r="J25"/>
  <c r="J13"/>
  <c r="J22"/>
  <c r="J15"/>
  <c r="J14"/>
  <c r="J54"/>
  <c r="J172"/>
  <c r="J78"/>
  <c r="J222"/>
  <c r="J124"/>
  <c r="J246"/>
  <c r="J174"/>
  <c r="J215"/>
  <c r="J211"/>
  <c r="J207"/>
  <c r="J203"/>
  <c r="J168"/>
  <c r="J164"/>
  <c r="J160"/>
  <c r="J156"/>
  <c r="J152"/>
  <c r="J120"/>
  <c r="J116"/>
  <c r="J112"/>
  <c r="J108"/>
  <c r="J104"/>
  <c r="J72"/>
  <c r="J68"/>
  <c r="J64"/>
  <c r="J60"/>
  <c r="J56"/>
  <c r="J240"/>
  <c r="J236"/>
  <c r="J232"/>
  <c r="J228"/>
  <c r="J224"/>
  <c r="J190"/>
  <c r="J186"/>
  <c r="J182"/>
  <c r="J178"/>
  <c r="J144"/>
  <c r="J140"/>
  <c r="J136"/>
  <c r="J132"/>
  <c r="J128"/>
  <c r="J96"/>
  <c r="J92"/>
  <c r="J88"/>
  <c r="J84"/>
  <c r="J80"/>
  <c r="J48"/>
  <c r="J44"/>
  <c r="J40"/>
  <c r="J36"/>
  <c r="J32"/>
  <c r="J18"/>
  <c r="J17"/>
  <c r="J16"/>
  <c r="J98"/>
  <c r="J198"/>
  <c r="J28"/>
  <c r="J50"/>
  <c r="J150"/>
  <c r="J74"/>
  <c r="J218"/>
  <c r="J221"/>
  <c r="J214"/>
  <c r="J210"/>
  <c r="J206"/>
  <c r="J202"/>
  <c r="J195"/>
  <c r="J167"/>
  <c r="J163"/>
  <c r="J159"/>
  <c r="J155"/>
  <c r="J151"/>
  <c r="J119"/>
  <c r="J115"/>
  <c r="J111"/>
  <c r="J107"/>
  <c r="J103"/>
  <c r="J71"/>
  <c r="J67"/>
  <c r="J63"/>
  <c r="J59"/>
  <c r="J55"/>
  <c r="J239"/>
  <c r="J235"/>
  <c r="J231"/>
  <c r="J227"/>
  <c r="J193"/>
  <c r="J189"/>
  <c r="J185"/>
  <c r="J181"/>
  <c r="J177"/>
  <c r="J143"/>
  <c r="J139"/>
  <c r="J135"/>
  <c r="J131"/>
  <c r="J126"/>
  <c r="J95"/>
  <c r="J91"/>
  <c r="J87"/>
  <c r="J83"/>
  <c r="J79"/>
  <c r="J47"/>
  <c r="J43"/>
  <c r="J39"/>
  <c r="J35"/>
  <c r="J30"/>
  <c r="J19"/>
  <c r="J23"/>
  <c r="J10"/>
  <c r="J9"/>
  <c r="J77"/>
  <c r="J245"/>
  <c r="J123"/>
  <c r="J242"/>
  <c r="J170"/>
  <c r="J53"/>
  <c r="J223"/>
  <c r="J76"/>
  <c r="J194"/>
  <c r="J100"/>
  <c r="J244"/>
  <c r="J217"/>
  <c r="J213"/>
  <c r="J209"/>
  <c r="J205"/>
  <c r="J201"/>
  <c r="J173"/>
  <c r="J166"/>
  <c r="J162"/>
  <c r="J158"/>
  <c r="J154"/>
  <c r="J147"/>
  <c r="J118"/>
  <c r="J114"/>
  <c r="J110"/>
  <c r="J106"/>
  <c r="J99"/>
  <c r="J70"/>
  <c r="J66"/>
  <c r="J62"/>
  <c r="J58"/>
  <c r="J51"/>
  <c r="J238"/>
  <c r="J234"/>
  <c r="J230"/>
  <c r="J226"/>
  <c r="J192"/>
  <c r="J188"/>
  <c r="J184"/>
  <c r="J180"/>
  <c r="J176"/>
  <c r="J142"/>
  <c r="J138"/>
  <c r="J134"/>
  <c r="J130"/>
  <c r="J122"/>
  <c r="J94"/>
  <c r="J90"/>
  <c r="J86"/>
  <c r="J82"/>
  <c r="J75"/>
  <c r="J46"/>
  <c r="J42"/>
  <c r="J38"/>
  <c r="J34"/>
  <c r="J24"/>
  <c r="J12"/>
  <c r="J21"/>
  <c r="J20"/>
  <c r="J11"/>
  <c r="J149"/>
  <c r="J31"/>
  <c r="J146"/>
  <c r="J52"/>
  <c r="J196"/>
  <c r="J101"/>
  <c r="J26"/>
  <c r="J102"/>
  <c r="J220"/>
  <c r="J148"/>
  <c r="J8"/>
  <c r="E11" i="7"/>
  <c r="E26" i="6"/>
  <c r="E9" i="10"/>
  <c r="G127" i="7"/>
  <c r="H127" s="1"/>
  <c r="G80"/>
  <c r="H80" s="1"/>
  <c r="G126"/>
  <c r="H126" s="1"/>
  <c r="G78"/>
  <c r="H78" s="1"/>
  <c r="G55"/>
  <c r="H55" s="1"/>
  <c r="G42"/>
  <c r="H42" s="1"/>
  <c r="G44"/>
  <c r="H44" s="1"/>
  <c r="G32"/>
  <c r="H32" s="1"/>
  <c r="G128"/>
  <c r="H128" s="1"/>
  <c r="G79"/>
  <c r="H79" s="1"/>
  <c r="G56"/>
  <c r="H56" s="1"/>
  <c r="G30"/>
  <c r="H30" s="1"/>
  <c r="G54"/>
  <c r="H54" s="1"/>
  <c r="G43"/>
  <c r="H43" s="1"/>
  <c r="G31"/>
  <c r="H31" s="1"/>
  <c r="G20"/>
  <c r="H20" s="1"/>
  <c r="G103"/>
  <c r="H103" s="1"/>
  <c r="G91"/>
  <c r="H91" s="1"/>
  <c r="G68"/>
  <c r="H68" s="1"/>
  <c r="G114"/>
  <c r="H114" s="1"/>
  <c r="G115"/>
  <c r="H115" s="1"/>
  <c r="G22"/>
  <c r="H22" s="1"/>
  <c r="G19"/>
  <c r="H19" s="1"/>
  <c r="G13"/>
  <c r="H13" s="1"/>
  <c r="G110"/>
  <c r="H110" s="1"/>
  <c r="G104"/>
  <c r="H104" s="1"/>
  <c r="G102"/>
  <c r="H102" s="1"/>
  <c r="G96"/>
  <c r="H96" s="1"/>
  <c r="G92"/>
  <c r="H92" s="1"/>
  <c r="G90"/>
  <c r="H90" s="1"/>
  <c r="G88"/>
  <c r="H88" s="1"/>
  <c r="G18"/>
  <c r="H18" s="1"/>
  <c r="G45"/>
  <c r="H45" s="1"/>
  <c r="G62"/>
  <c r="H62" s="1"/>
  <c r="G67"/>
  <c r="H67" s="1"/>
  <c r="G66"/>
  <c r="H66" s="1"/>
  <c r="G116"/>
  <c r="H116" s="1"/>
  <c r="G17"/>
  <c r="H17" s="1"/>
  <c r="G40"/>
  <c r="H40" s="1"/>
  <c r="G39"/>
  <c r="H39" s="1"/>
  <c r="G100"/>
  <c r="H100" s="1"/>
  <c r="G106"/>
  <c r="H106" s="1"/>
  <c r="G108"/>
  <c r="H108" s="1"/>
  <c r="G25"/>
  <c r="H25" s="1"/>
  <c r="G85"/>
  <c r="H85" s="1"/>
  <c r="G61"/>
  <c r="H61" s="1"/>
  <c r="G60"/>
  <c r="H60" s="1"/>
  <c r="G46"/>
  <c r="H46" s="1"/>
  <c r="G15"/>
  <c r="H15" s="1"/>
  <c r="G10"/>
  <c r="H10" s="1"/>
  <c r="G87"/>
  <c r="H87" s="1"/>
  <c r="G89"/>
  <c r="H89" s="1"/>
  <c r="G93"/>
  <c r="H93" s="1"/>
  <c r="G95"/>
  <c r="H95" s="1"/>
  <c r="G97"/>
  <c r="H97" s="1"/>
  <c r="G24"/>
  <c r="H24" s="1"/>
  <c r="G36"/>
  <c r="H36" s="1"/>
  <c r="G47"/>
  <c r="H47" s="1"/>
  <c r="G50"/>
  <c r="H50" s="1"/>
  <c r="G53"/>
  <c r="H53" s="1"/>
  <c r="G59"/>
  <c r="H59" s="1"/>
  <c r="G64"/>
  <c r="H64" s="1"/>
  <c r="G70"/>
  <c r="H70" s="1"/>
  <c r="G73"/>
  <c r="H73" s="1"/>
  <c r="G76"/>
  <c r="H76" s="1"/>
  <c r="G82"/>
  <c r="H82" s="1"/>
  <c r="G86"/>
  <c r="H86" s="1"/>
  <c r="G113"/>
  <c r="H113" s="1"/>
  <c r="G119"/>
  <c r="H119" s="1"/>
  <c r="G122"/>
  <c r="H122" s="1"/>
  <c r="G125"/>
  <c r="H125" s="1"/>
  <c r="G21"/>
  <c r="H21" s="1"/>
  <c r="G27"/>
  <c r="H27" s="1"/>
  <c r="G33"/>
  <c r="H33" s="1"/>
  <c r="G49"/>
  <c r="H49" s="1"/>
  <c r="G52"/>
  <c r="H52" s="1"/>
  <c r="G58"/>
  <c r="H58" s="1"/>
  <c r="G63"/>
  <c r="H63" s="1"/>
  <c r="G65"/>
  <c r="H65" s="1"/>
  <c r="G71"/>
  <c r="H71" s="1"/>
  <c r="G74"/>
  <c r="H74" s="1"/>
  <c r="G77"/>
  <c r="H77" s="1"/>
  <c r="G83"/>
  <c r="H83" s="1"/>
  <c r="G112"/>
  <c r="H112" s="1"/>
  <c r="G118"/>
  <c r="H118" s="1"/>
  <c r="G121"/>
  <c r="H121" s="1"/>
  <c r="G124"/>
  <c r="H124" s="1"/>
  <c r="G84"/>
  <c r="H84" s="1"/>
  <c r="G9"/>
  <c r="H9" s="1"/>
  <c r="G11"/>
  <c r="H11" s="1"/>
  <c r="G94"/>
  <c r="H94" s="1"/>
  <c r="G98"/>
  <c r="H98" s="1"/>
  <c r="G41"/>
  <c r="H41" s="1"/>
  <c r="G16"/>
  <c r="H16" s="1"/>
  <c r="G99"/>
  <c r="H99" s="1"/>
  <c r="G101"/>
  <c r="H101" s="1"/>
  <c r="G105"/>
  <c r="H105" s="1"/>
  <c r="G107"/>
  <c r="H107" s="1"/>
  <c r="G109"/>
  <c r="H109" s="1"/>
  <c r="G12"/>
  <c r="H12" s="1"/>
  <c r="G14"/>
  <c r="H14" s="1"/>
  <c r="G23"/>
  <c r="H23" s="1"/>
  <c r="G26"/>
  <c r="H26" s="1"/>
  <c r="G29"/>
  <c r="H29" s="1"/>
  <c r="G34"/>
  <c r="H34" s="1"/>
  <c r="G37"/>
  <c r="H37" s="1"/>
  <c r="G48"/>
  <c r="H48" s="1"/>
  <c r="G69"/>
  <c r="H69" s="1"/>
  <c r="G75"/>
  <c r="H75" s="1"/>
  <c r="G81"/>
  <c r="H81" s="1"/>
  <c r="G117"/>
  <c r="H117" s="1"/>
  <c r="G123"/>
  <c r="H123" s="1"/>
  <c r="G28"/>
  <c r="H28" s="1"/>
  <c r="G35"/>
  <c r="H35" s="1"/>
  <c r="G38"/>
  <c r="H38" s="1"/>
  <c r="G51"/>
  <c r="H51" s="1"/>
  <c r="G57"/>
  <c r="H57" s="1"/>
  <c r="G72"/>
  <c r="H72" s="1"/>
  <c r="G111"/>
  <c r="H111" s="1"/>
  <c r="G120"/>
  <c r="H120" s="1"/>
  <c r="G79" i="6"/>
  <c r="H79" s="1"/>
  <c r="G54"/>
  <c r="H54" s="1"/>
  <c r="G78"/>
  <c r="H78" s="1"/>
  <c r="G80"/>
  <c r="H80" s="1"/>
  <c r="G135"/>
  <c r="H135" s="1"/>
  <c r="G99"/>
  <c r="H99" s="1"/>
  <c r="G53"/>
  <c r="H53" s="1"/>
  <c r="G35"/>
  <c r="H35" s="1"/>
  <c r="G47"/>
  <c r="H47" s="1"/>
  <c r="G105"/>
  <c r="H105" s="1"/>
  <c r="G93"/>
  <c r="H93" s="1"/>
  <c r="G81"/>
  <c r="H81" s="1"/>
  <c r="G130"/>
  <c r="H130" s="1"/>
  <c r="G118"/>
  <c r="H118" s="1"/>
  <c r="G46"/>
  <c r="H46" s="1"/>
  <c r="G95"/>
  <c r="H95" s="1"/>
  <c r="G83"/>
  <c r="H83" s="1"/>
  <c r="G141"/>
  <c r="H141" s="1"/>
  <c r="G70"/>
  <c r="H70" s="1"/>
  <c r="G34"/>
  <c r="H34" s="1"/>
  <c r="G71"/>
  <c r="H71" s="1"/>
  <c r="G129"/>
  <c r="H129" s="1"/>
  <c r="G117"/>
  <c r="H117" s="1"/>
  <c r="G33"/>
  <c r="H33" s="1"/>
  <c r="G82"/>
  <c r="H82" s="1"/>
  <c r="G58"/>
  <c r="H58" s="1"/>
  <c r="G131"/>
  <c r="H131" s="1"/>
  <c r="G142"/>
  <c r="H142" s="1"/>
  <c r="G94"/>
  <c r="H94" s="1"/>
  <c r="G45"/>
  <c r="H45" s="1"/>
  <c r="G143"/>
  <c r="H143" s="1"/>
  <c r="G119"/>
  <c r="H119" s="1"/>
  <c r="G69"/>
  <c r="H69" s="1"/>
  <c r="G59"/>
  <c r="H59" s="1"/>
  <c r="G57"/>
  <c r="H57" s="1"/>
  <c r="G106"/>
  <c r="H106" s="1"/>
  <c r="G107"/>
  <c r="H107" s="1"/>
  <c r="G26"/>
  <c r="H26" s="1"/>
  <c r="G41"/>
  <c r="H41" s="1"/>
  <c r="G85"/>
  <c r="H85" s="1"/>
  <c r="G64"/>
  <c r="H64" s="1"/>
  <c r="G32"/>
  <c r="H32" s="1"/>
  <c r="G112"/>
  <c r="H112" s="1"/>
  <c r="G43"/>
  <c r="H43" s="1"/>
  <c r="G108"/>
  <c r="H108" s="1"/>
  <c r="G56"/>
  <c r="H56" s="1"/>
  <c r="G101"/>
  <c r="H101" s="1"/>
  <c r="G87"/>
  <c r="H87" s="1"/>
  <c r="G38"/>
  <c r="H38" s="1"/>
  <c r="G73"/>
  <c r="H73" s="1"/>
  <c r="G49"/>
  <c r="H49" s="1"/>
  <c r="G125"/>
  <c r="H125" s="1"/>
  <c r="G28"/>
  <c r="H28" s="1"/>
  <c r="G139"/>
  <c r="H139" s="1"/>
  <c r="G120"/>
  <c r="H120" s="1"/>
  <c r="G55"/>
  <c r="H55" s="1"/>
  <c r="G29"/>
  <c r="H29" s="1"/>
  <c r="G48"/>
  <c r="H48" s="1"/>
  <c r="G134"/>
  <c r="H134" s="1"/>
  <c r="G91"/>
  <c r="H91" s="1"/>
  <c r="G103"/>
  <c r="H103" s="1"/>
  <c r="G115"/>
  <c r="H115" s="1"/>
  <c r="G66"/>
  <c r="H66" s="1"/>
  <c r="G42"/>
  <c r="H42" s="1"/>
  <c r="G133"/>
  <c r="H133" s="1"/>
  <c r="G90"/>
  <c r="H90" s="1"/>
  <c r="G102"/>
  <c r="H102" s="1"/>
  <c r="G114"/>
  <c r="H114" s="1"/>
  <c r="G122"/>
  <c r="H122" s="1"/>
  <c r="G61"/>
  <c r="H61" s="1"/>
  <c r="G77"/>
  <c r="H77" s="1"/>
  <c r="G136"/>
  <c r="H136" s="1"/>
  <c r="G89"/>
  <c r="H89" s="1"/>
  <c r="G97"/>
  <c r="H97" s="1"/>
  <c r="G109"/>
  <c r="H109" s="1"/>
  <c r="G68"/>
  <c r="H68" s="1"/>
  <c r="G76"/>
  <c r="H76" s="1"/>
  <c r="G40"/>
  <c r="H40" s="1"/>
  <c r="G52"/>
  <c r="H52" s="1"/>
  <c r="G88"/>
  <c r="H88" s="1"/>
  <c r="G96"/>
  <c r="H96" s="1"/>
  <c r="G104"/>
  <c r="H104" s="1"/>
  <c r="G124"/>
  <c r="H124" s="1"/>
  <c r="G63"/>
  <c r="H63" s="1"/>
  <c r="G27"/>
  <c r="H27" s="1"/>
  <c r="G39"/>
  <c r="H39" s="1"/>
  <c r="G51"/>
  <c r="H51" s="1"/>
  <c r="G126"/>
  <c r="H126" s="1"/>
  <c r="G50"/>
  <c r="H50" s="1"/>
  <c r="G111"/>
  <c r="H111" s="1"/>
  <c r="G123"/>
  <c r="H123" s="1"/>
  <c r="G62"/>
  <c r="H62" s="1"/>
  <c r="G30"/>
  <c r="H30" s="1"/>
  <c r="G140"/>
  <c r="H140" s="1"/>
  <c r="G137"/>
  <c r="H137" s="1"/>
  <c r="G86"/>
  <c r="H86" s="1"/>
  <c r="G98"/>
  <c r="H98" s="1"/>
  <c r="G110"/>
  <c r="H110" s="1"/>
  <c r="G65"/>
  <c r="H65" s="1"/>
  <c r="G25"/>
  <c r="H25" s="1"/>
  <c r="G37"/>
  <c r="H37" s="1"/>
  <c r="G113"/>
  <c r="H113" s="1"/>
  <c r="G121"/>
  <c r="H121" s="1"/>
  <c r="G60"/>
  <c r="H60" s="1"/>
  <c r="G72"/>
  <c r="H72" s="1"/>
  <c r="G36"/>
  <c r="H36" s="1"/>
  <c r="G44"/>
  <c r="H44" s="1"/>
  <c r="G84"/>
  <c r="H84" s="1"/>
  <c r="G92"/>
  <c r="H92" s="1"/>
  <c r="G100"/>
  <c r="H100" s="1"/>
  <c r="G116"/>
  <c r="H116" s="1"/>
  <c r="G128"/>
  <c r="H128" s="1"/>
  <c r="G67"/>
  <c r="H67" s="1"/>
  <c r="G75"/>
  <c r="H75" s="1"/>
  <c r="G31"/>
  <c r="H31" s="1"/>
  <c r="G24"/>
  <c r="H24" s="1"/>
  <c r="G132"/>
  <c r="H132" s="1"/>
  <c r="G138"/>
  <c r="H138" s="1"/>
  <c r="G74"/>
  <c r="H74" s="1"/>
  <c r="G127"/>
  <c r="H127" s="1"/>
  <c r="G4" i="1"/>
  <c r="F4"/>
  <c r="M79" i="8"/>
  <c r="M77"/>
  <c r="M75"/>
  <c r="M73"/>
  <c r="M71"/>
  <c r="M69"/>
  <c r="M67"/>
  <c r="M65"/>
  <c r="M63"/>
  <c r="M61"/>
  <c r="M59"/>
  <c r="M57"/>
  <c r="K26" i="10"/>
  <c r="K24"/>
  <c r="K22"/>
  <c r="K20"/>
  <c r="K18"/>
  <c r="K16"/>
  <c r="K14"/>
  <c r="K12"/>
  <c r="K10"/>
  <c r="K79"/>
  <c r="L79" s="1"/>
  <c r="Z9" i="7"/>
  <c r="AG9"/>
  <c r="AN9"/>
  <c r="AG11"/>
  <c r="Z11"/>
  <c r="AN11"/>
  <c r="S11"/>
  <c r="AN13"/>
  <c r="Z13"/>
  <c r="AG13"/>
  <c r="S13"/>
  <c r="AG15"/>
  <c r="AN15"/>
  <c r="S15"/>
  <c r="Z15"/>
  <c r="Z17"/>
  <c r="AG17"/>
  <c r="AN17"/>
  <c r="S17"/>
  <c r="S19"/>
  <c r="AG19"/>
  <c r="Z19"/>
  <c r="AN19"/>
  <c r="AG21"/>
  <c r="AN21"/>
  <c r="S21"/>
  <c r="Z21"/>
  <c r="AN23"/>
  <c r="S23"/>
  <c r="AG23"/>
  <c r="Z23"/>
  <c r="AN25"/>
  <c r="Z25"/>
  <c r="S25"/>
  <c r="AG25"/>
  <c r="AG27"/>
  <c r="AN27"/>
  <c r="Z27"/>
  <c r="S27"/>
  <c r="AG29"/>
  <c r="AN29"/>
  <c r="S29"/>
  <c r="Z29"/>
  <c r="AN31"/>
  <c r="S31"/>
  <c r="AG31"/>
  <c r="Z31"/>
  <c r="S34"/>
  <c r="Z34"/>
  <c r="AG34"/>
  <c r="AN34"/>
  <c r="AN36"/>
  <c r="Z36"/>
  <c r="S36"/>
  <c r="AG36"/>
  <c r="S38"/>
  <c r="AG38"/>
  <c r="AN38"/>
  <c r="Z38"/>
  <c r="S40"/>
  <c r="Z40"/>
  <c r="AN40"/>
  <c r="AG40"/>
  <c r="AN42"/>
  <c r="Z42"/>
  <c r="AG42"/>
  <c r="S42"/>
  <c r="S44"/>
  <c r="AG44"/>
  <c r="Z44"/>
  <c r="AN44"/>
  <c r="AN46"/>
  <c r="S46"/>
  <c r="Z46"/>
  <c r="AG46"/>
  <c r="AG48"/>
  <c r="S48"/>
  <c r="AN48"/>
  <c r="Z48"/>
  <c r="AN50"/>
  <c r="S50"/>
  <c r="AG50"/>
  <c r="Z50"/>
  <c r="AN52"/>
  <c r="Z52"/>
  <c r="S52"/>
  <c r="AG52"/>
  <c r="AG54"/>
  <c r="Z54"/>
  <c r="AN54"/>
  <c r="S54"/>
  <c r="AN56"/>
  <c r="S56"/>
  <c r="Z56"/>
  <c r="AG56"/>
  <c r="S58"/>
  <c r="AG58"/>
  <c r="AN58"/>
  <c r="Z58"/>
  <c r="AG60"/>
  <c r="AN60"/>
  <c r="S60"/>
  <c r="Z60"/>
  <c r="Z62"/>
  <c r="AG62"/>
  <c r="AN62"/>
  <c r="S62"/>
  <c r="AN64"/>
  <c r="Z64"/>
  <c r="AG64"/>
  <c r="S64"/>
  <c r="Z66"/>
  <c r="AN66"/>
  <c r="S66"/>
  <c r="AG66"/>
  <c r="S68"/>
  <c r="AG68"/>
  <c r="AN68"/>
  <c r="Z68"/>
  <c r="Z72"/>
  <c r="S72"/>
  <c r="AN72"/>
  <c r="AG72"/>
  <c r="AG74"/>
  <c r="Z74"/>
  <c r="S74"/>
  <c r="AN74"/>
  <c r="S76"/>
  <c r="AG76"/>
  <c r="Z76"/>
  <c r="AN76"/>
  <c r="Z78"/>
  <c r="S78"/>
  <c r="AN78"/>
  <c r="AG78"/>
  <c r="AG80"/>
  <c r="Z80"/>
  <c r="S80"/>
  <c r="AN80"/>
  <c r="AG69"/>
  <c r="S69"/>
  <c r="AN69"/>
  <c r="Z69"/>
  <c r="AG81"/>
  <c r="AN81"/>
  <c r="S81"/>
  <c r="Z81"/>
  <c r="S83"/>
  <c r="AG83"/>
  <c r="Z83"/>
  <c r="AN83"/>
  <c r="S85"/>
  <c r="AN85"/>
  <c r="AG85"/>
  <c r="Z85"/>
  <c r="S87"/>
  <c r="AN87"/>
  <c r="AG87"/>
  <c r="Z87"/>
  <c r="AN89"/>
  <c r="Z89"/>
  <c r="AG89"/>
  <c r="S89"/>
  <c r="AG91"/>
  <c r="Z91"/>
  <c r="AN91"/>
  <c r="S91"/>
  <c r="S93"/>
  <c r="AN93"/>
  <c r="Z93"/>
  <c r="AG93"/>
  <c r="AN95"/>
  <c r="S95"/>
  <c r="Z95"/>
  <c r="AG95"/>
  <c r="AG97"/>
  <c r="Z97"/>
  <c r="AN97"/>
  <c r="S97"/>
  <c r="AN99"/>
  <c r="AG99"/>
  <c r="Z99"/>
  <c r="S99"/>
  <c r="AN101"/>
  <c r="AG101"/>
  <c r="Z101"/>
  <c r="S101"/>
  <c r="AN104"/>
  <c r="S104"/>
  <c r="AG104"/>
  <c r="Z104"/>
  <c r="Z106"/>
  <c r="AN106"/>
  <c r="S106"/>
  <c r="AG106"/>
  <c r="S108"/>
  <c r="Z108"/>
  <c r="AN108"/>
  <c r="AG108"/>
  <c r="AN110"/>
  <c r="AG110"/>
  <c r="Z110"/>
  <c r="S110"/>
  <c r="S112"/>
  <c r="AG112"/>
  <c r="AN112"/>
  <c r="Z112"/>
  <c r="AN114"/>
  <c r="AG114"/>
  <c r="S114"/>
  <c r="Z114"/>
  <c r="S116"/>
  <c r="AG116"/>
  <c r="AN116"/>
  <c r="Z116"/>
  <c r="AN118"/>
  <c r="Z118"/>
  <c r="AG118"/>
  <c r="S118"/>
  <c r="AN120"/>
  <c r="S120"/>
  <c r="Z120"/>
  <c r="AG120"/>
  <c r="AN122"/>
  <c r="Z122"/>
  <c r="S122"/>
  <c r="AG122"/>
  <c r="S124"/>
  <c r="AG124"/>
  <c r="Z124"/>
  <c r="AN124"/>
  <c r="AN126"/>
  <c r="S126"/>
  <c r="AG126"/>
  <c r="Z126"/>
  <c r="AN105"/>
  <c r="S105"/>
  <c r="Z105"/>
  <c r="AG105"/>
  <c r="E45"/>
  <c r="E60" i="6"/>
  <c r="E62" i="7"/>
  <c r="E77" i="6"/>
  <c r="E69" i="7"/>
  <c r="E84" i="6"/>
  <c r="E86" i="7"/>
  <c r="E101" i="6"/>
  <c r="E93" i="7"/>
  <c r="E108" i="6"/>
  <c r="E110" i="7"/>
  <c r="E125" i="6"/>
  <c r="E117" i="7"/>
  <c r="E132" i="6"/>
  <c r="E64" i="7"/>
  <c r="E79" i="6"/>
  <c r="E88" i="7"/>
  <c r="E103" i="6"/>
  <c r="E112" i="7"/>
  <c r="E127" i="6"/>
  <c r="E22" i="7"/>
  <c r="E37" i="6"/>
  <c r="E30" i="7"/>
  <c r="E45" i="6"/>
  <c r="E23" i="7"/>
  <c r="E38" i="6"/>
  <c r="E106" i="7"/>
  <c r="E121" i="6"/>
  <c r="E36" i="7"/>
  <c r="E51" i="6"/>
  <c r="E29" i="7"/>
  <c r="E44" i="6"/>
  <c r="E12" i="7"/>
  <c r="E27" i="6"/>
  <c r="E66" i="7"/>
  <c r="E81" i="6"/>
  <c r="K31" i="7"/>
  <c r="K46" i="6"/>
  <c r="K43" i="7"/>
  <c r="K58" i="6"/>
  <c r="K55" i="7"/>
  <c r="K70" i="6"/>
  <c r="K67" i="7"/>
  <c r="K82" i="6"/>
  <c r="K79" i="7"/>
  <c r="K94" i="6"/>
  <c r="K103" i="7"/>
  <c r="K118" i="6"/>
  <c r="AG10" i="7"/>
  <c r="Z10"/>
  <c r="AN10"/>
  <c r="S10"/>
  <c r="S12"/>
  <c r="AG12"/>
  <c r="Z12"/>
  <c r="AN12"/>
  <c r="AN14"/>
  <c r="AG14"/>
  <c r="Z14"/>
  <c r="S14"/>
  <c r="AN16"/>
  <c r="AG16"/>
  <c r="S16"/>
  <c r="Z16"/>
  <c r="S18"/>
  <c r="Z18"/>
  <c r="AG18"/>
  <c r="AN18"/>
  <c r="AN20"/>
  <c r="AG20"/>
  <c r="Z20"/>
  <c r="S20"/>
  <c r="S22"/>
  <c r="AG22"/>
  <c r="Z22"/>
  <c r="AN22"/>
  <c r="Z24"/>
  <c r="S24"/>
  <c r="AG24"/>
  <c r="AN24"/>
  <c r="AN26"/>
  <c r="AG26"/>
  <c r="Z26"/>
  <c r="S26"/>
  <c r="AN28"/>
  <c r="Z28"/>
  <c r="S28"/>
  <c r="AG28"/>
  <c r="S30"/>
  <c r="AG30"/>
  <c r="AN30"/>
  <c r="Z30"/>
  <c r="AN32"/>
  <c r="Z32"/>
  <c r="AG32"/>
  <c r="S32"/>
  <c r="S35"/>
  <c r="AG35"/>
  <c r="Z35"/>
  <c r="AN35"/>
  <c r="AN37"/>
  <c r="S37"/>
  <c r="Z37"/>
  <c r="AG37"/>
  <c r="AG39"/>
  <c r="AN39"/>
  <c r="S39"/>
  <c r="Z39"/>
  <c r="AN41"/>
  <c r="S41"/>
  <c r="AG41"/>
  <c r="Z41"/>
  <c r="AN43"/>
  <c r="Z43"/>
  <c r="AG43"/>
  <c r="S43"/>
  <c r="AG45"/>
  <c r="AN45"/>
  <c r="S45"/>
  <c r="Z45"/>
  <c r="AN47"/>
  <c r="Z47"/>
  <c r="S47"/>
  <c r="AG47"/>
  <c r="S49"/>
  <c r="AG49"/>
  <c r="AN49"/>
  <c r="Z49"/>
  <c r="Z51"/>
  <c r="S51"/>
  <c r="AN51"/>
  <c r="AG51"/>
  <c r="AN53"/>
  <c r="AG53"/>
  <c r="Z53"/>
  <c r="S53"/>
  <c r="AN55"/>
  <c r="Z55"/>
  <c r="AG55"/>
  <c r="S55"/>
  <c r="S33"/>
  <c r="AG33"/>
  <c r="Z33"/>
  <c r="AN33"/>
  <c r="AG59"/>
  <c r="S59"/>
  <c r="Z59"/>
  <c r="AN59"/>
  <c r="AN61"/>
  <c r="AG61"/>
  <c r="Z61"/>
  <c r="S61"/>
  <c r="S63"/>
  <c r="Z63"/>
  <c r="AG63"/>
  <c r="AN63"/>
  <c r="Z65"/>
  <c r="AG65"/>
  <c r="AN65"/>
  <c r="S65"/>
  <c r="AN67"/>
  <c r="Z67"/>
  <c r="S67"/>
  <c r="AG67"/>
  <c r="S71"/>
  <c r="AG71"/>
  <c r="AN71"/>
  <c r="Z71"/>
  <c r="S73"/>
  <c r="AG73"/>
  <c r="AN73"/>
  <c r="Z73"/>
  <c r="AG75"/>
  <c r="AN75"/>
  <c r="Z75"/>
  <c r="S75"/>
  <c r="S77"/>
  <c r="Z77"/>
  <c r="AN77"/>
  <c r="AG77"/>
  <c r="AN79"/>
  <c r="Z79"/>
  <c r="AG79"/>
  <c r="S79"/>
  <c r="Z57"/>
  <c r="AN57"/>
  <c r="S57"/>
  <c r="AG57"/>
  <c r="S70"/>
  <c r="AG70"/>
  <c r="Z70"/>
  <c r="AN70"/>
  <c r="AN82"/>
  <c r="Z82"/>
  <c r="S82"/>
  <c r="AG82"/>
  <c r="Z84"/>
  <c r="S84"/>
  <c r="AN84"/>
  <c r="AG84"/>
  <c r="S86"/>
  <c r="AG86"/>
  <c r="AN86"/>
  <c r="Z86"/>
  <c r="AN88"/>
  <c r="Z88"/>
  <c r="AG88"/>
  <c r="S88"/>
  <c r="S90"/>
  <c r="Z90"/>
  <c r="AN90"/>
  <c r="AG90"/>
  <c r="AN92"/>
  <c r="S92"/>
  <c r="AG92"/>
  <c r="Z92"/>
  <c r="AN94"/>
  <c r="Z94"/>
  <c r="AG94"/>
  <c r="S94"/>
  <c r="S96"/>
  <c r="AN96"/>
  <c r="Z96"/>
  <c r="AG96"/>
  <c r="AN98"/>
  <c r="AG98"/>
  <c r="S98"/>
  <c r="Z98"/>
  <c r="S100"/>
  <c r="AG100"/>
  <c r="AN100"/>
  <c r="Z100"/>
  <c r="S102"/>
  <c r="Z102"/>
  <c r="AN102"/>
  <c r="AG102"/>
  <c r="AN103"/>
  <c r="AG103"/>
  <c r="Z103"/>
  <c r="S103"/>
  <c r="AN107"/>
  <c r="Z107"/>
  <c r="AG107"/>
  <c r="S107"/>
  <c r="AN109"/>
  <c r="AG109"/>
  <c r="Z109"/>
  <c r="S109"/>
  <c r="Z111"/>
  <c r="S111"/>
  <c r="AG111"/>
  <c r="AN111"/>
  <c r="AG113"/>
  <c r="Z113"/>
  <c r="AN113"/>
  <c r="S113"/>
  <c r="AG115"/>
  <c r="S115"/>
  <c r="AN115"/>
  <c r="Z115"/>
  <c r="AN117"/>
  <c r="AG117"/>
  <c r="Z117"/>
  <c r="S117"/>
  <c r="AN119"/>
  <c r="AG119"/>
  <c r="Z119"/>
  <c r="S119"/>
  <c r="S121"/>
  <c r="AG121"/>
  <c r="AN121"/>
  <c r="Z121"/>
  <c r="AN123"/>
  <c r="AG123"/>
  <c r="Z123"/>
  <c r="S123"/>
  <c r="AN125"/>
  <c r="AG125"/>
  <c r="Z125"/>
  <c r="S125"/>
  <c r="AN127"/>
  <c r="Z127"/>
  <c r="AG127"/>
  <c r="S127"/>
  <c r="AN128"/>
  <c r="Z128"/>
  <c r="S128"/>
  <c r="AG128"/>
  <c r="E94"/>
  <c r="E109" i="6"/>
  <c r="E118" i="7"/>
  <c r="E133" i="6"/>
  <c r="E16" i="7"/>
  <c r="E31" i="6"/>
  <c r="E41" i="7"/>
  <c r="E56" i="6"/>
  <c r="E24" i="7"/>
  <c r="E39" i="6"/>
  <c r="E17" i="7"/>
  <c r="E32" i="6"/>
  <c r="K18" i="7"/>
  <c r="K33" i="6"/>
  <c r="K20" i="7"/>
  <c r="K35" i="6"/>
  <c r="K30" i="7"/>
  <c r="K45" i="6"/>
  <c r="K32" i="7"/>
  <c r="K47" i="6"/>
  <c r="K42" i="7"/>
  <c r="K57" i="6"/>
  <c r="K44" i="7"/>
  <c r="K59" i="6"/>
  <c r="K54" i="7"/>
  <c r="K69" i="6"/>
  <c r="K56" i="7"/>
  <c r="K71" i="6"/>
  <c r="K66" i="7"/>
  <c r="K81" i="6"/>
  <c r="K68" i="7"/>
  <c r="K83" i="6"/>
  <c r="K78" i="7"/>
  <c r="K93" i="6"/>
  <c r="K80" i="7"/>
  <c r="K95" i="6"/>
  <c r="K90" i="7"/>
  <c r="K105" i="6"/>
  <c r="K92" i="7"/>
  <c r="K107" i="6"/>
  <c r="K102" i="7"/>
  <c r="K117" i="6"/>
  <c r="K104" i="7"/>
  <c r="K119" i="6"/>
  <c r="K114" i="7"/>
  <c r="K129" i="6"/>
  <c r="K116" i="7"/>
  <c r="K131" i="6"/>
  <c r="K126" i="7"/>
  <c r="K141" i="6"/>
  <c r="K128" i="7"/>
  <c r="K143" i="6"/>
  <c r="N9" i="8"/>
  <c r="N13"/>
  <c r="N17"/>
  <c r="N21"/>
  <c r="N25"/>
  <c r="N29"/>
  <c r="N35"/>
  <c r="N51"/>
  <c r="M32"/>
  <c r="M34"/>
  <c r="S111"/>
  <c r="K122"/>
  <c r="N122" s="1"/>
  <c r="X122" s="1"/>
  <c r="Y122" s="1"/>
  <c r="Z122" s="1"/>
  <c r="K118"/>
  <c r="N118" s="1"/>
  <c r="X118" s="1"/>
  <c r="Y118" s="1"/>
  <c r="Z118" s="1"/>
  <c r="K114"/>
  <c r="N114" s="1"/>
  <c r="X114" s="1"/>
  <c r="Y114" s="1"/>
  <c r="Z114" s="1"/>
  <c r="K110"/>
  <c r="N110" s="1"/>
  <c r="X110" s="1"/>
  <c r="Y110" s="1"/>
  <c r="Z110" s="1"/>
  <c r="K106"/>
  <c r="N106" s="1"/>
  <c r="X106" s="1"/>
  <c r="Y106" s="1"/>
  <c r="Z106" s="1"/>
  <c r="M53"/>
  <c r="K48"/>
  <c r="K46"/>
  <c r="M46" s="1"/>
  <c r="K43"/>
  <c r="L43" s="1"/>
  <c r="K41"/>
  <c r="M37"/>
  <c r="K30"/>
  <c r="K28"/>
  <c r="K26"/>
  <c r="K24"/>
  <c r="M24" s="1"/>
  <c r="K22"/>
  <c r="K20"/>
  <c r="K18"/>
  <c r="K16"/>
  <c r="K14"/>
  <c r="K12"/>
  <c r="K102"/>
  <c r="K100"/>
  <c r="N100" s="1"/>
  <c r="K98"/>
  <c r="K96"/>
  <c r="N96" s="1"/>
  <c r="K94"/>
  <c r="K92"/>
  <c r="N92" s="1"/>
  <c r="K90"/>
  <c r="K88"/>
  <c r="N88" s="1"/>
  <c r="K86"/>
  <c r="K84"/>
  <c r="N84" s="1"/>
  <c r="K82"/>
  <c r="K104"/>
  <c r="K58"/>
  <c r="K60"/>
  <c r="K62"/>
  <c r="K64"/>
  <c r="K66"/>
  <c r="K68"/>
  <c r="K70"/>
  <c r="K72"/>
  <c r="K74"/>
  <c r="K76"/>
  <c r="M51" i="10"/>
  <c r="M54"/>
  <c r="N50"/>
  <c r="M52"/>
  <c r="M34"/>
  <c r="M53"/>
  <c r="M45"/>
  <c r="M117"/>
  <c r="N54"/>
  <c r="M79"/>
  <c r="N51"/>
  <c r="N105"/>
  <c r="K119"/>
  <c r="N103"/>
  <c r="K109"/>
  <c r="L109" s="1"/>
  <c r="K121"/>
  <c r="N121" s="1"/>
  <c r="K125"/>
  <c r="L125" s="1"/>
  <c r="K116"/>
  <c r="K107"/>
  <c r="K123"/>
  <c r="K47"/>
  <c r="K39"/>
  <c r="K78"/>
  <c r="L78" s="1"/>
  <c r="K74"/>
  <c r="L74" s="1"/>
  <c r="K70"/>
  <c r="L70" s="1"/>
  <c r="K66"/>
  <c r="L66" s="1"/>
  <c r="K62"/>
  <c r="L62" s="1"/>
  <c r="K58"/>
  <c r="L58" s="1"/>
  <c r="N87"/>
  <c r="N95"/>
  <c r="N82"/>
  <c r="N90"/>
  <c r="N98"/>
  <c r="K41"/>
  <c r="K37"/>
  <c r="K35"/>
  <c r="K33"/>
  <c r="M126"/>
  <c r="M118"/>
  <c r="K101"/>
  <c r="M101" s="1"/>
  <c r="K97"/>
  <c r="L97" s="1"/>
  <c r="K93"/>
  <c r="M93" s="1"/>
  <c r="K89"/>
  <c r="L89" s="1"/>
  <c r="K85"/>
  <c r="M85" s="1"/>
  <c r="K81"/>
  <c r="L81" s="1"/>
  <c r="S61"/>
  <c r="K55" s="1"/>
  <c r="G169" i="1"/>
  <c r="G161"/>
  <c r="G153"/>
  <c r="G145"/>
  <c r="G137"/>
  <c r="G129"/>
  <c r="G121"/>
  <c r="G113"/>
  <c r="G105"/>
  <c r="G97"/>
  <c r="G89"/>
  <c r="G81"/>
  <c r="G73"/>
  <c r="G57"/>
  <c r="G244"/>
  <c r="G236"/>
  <c r="G228"/>
  <c r="G220"/>
  <c r="G212"/>
  <c r="G204"/>
  <c r="G196"/>
  <c r="G188"/>
  <c r="G180"/>
  <c r="G172"/>
  <c r="G164"/>
  <c r="G156"/>
  <c r="G148"/>
  <c r="G140"/>
  <c r="G132"/>
  <c r="G124"/>
  <c r="G116"/>
  <c r="G108"/>
  <c r="G100"/>
  <c r="G92"/>
  <c r="G84"/>
  <c r="G76"/>
  <c r="G63"/>
  <c r="G47"/>
  <c r="J219"/>
  <c r="J27"/>
  <c r="K19" i="7" s="1"/>
  <c r="J243" i="1"/>
  <c r="J171"/>
  <c r="K91" i="7" s="1"/>
  <c r="E5" i="1"/>
  <c r="G59"/>
  <c r="G78"/>
  <c r="G82"/>
  <c r="G86"/>
  <c r="G94"/>
  <c r="G98"/>
  <c r="G102"/>
  <c r="G110"/>
  <c r="G114"/>
  <c r="G118"/>
  <c r="G126"/>
  <c r="G130"/>
  <c r="G134"/>
  <c r="G146"/>
  <c r="G150"/>
  <c r="G162"/>
  <c r="G166"/>
  <c r="G178"/>
  <c r="G182"/>
  <c r="G194"/>
  <c r="G198"/>
  <c r="G210"/>
  <c r="G214"/>
  <c r="G226"/>
  <c r="G230"/>
  <c r="G242"/>
  <c r="G45"/>
  <c r="G69"/>
  <c r="G75"/>
  <c r="G87"/>
  <c r="G91"/>
  <c r="G103"/>
  <c r="G107"/>
  <c r="G119"/>
  <c r="G123"/>
  <c r="G135"/>
  <c r="G139"/>
  <c r="G151"/>
  <c r="G155"/>
  <c r="G167"/>
  <c r="G171"/>
  <c r="G183"/>
  <c r="G187"/>
  <c r="G199"/>
  <c r="G203"/>
  <c r="G215"/>
  <c r="G219"/>
  <c r="G231"/>
  <c r="G235"/>
  <c r="G247"/>
  <c r="G43"/>
  <c r="G31"/>
  <c r="G27"/>
  <c r="G15"/>
  <c r="G11"/>
  <c r="G64"/>
  <c r="G60"/>
  <c r="G48"/>
  <c r="G44"/>
  <c r="G32"/>
  <c r="G28"/>
  <c r="G16"/>
  <c r="T9" i="7" l="1"/>
  <c r="U9" s="1"/>
  <c r="L52" i="8"/>
  <c r="M52"/>
  <c r="N52"/>
  <c r="M105"/>
  <c r="N105"/>
  <c r="X105" s="1"/>
  <c r="Y105" s="1"/>
  <c r="Z105" s="1"/>
  <c r="L8"/>
  <c r="N8"/>
  <c r="M8"/>
  <c r="M118"/>
  <c r="K80"/>
  <c r="K123"/>
  <c r="K115"/>
  <c r="K107"/>
  <c r="K36"/>
  <c r="K45"/>
  <c r="K103"/>
  <c r="K87"/>
  <c r="K127"/>
  <c r="K83"/>
  <c r="K97"/>
  <c r="K89"/>
  <c r="K108"/>
  <c r="K124"/>
  <c r="K117"/>
  <c r="K99"/>
  <c r="K81"/>
  <c r="K121"/>
  <c r="K126"/>
  <c r="M110"/>
  <c r="K119"/>
  <c r="K111"/>
  <c r="K95"/>
  <c r="K112"/>
  <c r="K113"/>
  <c r="K101"/>
  <c r="K93"/>
  <c r="K85"/>
  <c r="K116"/>
  <c r="K125"/>
  <c r="K109"/>
  <c r="K91"/>
  <c r="K120"/>
  <c r="G8" i="5"/>
  <c r="K16" i="1"/>
  <c r="G18" i="3"/>
  <c r="K48" i="1"/>
  <c r="E27" i="8" s="1"/>
  <c r="G50" i="3"/>
  <c r="G32" i="5"/>
  <c r="K64" i="1"/>
  <c r="G66" i="3"/>
  <c r="K31" i="1"/>
  <c r="E19" i="8" s="1"/>
  <c r="G33" i="3"/>
  <c r="G115" i="5"/>
  <c r="K231" i="1"/>
  <c r="G233" i="3"/>
  <c r="K199" i="1"/>
  <c r="E103" i="8" s="1"/>
  <c r="G201" i="3"/>
  <c r="K167" i="1"/>
  <c r="E86" i="8" s="1"/>
  <c r="G169" i="3"/>
  <c r="G67" i="5"/>
  <c r="K135" i="1"/>
  <c r="G137" i="3"/>
  <c r="K103" i="1"/>
  <c r="E55" i="8" s="1"/>
  <c r="G105" i="3"/>
  <c r="G34" i="5"/>
  <c r="K69" i="1"/>
  <c r="G71" i="3"/>
  <c r="K226" i="1"/>
  <c r="G113" i="5"/>
  <c r="G228" i="3"/>
  <c r="K210" i="1"/>
  <c r="E108" i="8" s="1"/>
  <c r="G212" i="3"/>
  <c r="K178" i="1"/>
  <c r="G89" i="5"/>
  <c r="G180" i="3"/>
  <c r="G72" i="5"/>
  <c r="K146" i="1"/>
  <c r="G148" i="3"/>
  <c r="K118" i="1"/>
  <c r="G59" i="5"/>
  <c r="G120" i="3"/>
  <c r="G100"/>
  <c r="K98" i="1"/>
  <c r="G48" i="5"/>
  <c r="K78" i="1"/>
  <c r="E42" i="8" s="1"/>
  <c r="G80" i="3"/>
  <c r="K127" i="7"/>
  <c r="K142" i="6"/>
  <c r="G31" i="5"/>
  <c r="G65" i="3"/>
  <c r="K63" i="1"/>
  <c r="G102" i="3"/>
  <c r="K100" i="1"/>
  <c r="G50" i="5"/>
  <c r="G57"/>
  <c r="G118" i="3"/>
  <c r="K116" i="1"/>
  <c r="G150" i="3"/>
  <c r="K148" i="1"/>
  <c r="G74" i="5"/>
  <c r="G198" i="3"/>
  <c r="K196" i="1"/>
  <c r="G98" i="5"/>
  <c r="G14"/>
  <c r="G30" i="3"/>
  <c r="K28" i="1"/>
  <c r="G46" i="3"/>
  <c r="K44" i="1"/>
  <c r="G21" i="5"/>
  <c r="G62" i="3"/>
  <c r="K60" i="1"/>
  <c r="E33" i="8" s="1"/>
  <c r="G13" i="3"/>
  <c r="K11" i="1"/>
  <c r="E8" i="8" s="1"/>
  <c r="G29" i="3"/>
  <c r="K27" i="1"/>
  <c r="G13" i="5"/>
  <c r="G45" i="3"/>
  <c r="K43" i="1"/>
  <c r="E25" i="8" s="1"/>
  <c r="G237" i="3"/>
  <c r="K235" i="1"/>
  <c r="E121" i="8" s="1"/>
  <c r="G221" i="3"/>
  <c r="K219" i="1"/>
  <c r="G109" i="5"/>
  <c r="G205" i="3"/>
  <c r="K203" i="1"/>
  <c r="E104" i="8" s="1"/>
  <c r="G189" i="3"/>
  <c r="K187" i="1"/>
  <c r="E97" i="8" s="1"/>
  <c r="G173" i="3"/>
  <c r="K171" i="1"/>
  <c r="G85" i="5"/>
  <c r="G157" i="3"/>
  <c r="K155" i="1"/>
  <c r="E80" i="8" s="1"/>
  <c r="G141" i="3"/>
  <c r="K139" i="1"/>
  <c r="E73" i="8" s="1"/>
  <c r="G125" i="3"/>
  <c r="K123" i="1"/>
  <c r="G61" i="5"/>
  <c r="G109" i="3"/>
  <c r="K107" i="1"/>
  <c r="E56" i="8" s="1"/>
  <c r="G93" i="3"/>
  <c r="K91" i="1"/>
  <c r="E49" i="8" s="1"/>
  <c r="G77" i="3"/>
  <c r="K75" i="1"/>
  <c r="G37" i="5"/>
  <c r="G47" i="3"/>
  <c r="K45" i="1"/>
  <c r="G22" i="5"/>
  <c r="G114"/>
  <c r="G232" i="3"/>
  <c r="K230" i="1"/>
  <c r="G216" i="3"/>
  <c r="K214" i="1"/>
  <c r="G107" i="5"/>
  <c r="G200" i="3"/>
  <c r="K198" i="1"/>
  <c r="E102" i="8" s="1"/>
  <c r="G90" i="5"/>
  <c r="G184" i="3"/>
  <c r="K182" i="1"/>
  <c r="G168" i="3"/>
  <c r="K166" i="1"/>
  <c r="G83" i="5"/>
  <c r="G152" i="3"/>
  <c r="K150" i="1"/>
  <c r="E78" i="8" s="1"/>
  <c r="G66" i="5"/>
  <c r="K134" i="1"/>
  <c r="G136" i="3"/>
  <c r="G128"/>
  <c r="K126" i="1"/>
  <c r="E66" i="8" s="1"/>
  <c r="G116" i="3"/>
  <c r="K114" i="1"/>
  <c r="E60" i="8" s="1"/>
  <c r="K102" i="1"/>
  <c r="E54" i="8" s="1"/>
  <c r="G104" i="3"/>
  <c r="G96"/>
  <c r="K94" i="1"/>
  <c r="G47" i="5"/>
  <c r="L55" i="10"/>
  <c r="N55"/>
  <c r="M55"/>
  <c r="K32" i="1"/>
  <c r="G15" i="5"/>
  <c r="G34" i="3"/>
  <c r="G7" i="5"/>
  <c r="K15" i="1"/>
  <c r="G17" i="3"/>
  <c r="K247" i="1"/>
  <c r="E127" i="8" s="1"/>
  <c r="G249" i="3"/>
  <c r="K215" i="1"/>
  <c r="E110" i="8" s="1"/>
  <c r="G217" i="3"/>
  <c r="G91" i="5"/>
  <c r="K183" i="1"/>
  <c r="G185" i="3"/>
  <c r="K151" i="1"/>
  <c r="E79" i="8" s="1"/>
  <c r="G153" i="3"/>
  <c r="K119" i="1"/>
  <c r="E62" i="8" s="1"/>
  <c r="G121" i="3"/>
  <c r="G43" i="5"/>
  <c r="K87" i="1"/>
  <c r="G89" i="3"/>
  <c r="G120" i="5"/>
  <c r="K242" i="1"/>
  <c r="G244" i="3"/>
  <c r="G96" i="5"/>
  <c r="K194" i="1"/>
  <c r="G196" i="3"/>
  <c r="K162" i="1"/>
  <c r="E84" i="8" s="1"/>
  <c r="G164" i="3"/>
  <c r="G65" i="5"/>
  <c r="G132" i="3"/>
  <c r="K130" i="1"/>
  <c r="K110"/>
  <c r="G54" i="5"/>
  <c r="G112" i="3"/>
  <c r="G42" i="5"/>
  <c r="K86" i="1"/>
  <c r="G88" i="3"/>
  <c r="K115" i="7"/>
  <c r="K130" i="6"/>
  <c r="G86" i="3"/>
  <c r="K84" i="1"/>
  <c r="E45" i="8" s="1"/>
  <c r="G134" i="3"/>
  <c r="K132" i="1"/>
  <c r="E69" i="8" s="1"/>
  <c r="G81" i="5"/>
  <c r="G166" i="3"/>
  <c r="K164" i="1"/>
  <c r="G182" i="3"/>
  <c r="K180" i="1"/>
  <c r="E93" i="8" s="1"/>
  <c r="G105" i="5"/>
  <c r="G214" i="3"/>
  <c r="K212" i="1"/>
  <c r="G230" i="3"/>
  <c r="K228" i="1"/>
  <c r="E117" i="8" s="1"/>
  <c r="G246" i="3"/>
  <c r="K244" i="1"/>
  <c r="G122" i="5"/>
  <c r="G75" i="3"/>
  <c r="K73" i="1"/>
  <c r="E40" i="8" s="1"/>
  <c r="G91" i="3"/>
  <c r="K89" i="1"/>
  <c r="E47" i="8" s="1"/>
  <c r="G52" i="5"/>
  <c r="G107" i="3"/>
  <c r="K105" i="1"/>
  <c r="G123" i="3"/>
  <c r="K121" i="1"/>
  <c r="E64" i="8" s="1"/>
  <c r="G139" i="3"/>
  <c r="K137" i="1"/>
  <c r="E71" i="8" s="1"/>
  <c r="G76" i="5"/>
  <c r="G155" i="3"/>
  <c r="K153" i="1"/>
  <c r="G171" i="3"/>
  <c r="K169" i="1"/>
  <c r="E88" i="8" s="1"/>
  <c r="L33" i="10"/>
  <c r="N33"/>
  <c r="M33"/>
  <c r="M37"/>
  <c r="L37"/>
  <c r="N37"/>
  <c r="N47"/>
  <c r="L47"/>
  <c r="M47"/>
  <c r="L107"/>
  <c r="N107"/>
  <c r="M107"/>
  <c r="L119"/>
  <c r="N119"/>
  <c r="N74" i="8"/>
  <c r="L74"/>
  <c r="M74"/>
  <c r="N70"/>
  <c r="L70"/>
  <c r="M70"/>
  <c r="N66"/>
  <c r="L66"/>
  <c r="M66"/>
  <c r="N62"/>
  <c r="L62"/>
  <c r="M62"/>
  <c r="N58"/>
  <c r="L58"/>
  <c r="M58"/>
  <c r="L82"/>
  <c r="M82"/>
  <c r="L86"/>
  <c r="M86"/>
  <c r="L90"/>
  <c r="M90"/>
  <c r="L94"/>
  <c r="M94"/>
  <c r="L98"/>
  <c r="M98"/>
  <c r="L102"/>
  <c r="M102"/>
  <c r="L14"/>
  <c r="M14"/>
  <c r="N14"/>
  <c r="L18"/>
  <c r="N18"/>
  <c r="M18"/>
  <c r="L22"/>
  <c r="M22"/>
  <c r="N22"/>
  <c r="L26"/>
  <c r="M26"/>
  <c r="N26"/>
  <c r="L30"/>
  <c r="M30"/>
  <c r="N30"/>
  <c r="L48"/>
  <c r="N48"/>
  <c r="M48"/>
  <c r="N12" i="10"/>
  <c r="L12"/>
  <c r="M12"/>
  <c r="N16"/>
  <c r="L16"/>
  <c r="M16"/>
  <c r="N20"/>
  <c r="L20"/>
  <c r="M20"/>
  <c r="N24"/>
  <c r="L24"/>
  <c r="M24"/>
  <c r="J74" i="6"/>
  <c r="I74"/>
  <c r="I132"/>
  <c r="J132"/>
  <c r="J31"/>
  <c r="I31"/>
  <c r="I67"/>
  <c r="J67"/>
  <c r="J116"/>
  <c r="I116"/>
  <c r="I92"/>
  <c r="J92"/>
  <c r="J44"/>
  <c r="I44"/>
  <c r="I72"/>
  <c r="J72"/>
  <c r="J121"/>
  <c r="I121"/>
  <c r="I37"/>
  <c r="J37"/>
  <c r="J65"/>
  <c r="I65"/>
  <c r="I98"/>
  <c r="J98"/>
  <c r="J137"/>
  <c r="I137"/>
  <c r="I30"/>
  <c r="J30"/>
  <c r="J123"/>
  <c r="I123"/>
  <c r="J50"/>
  <c r="I50"/>
  <c r="I51"/>
  <c r="J51"/>
  <c r="J27"/>
  <c r="I27"/>
  <c r="I124"/>
  <c r="J124"/>
  <c r="J96"/>
  <c r="I96"/>
  <c r="I52"/>
  <c r="J52"/>
  <c r="J76"/>
  <c r="I76"/>
  <c r="I109"/>
  <c r="J109"/>
  <c r="J89"/>
  <c r="I89"/>
  <c r="I77"/>
  <c r="J77"/>
  <c r="J122"/>
  <c r="I122"/>
  <c r="I102"/>
  <c r="J102"/>
  <c r="J133"/>
  <c r="I133"/>
  <c r="I66"/>
  <c r="J66"/>
  <c r="J103"/>
  <c r="I103"/>
  <c r="I134"/>
  <c r="J134"/>
  <c r="J29"/>
  <c r="I29"/>
  <c r="I120"/>
  <c r="J120"/>
  <c r="J28"/>
  <c r="I28"/>
  <c r="I49"/>
  <c r="J49"/>
  <c r="J38"/>
  <c r="I38"/>
  <c r="I101"/>
  <c r="J101"/>
  <c r="J108"/>
  <c r="I108"/>
  <c r="I112"/>
  <c r="J112"/>
  <c r="J64"/>
  <c r="I64"/>
  <c r="I41"/>
  <c r="J41"/>
  <c r="J107"/>
  <c r="L107" s="1"/>
  <c r="I107"/>
  <c r="J57"/>
  <c r="L57" s="1"/>
  <c r="I57"/>
  <c r="J69"/>
  <c r="L69" s="1"/>
  <c r="I69"/>
  <c r="J143"/>
  <c r="L143" s="1"/>
  <c r="I143"/>
  <c r="J94"/>
  <c r="L94" s="1"/>
  <c r="I94"/>
  <c r="J131"/>
  <c r="L131" s="1"/>
  <c r="I131"/>
  <c r="J82"/>
  <c r="L82" s="1"/>
  <c r="I82"/>
  <c r="J117"/>
  <c r="L117" s="1"/>
  <c r="I117"/>
  <c r="I71"/>
  <c r="N71" s="1"/>
  <c r="J71"/>
  <c r="L71" s="1"/>
  <c r="J70"/>
  <c r="L70" s="1"/>
  <c r="I70"/>
  <c r="J83"/>
  <c r="L83" s="1"/>
  <c r="I83"/>
  <c r="J46"/>
  <c r="L46" s="1"/>
  <c r="I46"/>
  <c r="J130"/>
  <c r="L130" s="1"/>
  <c r="I130"/>
  <c r="J93"/>
  <c r="L93" s="1"/>
  <c r="I93"/>
  <c r="J47"/>
  <c r="L47" s="1"/>
  <c r="I47"/>
  <c r="J53"/>
  <c r="I53"/>
  <c r="J135"/>
  <c r="I135"/>
  <c r="J78"/>
  <c r="I78"/>
  <c r="J79"/>
  <c r="I79"/>
  <c r="J111" i="7"/>
  <c r="I111"/>
  <c r="J57"/>
  <c r="I57"/>
  <c r="J38"/>
  <c r="I38"/>
  <c r="J28"/>
  <c r="I28"/>
  <c r="J117"/>
  <c r="I117"/>
  <c r="J75"/>
  <c r="I75"/>
  <c r="J48"/>
  <c r="I48"/>
  <c r="J34"/>
  <c r="I34"/>
  <c r="J26"/>
  <c r="I26"/>
  <c r="J14"/>
  <c r="I14"/>
  <c r="J109"/>
  <c r="I109"/>
  <c r="J105"/>
  <c r="I105"/>
  <c r="J99"/>
  <c r="I99"/>
  <c r="J41"/>
  <c r="I41"/>
  <c r="J94"/>
  <c r="I94"/>
  <c r="J9"/>
  <c r="I9"/>
  <c r="J124"/>
  <c r="I124"/>
  <c r="J118"/>
  <c r="I118"/>
  <c r="J83"/>
  <c r="I83"/>
  <c r="J74"/>
  <c r="I74"/>
  <c r="J65"/>
  <c r="I65"/>
  <c r="J58"/>
  <c r="I58"/>
  <c r="J49"/>
  <c r="I49"/>
  <c r="J27"/>
  <c r="I27"/>
  <c r="J125"/>
  <c r="I125"/>
  <c r="J119"/>
  <c r="I119"/>
  <c r="J86"/>
  <c r="I86"/>
  <c r="J76"/>
  <c r="I76"/>
  <c r="J70"/>
  <c r="I70"/>
  <c r="J59"/>
  <c r="I59"/>
  <c r="J50"/>
  <c r="I50"/>
  <c r="J36"/>
  <c r="I36"/>
  <c r="J97"/>
  <c r="I97"/>
  <c r="J93"/>
  <c r="I93"/>
  <c r="J87"/>
  <c r="I87"/>
  <c r="J15"/>
  <c r="I15"/>
  <c r="J60"/>
  <c r="I60"/>
  <c r="J85"/>
  <c r="I85"/>
  <c r="J108"/>
  <c r="I108"/>
  <c r="J100"/>
  <c r="I100"/>
  <c r="J40"/>
  <c r="I40"/>
  <c r="J116"/>
  <c r="L116" s="1"/>
  <c r="I116"/>
  <c r="J67"/>
  <c r="L67" s="1"/>
  <c r="I67"/>
  <c r="J45"/>
  <c r="I45"/>
  <c r="J88"/>
  <c r="I88"/>
  <c r="J92"/>
  <c r="L92" s="1"/>
  <c r="I92"/>
  <c r="J102"/>
  <c r="L102" s="1"/>
  <c r="I102"/>
  <c r="J110"/>
  <c r="I110"/>
  <c r="J19"/>
  <c r="L19" s="1"/>
  <c r="I19"/>
  <c r="J115"/>
  <c r="L115" s="1"/>
  <c r="I115"/>
  <c r="J68"/>
  <c r="L68" s="1"/>
  <c r="I68"/>
  <c r="J103"/>
  <c r="L103" s="1"/>
  <c r="I103"/>
  <c r="J31"/>
  <c r="L31" s="1"/>
  <c r="I31"/>
  <c r="J54"/>
  <c r="L54" s="1"/>
  <c r="I54"/>
  <c r="J56"/>
  <c r="L56" s="1"/>
  <c r="I56"/>
  <c r="J128"/>
  <c r="L128" s="1"/>
  <c r="I128"/>
  <c r="J44"/>
  <c r="L44" s="1"/>
  <c r="I44"/>
  <c r="J55"/>
  <c r="L55" s="1"/>
  <c r="I55"/>
  <c r="J126"/>
  <c r="L126" s="1"/>
  <c r="I126"/>
  <c r="J127"/>
  <c r="L127" s="1"/>
  <c r="I127"/>
  <c r="K9"/>
  <c r="K24" i="6"/>
  <c r="K15" i="7"/>
  <c r="K30" i="6"/>
  <c r="K23" i="7"/>
  <c r="K38" i="6"/>
  <c r="K48" i="7"/>
  <c r="K63" i="6"/>
  <c r="K53" i="7"/>
  <c r="K68" i="6"/>
  <c r="K71" i="7"/>
  <c r="K86" i="6"/>
  <c r="K93" i="7"/>
  <c r="K108" i="6"/>
  <c r="K98" i="7"/>
  <c r="K113" i="6"/>
  <c r="K120" i="7"/>
  <c r="K135" i="6"/>
  <c r="K125" i="7"/>
  <c r="K140" i="6"/>
  <c r="K35" i="7"/>
  <c r="K50" i="6"/>
  <c r="K60" i="7"/>
  <c r="K75" i="6"/>
  <c r="K65" i="7"/>
  <c r="K80" i="6"/>
  <c r="K83" i="7"/>
  <c r="K98" i="6"/>
  <c r="K112" i="7"/>
  <c r="K127" i="6"/>
  <c r="K11" i="7"/>
  <c r="K26" i="6"/>
  <c r="K49" i="7"/>
  <c r="K64" i="6"/>
  <c r="K94" i="7"/>
  <c r="K109" i="6"/>
  <c r="K121" i="7"/>
  <c r="K136" i="6"/>
  <c r="K61" i="7"/>
  <c r="K76" i="6"/>
  <c r="K108" i="7"/>
  <c r="K123" i="6"/>
  <c r="K113" i="7"/>
  <c r="K128" i="6"/>
  <c r="K21" i="7"/>
  <c r="K36" i="6"/>
  <c r="K26" i="7"/>
  <c r="K41" i="6"/>
  <c r="K51" i="7"/>
  <c r="K66" i="6"/>
  <c r="K69" i="7"/>
  <c r="K84" i="6"/>
  <c r="K74" i="7"/>
  <c r="K89" i="6"/>
  <c r="K96" i="7"/>
  <c r="K111" i="6"/>
  <c r="K101" i="7"/>
  <c r="K116" i="6"/>
  <c r="K123" i="7"/>
  <c r="K138" i="6"/>
  <c r="K33" i="7"/>
  <c r="K48" i="6"/>
  <c r="K38" i="7"/>
  <c r="K53" i="6"/>
  <c r="K63" i="7"/>
  <c r="K78" i="6"/>
  <c r="K81" i="7"/>
  <c r="K96" i="6"/>
  <c r="K86" i="7"/>
  <c r="K101" i="6"/>
  <c r="K109" i="7"/>
  <c r="K124" i="6"/>
  <c r="K12" i="7"/>
  <c r="K27" i="6"/>
  <c r="K17" i="7"/>
  <c r="K32" i="6"/>
  <c r="K28" i="7"/>
  <c r="K43" i="6"/>
  <c r="K46" i="7"/>
  <c r="K61" i="6"/>
  <c r="K76" i="7"/>
  <c r="K91" i="6"/>
  <c r="K118" i="7"/>
  <c r="K133" i="6"/>
  <c r="K40" i="7"/>
  <c r="K55" i="6"/>
  <c r="K58" i="7"/>
  <c r="K73" i="6"/>
  <c r="K88" i="7"/>
  <c r="K103" i="6"/>
  <c r="K105" i="7"/>
  <c r="K120" i="6"/>
  <c r="K110" i="7"/>
  <c r="K125" i="6"/>
  <c r="L102" i="10"/>
  <c r="N102"/>
  <c r="M102"/>
  <c r="L98"/>
  <c r="M98"/>
  <c r="L94"/>
  <c r="N94"/>
  <c r="M94"/>
  <c r="L90"/>
  <c r="M90"/>
  <c r="L86"/>
  <c r="N86"/>
  <c r="M86"/>
  <c r="L82"/>
  <c r="M82"/>
  <c r="L63" i="8"/>
  <c r="N63"/>
  <c r="L71"/>
  <c r="N71"/>
  <c r="L79"/>
  <c r="N79"/>
  <c r="L57"/>
  <c r="N57"/>
  <c r="L65"/>
  <c r="N65"/>
  <c r="L73"/>
  <c r="N73"/>
  <c r="M31"/>
  <c r="L31"/>
  <c r="M23"/>
  <c r="L23"/>
  <c r="L15"/>
  <c r="M15"/>
  <c r="N78"/>
  <c r="L78"/>
  <c r="M78"/>
  <c r="N112" i="10"/>
  <c r="M112"/>
  <c r="L112"/>
  <c r="M106"/>
  <c r="N106"/>
  <c r="L106"/>
  <c r="L111"/>
  <c r="N111"/>
  <c r="L126"/>
  <c r="N126"/>
  <c r="L7"/>
  <c r="L11"/>
  <c r="M11"/>
  <c r="N11"/>
  <c r="L15"/>
  <c r="M15"/>
  <c r="N15"/>
  <c r="L19"/>
  <c r="M19"/>
  <c r="N19"/>
  <c r="L23"/>
  <c r="M23"/>
  <c r="N23"/>
  <c r="L27"/>
  <c r="M27"/>
  <c r="N27"/>
  <c r="L30"/>
  <c r="N30"/>
  <c r="M30"/>
  <c r="L28"/>
  <c r="N28"/>
  <c r="M28"/>
  <c r="L38" i="8"/>
  <c r="M38"/>
  <c r="N38"/>
  <c r="L32"/>
  <c r="N32"/>
  <c r="N49"/>
  <c r="L49"/>
  <c r="M49"/>
  <c r="L44"/>
  <c r="N44"/>
  <c r="M44"/>
  <c r="N37"/>
  <c r="L37"/>
  <c r="M89" i="10"/>
  <c r="M109"/>
  <c r="M125"/>
  <c r="M122" i="8"/>
  <c r="M114"/>
  <c r="M106"/>
  <c r="N43"/>
  <c r="K106" i="6"/>
  <c r="K34"/>
  <c r="N78" i="10"/>
  <c r="N74"/>
  <c r="N70"/>
  <c r="N66"/>
  <c r="N62"/>
  <c r="N58"/>
  <c r="K77"/>
  <c r="K73"/>
  <c r="K69"/>
  <c r="K65"/>
  <c r="K61"/>
  <c r="K57"/>
  <c r="N81"/>
  <c r="N89"/>
  <c r="N97"/>
  <c r="N15" i="8"/>
  <c r="N23"/>
  <c r="N31"/>
  <c r="G41" i="5"/>
  <c r="G84" i="3"/>
  <c r="K82" i="1"/>
  <c r="G61" i="3"/>
  <c r="K59" i="1"/>
  <c r="E32" i="8" s="1"/>
  <c r="K47" i="1"/>
  <c r="E26" i="8" s="1"/>
  <c r="G49" i="3"/>
  <c r="K76" i="1"/>
  <c r="G38" i="5"/>
  <c r="G78" i="3"/>
  <c r="K92" i="1"/>
  <c r="G45" i="5"/>
  <c r="G94" i="3"/>
  <c r="K108" i="1"/>
  <c r="E57" i="8" s="1"/>
  <c r="G110" i="3"/>
  <c r="K124" i="1"/>
  <c r="G62" i="5"/>
  <c r="G126" i="3"/>
  <c r="K140" i="1"/>
  <c r="G69" i="5"/>
  <c r="G142" i="3"/>
  <c r="K156" i="1"/>
  <c r="E81" i="8" s="1"/>
  <c r="G158" i="3"/>
  <c r="K172" i="1"/>
  <c r="G86" i="5"/>
  <c r="G174" i="3"/>
  <c r="K188" i="1"/>
  <c r="G93" i="5"/>
  <c r="G190" i="3"/>
  <c r="K204" i="1"/>
  <c r="E105" i="8" s="1"/>
  <c r="G206" i="3"/>
  <c r="K220" i="1"/>
  <c r="G110" i="5"/>
  <c r="G222" i="3"/>
  <c r="K236" i="1"/>
  <c r="G117" i="5"/>
  <c r="G238" i="3"/>
  <c r="K57" i="1"/>
  <c r="G28" i="5"/>
  <c r="G59" i="3"/>
  <c r="K81" i="1"/>
  <c r="G40" i="5"/>
  <c r="G83" i="3"/>
  <c r="K97" i="1"/>
  <c r="E52" i="8" s="1"/>
  <c r="G99" i="3"/>
  <c r="K113" i="1"/>
  <c r="E59" i="8" s="1"/>
  <c r="G115" i="3"/>
  <c r="K129" i="1"/>
  <c r="G64" i="5"/>
  <c r="G131" i="3"/>
  <c r="K145" i="1"/>
  <c r="E76" i="8" s="1"/>
  <c r="G147" i="3"/>
  <c r="K161" i="1"/>
  <c r="E83" i="8" s="1"/>
  <c r="G163" i="3"/>
  <c r="N85" i="10"/>
  <c r="L85"/>
  <c r="N93"/>
  <c r="L93"/>
  <c r="N101"/>
  <c r="L101"/>
  <c r="N35"/>
  <c r="L35"/>
  <c r="M35"/>
  <c r="L41"/>
  <c r="N41"/>
  <c r="M41"/>
  <c r="N39"/>
  <c r="M39"/>
  <c r="L39"/>
  <c r="L123"/>
  <c r="N123"/>
  <c r="M123"/>
  <c r="N116"/>
  <c r="M116"/>
  <c r="L116"/>
  <c r="L121"/>
  <c r="M121"/>
  <c r="N76" i="8"/>
  <c r="M76"/>
  <c r="L76"/>
  <c r="N72"/>
  <c r="M72"/>
  <c r="L72"/>
  <c r="N68"/>
  <c r="M68"/>
  <c r="L68"/>
  <c r="N64"/>
  <c r="M64"/>
  <c r="L64"/>
  <c r="N60"/>
  <c r="M60"/>
  <c r="L60"/>
  <c r="N104"/>
  <c r="X104" s="1"/>
  <c r="Y104" s="1"/>
  <c r="Z104" s="1"/>
  <c r="M104"/>
  <c r="L84"/>
  <c r="M84"/>
  <c r="L88"/>
  <c r="M88"/>
  <c r="M92"/>
  <c r="L92"/>
  <c r="M96"/>
  <c r="L96"/>
  <c r="M100"/>
  <c r="L100"/>
  <c r="L12"/>
  <c r="N12"/>
  <c r="M12"/>
  <c r="L16"/>
  <c r="N16"/>
  <c r="L20"/>
  <c r="N20"/>
  <c r="M20"/>
  <c r="L24"/>
  <c r="N24"/>
  <c r="L28"/>
  <c r="N28"/>
  <c r="M28"/>
  <c r="N41"/>
  <c r="M41"/>
  <c r="L41"/>
  <c r="L46"/>
  <c r="N46"/>
  <c r="N10" i="10"/>
  <c r="M10"/>
  <c r="L10"/>
  <c r="N14"/>
  <c r="M14"/>
  <c r="L14"/>
  <c r="N18"/>
  <c r="M18"/>
  <c r="L18"/>
  <c r="N22"/>
  <c r="M22"/>
  <c r="L22"/>
  <c r="N26"/>
  <c r="M26"/>
  <c r="L26"/>
  <c r="J127" i="6"/>
  <c r="L127" s="1"/>
  <c r="I127"/>
  <c r="N127" s="1"/>
  <c r="I138"/>
  <c r="J138"/>
  <c r="L138" s="1"/>
  <c r="I24"/>
  <c r="J24"/>
  <c r="L24" s="1"/>
  <c r="J75"/>
  <c r="L75" s="1"/>
  <c r="I75"/>
  <c r="N75" s="1"/>
  <c r="J128"/>
  <c r="L128" s="1"/>
  <c r="I128"/>
  <c r="N128" s="1"/>
  <c r="I100"/>
  <c r="J100"/>
  <c r="I84"/>
  <c r="J84"/>
  <c r="L84" s="1"/>
  <c r="J36"/>
  <c r="L36" s="1"/>
  <c r="I36"/>
  <c r="N36" s="1"/>
  <c r="J60"/>
  <c r="I60"/>
  <c r="I113"/>
  <c r="J113"/>
  <c r="L113" s="1"/>
  <c r="I25"/>
  <c r="J25"/>
  <c r="J110"/>
  <c r="I110"/>
  <c r="J86"/>
  <c r="L86" s="1"/>
  <c r="I86"/>
  <c r="N86" s="1"/>
  <c r="I140"/>
  <c r="J140"/>
  <c r="L140" s="1"/>
  <c r="J62"/>
  <c r="I62"/>
  <c r="I111"/>
  <c r="J111"/>
  <c r="L111" s="1"/>
  <c r="J126"/>
  <c r="I126"/>
  <c r="I39"/>
  <c r="J39"/>
  <c r="J63"/>
  <c r="L63" s="1"/>
  <c r="I63"/>
  <c r="N63" s="1"/>
  <c r="J104"/>
  <c r="I104"/>
  <c r="I88"/>
  <c r="J88"/>
  <c r="J40"/>
  <c r="I40"/>
  <c r="I68"/>
  <c r="J68"/>
  <c r="L68" s="1"/>
  <c r="J97"/>
  <c r="I97"/>
  <c r="J136"/>
  <c r="L136" s="1"/>
  <c r="I136"/>
  <c r="N136" s="1"/>
  <c r="I61"/>
  <c r="J61"/>
  <c r="L61" s="1"/>
  <c r="I114"/>
  <c r="J114"/>
  <c r="J90"/>
  <c r="I90"/>
  <c r="J42"/>
  <c r="I42"/>
  <c r="I115"/>
  <c r="J115"/>
  <c r="I91"/>
  <c r="J91"/>
  <c r="L91" s="1"/>
  <c r="J48"/>
  <c r="L48" s="1"/>
  <c r="I48"/>
  <c r="N48" s="1"/>
  <c r="J55"/>
  <c r="L55" s="1"/>
  <c r="I55"/>
  <c r="N55" s="1"/>
  <c r="J139"/>
  <c r="I139"/>
  <c r="I125"/>
  <c r="J125"/>
  <c r="L125" s="1"/>
  <c r="I73"/>
  <c r="J73"/>
  <c r="L73" s="1"/>
  <c r="J87"/>
  <c r="I87"/>
  <c r="J56"/>
  <c r="I56"/>
  <c r="J43"/>
  <c r="L43" s="1"/>
  <c r="I43"/>
  <c r="N43" s="1"/>
  <c r="I32"/>
  <c r="J32"/>
  <c r="L32" s="1"/>
  <c r="J85"/>
  <c r="I85"/>
  <c r="J26"/>
  <c r="L26" s="1"/>
  <c r="I26"/>
  <c r="N26" s="1"/>
  <c r="I106"/>
  <c r="J106"/>
  <c r="L106" s="1"/>
  <c r="I59"/>
  <c r="J59"/>
  <c r="L59" s="1"/>
  <c r="I119"/>
  <c r="J119"/>
  <c r="L119" s="1"/>
  <c r="I45"/>
  <c r="J45"/>
  <c r="L45" s="1"/>
  <c r="I142"/>
  <c r="J142"/>
  <c r="L142" s="1"/>
  <c r="I58"/>
  <c r="J58"/>
  <c r="L58" s="1"/>
  <c r="I33"/>
  <c r="J33"/>
  <c r="L33" s="1"/>
  <c r="I129"/>
  <c r="J129"/>
  <c r="L129" s="1"/>
  <c r="J34"/>
  <c r="L34" s="1"/>
  <c r="I34"/>
  <c r="N34" s="1"/>
  <c r="I141"/>
  <c r="J141"/>
  <c r="L141" s="1"/>
  <c r="I95"/>
  <c r="J95"/>
  <c r="L95" s="1"/>
  <c r="I118"/>
  <c r="J118"/>
  <c r="L118" s="1"/>
  <c r="I81"/>
  <c r="J81"/>
  <c r="L81" s="1"/>
  <c r="I105"/>
  <c r="J105"/>
  <c r="L105" s="1"/>
  <c r="J35"/>
  <c r="L35" s="1"/>
  <c r="I35"/>
  <c r="N35" s="1"/>
  <c r="J99"/>
  <c r="I99"/>
  <c r="J80"/>
  <c r="L80" s="1"/>
  <c r="I80"/>
  <c r="N80" s="1"/>
  <c r="J54"/>
  <c r="I54"/>
  <c r="J120" i="7"/>
  <c r="L120" s="1"/>
  <c r="I120"/>
  <c r="J72"/>
  <c r="I72"/>
  <c r="J51"/>
  <c r="L51" s="1"/>
  <c r="I51"/>
  <c r="J35"/>
  <c r="L35" s="1"/>
  <c r="I35"/>
  <c r="J123"/>
  <c r="L123" s="1"/>
  <c r="I123"/>
  <c r="J81"/>
  <c r="L81" s="1"/>
  <c r="I81"/>
  <c r="J69"/>
  <c r="L69" s="1"/>
  <c r="I69"/>
  <c r="J37"/>
  <c r="I37"/>
  <c r="J29"/>
  <c r="I29"/>
  <c r="J23"/>
  <c r="L23" s="1"/>
  <c r="I23"/>
  <c r="J12"/>
  <c r="L12" s="1"/>
  <c r="I12"/>
  <c r="J107"/>
  <c r="I107"/>
  <c r="J101"/>
  <c r="L101" s="1"/>
  <c r="I101"/>
  <c r="J16"/>
  <c r="I16"/>
  <c r="J98"/>
  <c r="L98" s="1"/>
  <c r="I98"/>
  <c r="J11"/>
  <c r="L11" s="1"/>
  <c r="I11"/>
  <c r="J84"/>
  <c r="I84"/>
  <c r="J121"/>
  <c r="L121" s="1"/>
  <c r="I121"/>
  <c r="J112"/>
  <c r="L112" s="1"/>
  <c r="I112"/>
  <c r="J77"/>
  <c r="I77"/>
  <c r="J71"/>
  <c r="L71" s="1"/>
  <c r="I71"/>
  <c r="J63"/>
  <c r="L63" s="1"/>
  <c r="I63"/>
  <c r="J52"/>
  <c r="I52"/>
  <c r="J33"/>
  <c r="L33" s="1"/>
  <c r="I33"/>
  <c r="J21"/>
  <c r="L21" s="1"/>
  <c r="I21"/>
  <c r="J122"/>
  <c r="I122"/>
  <c r="J113"/>
  <c r="L113" s="1"/>
  <c r="I113"/>
  <c r="J82"/>
  <c r="I82"/>
  <c r="J73"/>
  <c r="I73"/>
  <c r="J64"/>
  <c r="I64"/>
  <c r="J53"/>
  <c r="L53" s="1"/>
  <c r="I53"/>
  <c r="J47"/>
  <c r="I47"/>
  <c r="J24"/>
  <c r="I24"/>
  <c r="J95"/>
  <c r="I95"/>
  <c r="J89"/>
  <c r="I89"/>
  <c r="J10"/>
  <c r="I10"/>
  <c r="J46"/>
  <c r="L46" s="1"/>
  <c r="I46"/>
  <c r="J61"/>
  <c r="L61" s="1"/>
  <c r="I61"/>
  <c r="J25"/>
  <c r="I25"/>
  <c r="J106"/>
  <c r="I106"/>
  <c r="J39"/>
  <c r="I39"/>
  <c r="J17"/>
  <c r="L17" s="1"/>
  <c r="I17"/>
  <c r="J66"/>
  <c r="L66" s="1"/>
  <c r="I66"/>
  <c r="J62"/>
  <c r="I62"/>
  <c r="J18"/>
  <c r="L18" s="1"/>
  <c r="I18"/>
  <c r="J90"/>
  <c r="L90" s="1"/>
  <c r="I90"/>
  <c r="J96"/>
  <c r="L96" s="1"/>
  <c r="I96"/>
  <c r="J104"/>
  <c r="L104" s="1"/>
  <c r="I104"/>
  <c r="J13"/>
  <c r="I13"/>
  <c r="J22"/>
  <c r="I22"/>
  <c r="J114"/>
  <c r="L114" s="1"/>
  <c r="I114"/>
  <c r="J91"/>
  <c r="L91" s="1"/>
  <c r="I91"/>
  <c r="J20"/>
  <c r="L20" s="1"/>
  <c r="I20"/>
  <c r="J43"/>
  <c r="L43" s="1"/>
  <c r="I43"/>
  <c r="J30"/>
  <c r="L30" s="1"/>
  <c r="I30"/>
  <c r="J79"/>
  <c r="L79" s="1"/>
  <c r="I79"/>
  <c r="J32"/>
  <c r="L32" s="1"/>
  <c r="I32"/>
  <c r="J42"/>
  <c r="L42" s="1"/>
  <c r="I42"/>
  <c r="J78"/>
  <c r="L78" s="1"/>
  <c r="I78"/>
  <c r="J80"/>
  <c r="L80" s="1"/>
  <c r="I80"/>
  <c r="K16"/>
  <c r="K31" i="6"/>
  <c r="K24" i="7"/>
  <c r="K39" i="6"/>
  <c r="K29" i="7"/>
  <c r="K44" i="6"/>
  <c r="K47" i="7"/>
  <c r="K62" i="6"/>
  <c r="K72" i="7"/>
  <c r="K87" i="6"/>
  <c r="K77" i="7"/>
  <c r="K92" i="6"/>
  <c r="K99" i="7"/>
  <c r="K114" i="6"/>
  <c r="K119" i="7"/>
  <c r="K134" i="6"/>
  <c r="K36" i="7"/>
  <c r="K51" i="6"/>
  <c r="K41" i="7"/>
  <c r="K56" i="6"/>
  <c r="K59" i="7"/>
  <c r="K74" i="6"/>
  <c r="K84" i="7"/>
  <c r="K99" i="6"/>
  <c r="K89" i="7"/>
  <c r="K104" i="6"/>
  <c r="K106" i="7"/>
  <c r="K121" i="6"/>
  <c r="K10" i="7"/>
  <c r="K25" i="6"/>
  <c r="K25" i="7"/>
  <c r="K40" i="6"/>
  <c r="K73" i="7"/>
  <c r="K88" i="6"/>
  <c r="K100" i="7"/>
  <c r="K115" i="6"/>
  <c r="K37" i="7"/>
  <c r="K52" i="6"/>
  <c r="K85" i="7"/>
  <c r="K100" i="6"/>
  <c r="K107" i="7"/>
  <c r="K122" i="6"/>
  <c r="K14" i="7"/>
  <c r="K29" i="6"/>
  <c r="K27" i="7"/>
  <c r="K42" i="6"/>
  <c r="K45" i="7"/>
  <c r="K60" i="6"/>
  <c r="K50" i="7"/>
  <c r="K65" i="6"/>
  <c r="K75" i="7"/>
  <c r="K90" i="6"/>
  <c r="K95" i="7"/>
  <c r="K110" i="6"/>
  <c r="K117" i="7"/>
  <c r="K132" i="6"/>
  <c r="K122" i="7"/>
  <c r="K137" i="6"/>
  <c r="K39" i="7"/>
  <c r="K54" i="6"/>
  <c r="K57" i="7"/>
  <c r="K72" i="6"/>
  <c r="K62" i="7"/>
  <c r="K77" i="6"/>
  <c r="K87" i="7"/>
  <c r="K102" i="6"/>
  <c r="K13" i="7"/>
  <c r="K28" i="6"/>
  <c r="K22" i="7"/>
  <c r="K37" i="6"/>
  <c r="K52" i="7"/>
  <c r="K67" i="6"/>
  <c r="K70" i="7"/>
  <c r="K85" i="6"/>
  <c r="K97" i="7"/>
  <c r="K112" i="6"/>
  <c r="K124" i="7"/>
  <c r="K139" i="6"/>
  <c r="K34" i="7"/>
  <c r="K49" i="6"/>
  <c r="K64" i="7"/>
  <c r="K79" i="6"/>
  <c r="K82" i="7"/>
  <c r="K97" i="6"/>
  <c r="K111" i="7"/>
  <c r="K126" i="6"/>
  <c r="L100" i="10"/>
  <c r="N100"/>
  <c r="M100"/>
  <c r="L96"/>
  <c r="M96"/>
  <c r="L92"/>
  <c r="N92"/>
  <c r="M92"/>
  <c r="L88"/>
  <c r="M88"/>
  <c r="L84"/>
  <c r="N84"/>
  <c r="M84"/>
  <c r="L80"/>
  <c r="N80"/>
  <c r="M80"/>
  <c r="L59" i="8"/>
  <c r="N59"/>
  <c r="L67"/>
  <c r="N67"/>
  <c r="L75"/>
  <c r="N75"/>
  <c r="L56"/>
  <c r="N56"/>
  <c r="M56"/>
  <c r="L61"/>
  <c r="N61"/>
  <c r="L69"/>
  <c r="N69"/>
  <c r="L77"/>
  <c r="N77"/>
  <c r="M27"/>
  <c r="L27"/>
  <c r="M19"/>
  <c r="L19"/>
  <c r="M11"/>
  <c r="L11"/>
  <c r="M83" i="10"/>
  <c r="N83"/>
  <c r="L83"/>
  <c r="M87"/>
  <c r="L87"/>
  <c r="M91"/>
  <c r="N91"/>
  <c r="L91"/>
  <c r="M95"/>
  <c r="L95"/>
  <c r="M99"/>
  <c r="N99"/>
  <c r="L99"/>
  <c r="L10" i="8"/>
  <c r="M10"/>
  <c r="N10"/>
  <c r="N104" i="10"/>
  <c r="M104"/>
  <c r="L104"/>
  <c r="N120"/>
  <c r="M120"/>
  <c r="L120"/>
  <c r="M122"/>
  <c r="N122"/>
  <c r="L122"/>
  <c r="L110"/>
  <c r="N110"/>
  <c r="L9"/>
  <c r="N9"/>
  <c r="M9"/>
  <c r="L13"/>
  <c r="N13"/>
  <c r="M13"/>
  <c r="L17"/>
  <c r="N17"/>
  <c r="M17"/>
  <c r="L21"/>
  <c r="N21"/>
  <c r="M21"/>
  <c r="L25"/>
  <c r="N25"/>
  <c r="M25"/>
  <c r="L8"/>
  <c r="N8"/>
  <c r="M8"/>
  <c r="L29"/>
  <c r="N29"/>
  <c r="M29"/>
  <c r="L54" i="8"/>
  <c r="N54"/>
  <c r="M54"/>
  <c r="L42"/>
  <c r="M42"/>
  <c r="N42"/>
  <c r="N53"/>
  <c r="L53"/>
  <c r="L47"/>
  <c r="M47"/>
  <c r="L40"/>
  <c r="N40"/>
  <c r="M40"/>
  <c r="N33"/>
  <c r="L33"/>
  <c r="M33"/>
  <c r="K56" i="10"/>
  <c r="K60"/>
  <c r="K64"/>
  <c r="K68"/>
  <c r="K72"/>
  <c r="K76"/>
  <c r="M78"/>
  <c r="M74"/>
  <c r="M70"/>
  <c r="M66"/>
  <c r="M62"/>
  <c r="M58"/>
  <c r="M97"/>
  <c r="M81"/>
  <c r="M16" i="8"/>
  <c r="K75" i="10"/>
  <c r="K71"/>
  <c r="K67"/>
  <c r="K63"/>
  <c r="K59"/>
  <c r="N109"/>
  <c r="M119"/>
  <c r="N125"/>
  <c r="N79"/>
  <c r="N96"/>
  <c r="N82" i="8"/>
  <c r="N86"/>
  <c r="N90"/>
  <c r="N94"/>
  <c r="N98"/>
  <c r="N102"/>
  <c r="M43"/>
  <c r="M9"/>
  <c r="M13"/>
  <c r="M17"/>
  <c r="M21"/>
  <c r="M25"/>
  <c r="M29"/>
  <c r="V9" i="7" l="1"/>
  <c r="L91" i="8"/>
  <c r="N91"/>
  <c r="M91"/>
  <c r="M125"/>
  <c r="N125"/>
  <c r="X125" s="1"/>
  <c r="Y125" s="1"/>
  <c r="Z125" s="1"/>
  <c r="L85"/>
  <c r="N85"/>
  <c r="M85"/>
  <c r="L101"/>
  <c r="N101"/>
  <c r="M101"/>
  <c r="N112"/>
  <c r="X112" s="1"/>
  <c r="Y112" s="1"/>
  <c r="Z112" s="1"/>
  <c r="M112"/>
  <c r="N111"/>
  <c r="X111" s="1"/>
  <c r="Y111" s="1"/>
  <c r="Z111" s="1"/>
  <c r="M111"/>
  <c r="M121"/>
  <c r="N121"/>
  <c r="X121" s="1"/>
  <c r="Y121" s="1"/>
  <c r="Z121" s="1"/>
  <c r="L99"/>
  <c r="N99"/>
  <c r="M99"/>
  <c r="M124"/>
  <c r="N124"/>
  <c r="X124" s="1"/>
  <c r="Y124" s="1"/>
  <c r="Z124" s="1"/>
  <c r="L89"/>
  <c r="N89"/>
  <c r="M89"/>
  <c r="L83"/>
  <c r="N83"/>
  <c r="M83"/>
  <c r="L87"/>
  <c r="N87"/>
  <c r="M87"/>
  <c r="M45"/>
  <c r="N45"/>
  <c r="L45"/>
  <c r="M107"/>
  <c r="N107"/>
  <c r="X107" s="1"/>
  <c r="Y107" s="1"/>
  <c r="Z107" s="1"/>
  <c r="N123"/>
  <c r="X123" s="1"/>
  <c r="Y123" s="1"/>
  <c r="Z123" s="1"/>
  <c r="M123"/>
  <c r="M120"/>
  <c r="N120"/>
  <c r="X120" s="1"/>
  <c r="Y120" s="1"/>
  <c r="Z120" s="1"/>
  <c r="M109"/>
  <c r="N109"/>
  <c r="X109" s="1"/>
  <c r="Y109" s="1"/>
  <c r="Z109" s="1"/>
  <c r="M116"/>
  <c r="N116"/>
  <c r="X116" s="1"/>
  <c r="Y116" s="1"/>
  <c r="Z116" s="1"/>
  <c r="L93"/>
  <c r="N93"/>
  <c r="M93"/>
  <c r="M113"/>
  <c r="N113"/>
  <c r="X113" s="1"/>
  <c r="Y113" s="1"/>
  <c r="Z113" s="1"/>
  <c r="L95"/>
  <c r="N95"/>
  <c r="M95"/>
  <c r="N119"/>
  <c r="X119" s="1"/>
  <c r="Y119" s="1"/>
  <c r="Z119" s="1"/>
  <c r="M119"/>
  <c r="N126"/>
  <c r="Z126" s="1"/>
  <c r="M126"/>
  <c r="L81"/>
  <c r="N81"/>
  <c r="M81"/>
  <c r="M117"/>
  <c r="N117"/>
  <c r="X117" s="1"/>
  <c r="Y117" s="1"/>
  <c r="Z117" s="1"/>
  <c r="M108"/>
  <c r="N108"/>
  <c r="X108" s="1"/>
  <c r="Y108" s="1"/>
  <c r="Z108" s="1"/>
  <c r="L97"/>
  <c r="N97"/>
  <c r="M97"/>
  <c r="M127"/>
  <c r="N127"/>
  <c r="X127" s="1"/>
  <c r="Y127" s="1"/>
  <c r="Z127" s="1"/>
  <c r="N103"/>
  <c r="M103"/>
  <c r="L36"/>
  <c r="N36"/>
  <c r="M36"/>
  <c r="M115"/>
  <c r="N115"/>
  <c r="X115" s="1"/>
  <c r="Y115" s="1"/>
  <c r="Z115" s="1"/>
  <c r="L80"/>
  <c r="N80"/>
  <c r="M80"/>
  <c r="N80" i="7"/>
  <c r="N78"/>
  <c r="N42"/>
  <c r="N32"/>
  <c r="N79"/>
  <c r="N30"/>
  <c r="N43"/>
  <c r="N20"/>
  <c r="N91"/>
  <c r="N114"/>
  <c r="N104"/>
  <c r="N96"/>
  <c r="N90"/>
  <c r="N18"/>
  <c r="N66"/>
  <c r="N17"/>
  <c r="N61"/>
  <c r="N46"/>
  <c r="N53"/>
  <c r="N113"/>
  <c r="N21"/>
  <c r="N33"/>
  <c r="N63"/>
  <c r="N71"/>
  <c r="N112"/>
  <c r="N121"/>
  <c r="N11"/>
  <c r="N98"/>
  <c r="N101"/>
  <c r="N12"/>
  <c r="N23"/>
  <c r="N69"/>
  <c r="N81"/>
  <c r="N123"/>
  <c r="N35"/>
  <c r="N51"/>
  <c r="N120"/>
  <c r="N127"/>
  <c r="N126"/>
  <c r="N55"/>
  <c r="N44"/>
  <c r="N128"/>
  <c r="N56"/>
  <c r="L63" i="10"/>
  <c r="N63"/>
  <c r="M63"/>
  <c r="L72"/>
  <c r="N72"/>
  <c r="M72"/>
  <c r="AA80" i="7"/>
  <c r="AO80"/>
  <c r="AH80"/>
  <c r="T80"/>
  <c r="AR80"/>
  <c r="BD80" s="1"/>
  <c r="AH78"/>
  <c r="T78"/>
  <c r="AA78"/>
  <c r="AO78"/>
  <c r="AA42"/>
  <c r="AO42"/>
  <c r="AH42"/>
  <c r="T42"/>
  <c r="AR42"/>
  <c r="BD42" s="1"/>
  <c r="AH32"/>
  <c r="T32"/>
  <c r="AR32"/>
  <c r="BD32" s="1"/>
  <c r="AA32"/>
  <c r="AO32"/>
  <c r="AA79"/>
  <c r="AO79"/>
  <c r="AH79"/>
  <c r="T79"/>
  <c r="AA30"/>
  <c r="AO30"/>
  <c r="AH30"/>
  <c r="T30"/>
  <c r="AR30"/>
  <c r="BD30" s="1"/>
  <c r="AR43"/>
  <c r="BD43" s="1"/>
  <c r="AA43"/>
  <c r="AO43"/>
  <c r="AH43"/>
  <c r="T43"/>
  <c r="AR20"/>
  <c r="BD20" s="1"/>
  <c r="AA20"/>
  <c r="AO20"/>
  <c r="AH20"/>
  <c r="T20"/>
  <c r="AO91"/>
  <c r="AA91"/>
  <c r="AH91"/>
  <c r="T91"/>
  <c r="AR91"/>
  <c r="BD91" s="1"/>
  <c r="AH114"/>
  <c r="T114"/>
  <c r="AA114"/>
  <c r="AO114"/>
  <c r="AR114"/>
  <c r="BD114" s="1"/>
  <c r="AH104"/>
  <c r="AO104"/>
  <c r="T104"/>
  <c r="AA104"/>
  <c r="AR104"/>
  <c r="BD104" s="1"/>
  <c r="T96"/>
  <c r="AA96"/>
  <c r="AR96"/>
  <c r="BD96" s="1"/>
  <c r="AO96"/>
  <c r="AH96"/>
  <c r="AH90"/>
  <c r="AO90"/>
  <c r="T90"/>
  <c r="AA90"/>
  <c r="AR90"/>
  <c r="BD90" s="1"/>
  <c r="AH18"/>
  <c r="AO18"/>
  <c r="AA18"/>
  <c r="T18"/>
  <c r="AR18"/>
  <c r="BD18" s="1"/>
  <c r="AO66"/>
  <c r="AH66"/>
  <c r="AA66"/>
  <c r="T66"/>
  <c r="T17"/>
  <c r="AR17"/>
  <c r="BD17" s="1"/>
  <c r="AA17"/>
  <c r="AH17"/>
  <c r="AO17"/>
  <c r="AH61"/>
  <c r="AO61"/>
  <c r="AA61"/>
  <c r="T61"/>
  <c r="AA46"/>
  <c r="T46"/>
  <c r="AH46"/>
  <c r="AO46"/>
  <c r="AR46"/>
  <c r="BD46" s="1"/>
  <c r="AH53"/>
  <c r="T53"/>
  <c r="AA53"/>
  <c r="AO53"/>
  <c r="AR53"/>
  <c r="BD53" s="1"/>
  <c r="AH113"/>
  <c r="T113"/>
  <c r="AA113"/>
  <c r="AO113"/>
  <c r="AR113"/>
  <c r="BD113" s="1"/>
  <c r="AH21"/>
  <c r="T21"/>
  <c r="AR21"/>
  <c r="BD21" s="1"/>
  <c r="AA21"/>
  <c r="AO21"/>
  <c r="AA33"/>
  <c r="AO33"/>
  <c r="AH33"/>
  <c r="T33"/>
  <c r="AR33"/>
  <c r="BD33" s="1"/>
  <c r="AA63"/>
  <c r="AO63"/>
  <c r="AH63"/>
  <c r="T63"/>
  <c r="AH71"/>
  <c r="T71"/>
  <c r="AA71"/>
  <c r="AO71"/>
  <c r="AA112"/>
  <c r="AO112"/>
  <c r="AR112"/>
  <c r="BD112" s="1"/>
  <c r="AH112"/>
  <c r="T112"/>
  <c r="AH121"/>
  <c r="T121"/>
  <c r="AR121"/>
  <c r="BD121" s="1"/>
  <c r="AA121"/>
  <c r="AO121"/>
  <c r="T11"/>
  <c r="AH11"/>
  <c r="AR11"/>
  <c r="BD11" s="1"/>
  <c r="AA11"/>
  <c r="AO11"/>
  <c r="AR98"/>
  <c r="BD98" s="1"/>
  <c r="AH98"/>
  <c r="AO98"/>
  <c r="T98"/>
  <c r="AA98"/>
  <c r="AH101"/>
  <c r="AO101"/>
  <c r="T101"/>
  <c r="AR101"/>
  <c r="BD101" s="1"/>
  <c r="AA101"/>
  <c r="AA12"/>
  <c r="AR12"/>
  <c r="BD12" s="1"/>
  <c r="T12"/>
  <c r="AO12"/>
  <c r="AH12"/>
  <c r="AR23"/>
  <c r="BD23" s="1"/>
  <c r="AA23"/>
  <c r="AO23"/>
  <c r="AH23"/>
  <c r="T23"/>
  <c r="AH69"/>
  <c r="T69"/>
  <c r="AA69"/>
  <c r="AO69"/>
  <c r="AR81"/>
  <c r="BD81" s="1"/>
  <c r="AA81"/>
  <c r="AO81"/>
  <c r="AH81"/>
  <c r="T81"/>
  <c r="AH123"/>
  <c r="T123"/>
  <c r="AR123"/>
  <c r="BD123" s="1"/>
  <c r="AA123"/>
  <c r="AO123"/>
  <c r="AH35"/>
  <c r="T35"/>
  <c r="AR35"/>
  <c r="BD35" s="1"/>
  <c r="AA35"/>
  <c r="AO35"/>
  <c r="AH51"/>
  <c r="T51"/>
  <c r="AA51"/>
  <c r="AO51"/>
  <c r="AR51"/>
  <c r="BD51" s="1"/>
  <c r="AA120"/>
  <c r="AO120"/>
  <c r="AR120"/>
  <c r="BD120" s="1"/>
  <c r="AH120"/>
  <c r="T120"/>
  <c r="AC80" i="6"/>
  <c r="AD80" s="1"/>
  <c r="Y80"/>
  <c r="Z80" s="1"/>
  <c r="AG80" s="1"/>
  <c r="U80"/>
  <c r="V80" s="1"/>
  <c r="AF80" s="1"/>
  <c r="Q80"/>
  <c r="R80" s="1"/>
  <c r="AE80" s="1"/>
  <c r="Y35"/>
  <c r="Z35" s="1"/>
  <c r="AG35" s="1"/>
  <c r="AC35"/>
  <c r="AD35" s="1"/>
  <c r="AH35" s="1"/>
  <c r="Q35"/>
  <c r="R35" s="1"/>
  <c r="AE35" s="1"/>
  <c r="U35"/>
  <c r="V35" s="1"/>
  <c r="AF35" s="1"/>
  <c r="Y34"/>
  <c r="Z34" s="1"/>
  <c r="AG34" s="1"/>
  <c r="Q34"/>
  <c r="R34" s="1"/>
  <c r="AE34" s="1"/>
  <c r="U34"/>
  <c r="V34" s="1"/>
  <c r="AF34" s="1"/>
  <c r="AC34"/>
  <c r="AD34" s="1"/>
  <c r="AH34" s="1"/>
  <c r="U26"/>
  <c r="V26" s="1"/>
  <c r="AF26" s="1"/>
  <c r="Q26"/>
  <c r="R26" s="1"/>
  <c r="AE26" s="1"/>
  <c r="AC26"/>
  <c r="AD26" s="1"/>
  <c r="AH26" s="1"/>
  <c r="Y26"/>
  <c r="Z26" s="1"/>
  <c r="AG26" s="1"/>
  <c r="U43"/>
  <c r="V43" s="1"/>
  <c r="AF43" s="1"/>
  <c r="Y43"/>
  <c r="Z43" s="1"/>
  <c r="AG43" s="1"/>
  <c r="AC43"/>
  <c r="AD43" s="1"/>
  <c r="AH43" s="1"/>
  <c r="Q43"/>
  <c r="R43" s="1"/>
  <c r="AE43" s="1"/>
  <c r="Q55"/>
  <c r="R55" s="1"/>
  <c r="Y55"/>
  <c r="Z55" s="1"/>
  <c r="AG55" s="1"/>
  <c r="AC55"/>
  <c r="AD55" s="1"/>
  <c r="AH55" s="1"/>
  <c r="U55"/>
  <c r="V55" s="1"/>
  <c r="AF55" s="1"/>
  <c r="Q48"/>
  <c r="R48" s="1"/>
  <c r="AE48" s="1"/>
  <c r="U48"/>
  <c r="V48" s="1"/>
  <c r="AF48" s="1"/>
  <c r="AC48"/>
  <c r="AD48" s="1"/>
  <c r="AH48" s="1"/>
  <c r="Y48"/>
  <c r="Z48" s="1"/>
  <c r="AG48" s="1"/>
  <c r="U136"/>
  <c r="V136" s="1"/>
  <c r="AF136" s="1"/>
  <c r="Q136"/>
  <c r="R136" s="1"/>
  <c r="AE136" s="1"/>
  <c r="Y136"/>
  <c r="Z136" s="1"/>
  <c r="AG136" s="1"/>
  <c r="AC136"/>
  <c r="AD136" s="1"/>
  <c r="AH136" s="1"/>
  <c r="U63"/>
  <c r="V63" s="1"/>
  <c r="AF63" s="1"/>
  <c r="Y63"/>
  <c r="Z63" s="1"/>
  <c r="AG63" s="1"/>
  <c r="AC63"/>
  <c r="AD63" s="1"/>
  <c r="AH63" s="1"/>
  <c r="Q63"/>
  <c r="R63" s="1"/>
  <c r="AE63" s="1"/>
  <c r="U86"/>
  <c r="V86" s="1"/>
  <c r="AF86" s="1"/>
  <c r="Q86"/>
  <c r="R86" s="1"/>
  <c r="AE86" s="1"/>
  <c r="AC86"/>
  <c r="AD86" s="1"/>
  <c r="AH86" s="1"/>
  <c r="Y86"/>
  <c r="Z86" s="1"/>
  <c r="AG86" s="1"/>
  <c r="Y36"/>
  <c r="Z36" s="1"/>
  <c r="AG36" s="1"/>
  <c r="U36"/>
  <c r="V36" s="1"/>
  <c r="AF36" s="1"/>
  <c r="Q36"/>
  <c r="R36" s="1"/>
  <c r="AE36" s="1"/>
  <c r="AC36"/>
  <c r="AD36" s="1"/>
  <c r="AH36" s="1"/>
  <c r="U128"/>
  <c r="V128" s="1"/>
  <c r="AF128" s="1"/>
  <c r="Q128"/>
  <c r="R128" s="1"/>
  <c r="AE128" s="1"/>
  <c r="Y128"/>
  <c r="Z128" s="1"/>
  <c r="AG128" s="1"/>
  <c r="AC128"/>
  <c r="AD128" s="1"/>
  <c r="AH128" s="1"/>
  <c r="Q75"/>
  <c r="R75" s="1"/>
  <c r="AE75" s="1"/>
  <c r="Y75"/>
  <c r="Z75" s="1"/>
  <c r="AG75" s="1"/>
  <c r="AC75"/>
  <c r="AD75" s="1"/>
  <c r="AH75" s="1"/>
  <c r="U75"/>
  <c r="V75" s="1"/>
  <c r="AF75" s="1"/>
  <c r="U127"/>
  <c r="V127" s="1"/>
  <c r="AF127" s="1"/>
  <c r="Q127"/>
  <c r="R127" s="1"/>
  <c r="AE127" s="1"/>
  <c r="Y127"/>
  <c r="Z127" s="1"/>
  <c r="AG127" s="1"/>
  <c r="AC127"/>
  <c r="AD127" s="1"/>
  <c r="AH127" s="1"/>
  <c r="E46" i="7"/>
  <c r="E61" i="6"/>
  <c r="E44" i="10"/>
  <c r="E123" i="7"/>
  <c r="E138" i="6"/>
  <c r="E121" i="10"/>
  <c r="E99" i="7"/>
  <c r="E114" i="6"/>
  <c r="E97" i="10"/>
  <c r="E75" i="7"/>
  <c r="E90" i="6"/>
  <c r="E73" i="10"/>
  <c r="E51" i="7"/>
  <c r="E66" i="6"/>
  <c r="E49" i="10"/>
  <c r="E47" i="7"/>
  <c r="E62" i="6"/>
  <c r="E45" i="10"/>
  <c r="L61"/>
  <c r="N61"/>
  <c r="AR63" i="7" s="1"/>
  <c r="BD63" s="1"/>
  <c r="M61" i="10"/>
  <c r="L69"/>
  <c r="N69"/>
  <c r="AR71" i="7" s="1"/>
  <c r="BD71" s="1"/>
  <c r="M69" i="10"/>
  <c r="L77"/>
  <c r="N77"/>
  <c r="AR79" i="7" s="1"/>
  <c r="BD79" s="1"/>
  <c r="M77" i="10"/>
  <c r="AH127" i="7"/>
  <c r="T127"/>
  <c r="AA127"/>
  <c r="AO127"/>
  <c r="AR127"/>
  <c r="BD127" s="1"/>
  <c r="AR126"/>
  <c r="BD126" s="1"/>
  <c r="AH126"/>
  <c r="T126"/>
  <c r="AA126"/>
  <c r="AO126"/>
  <c r="AH55"/>
  <c r="T55"/>
  <c r="AA55"/>
  <c r="AO55"/>
  <c r="AR55"/>
  <c r="BD55" s="1"/>
  <c r="AR44"/>
  <c r="BD44" s="1"/>
  <c r="AA44"/>
  <c r="AO44"/>
  <c r="AH44"/>
  <c r="T44"/>
  <c r="AH128"/>
  <c r="T128"/>
  <c r="AA128"/>
  <c r="AO128"/>
  <c r="AR128"/>
  <c r="BD128" s="1"/>
  <c r="AH56"/>
  <c r="T56"/>
  <c r="AA56"/>
  <c r="AO56"/>
  <c r="AR56"/>
  <c r="BD56" s="1"/>
  <c r="E58"/>
  <c r="E73" i="6"/>
  <c r="E56" i="10"/>
  <c r="E128" i="7"/>
  <c r="E143" i="6"/>
  <c r="E126" i="10"/>
  <c r="E111" i="7"/>
  <c r="E126" i="6"/>
  <c r="E109" i="10"/>
  <c r="E71" i="7"/>
  <c r="E86" i="6"/>
  <c r="E69" i="10"/>
  <c r="E102" i="7"/>
  <c r="E117" i="6"/>
  <c r="E100" i="10"/>
  <c r="E49" i="7"/>
  <c r="E64" i="6"/>
  <c r="E47" i="10"/>
  <c r="E13" i="7"/>
  <c r="E28" i="6"/>
  <c r="E11" i="10"/>
  <c r="E21" i="7"/>
  <c r="E36" i="6"/>
  <c r="E19" i="10"/>
  <c r="E72" i="7"/>
  <c r="E87" i="6"/>
  <c r="E70" i="10"/>
  <c r="E43" i="7"/>
  <c r="E58" i="6"/>
  <c r="E41" i="10"/>
  <c r="E91" i="7"/>
  <c r="E106" i="6"/>
  <c r="E89" i="10"/>
  <c r="E19" i="7"/>
  <c r="E34" i="6"/>
  <c r="E17" i="10"/>
  <c r="E80" i="7"/>
  <c r="E95" i="6"/>
  <c r="E78" i="10"/>
  <c r="E63" i="7"/>
  <c r="E78" i="6"/>
  <c r="E61" i="10"/>
  <c r="E56" i="7"/>
  <c r="E71" i="6"/>
  <c r="E54" i="10"/>
  <c r="E37" i="7"/>
  <c r="E52" i="6"/>
  <c r="E35" i="10"/>
  <c r="E54" i="7"/>
  <c r="E69" i="6"/>
  <c r="E52" i="10"/>
  <c r="E65" i="7"/>
  <c r="E80" i="6"/>
  <c r="E63" i="10"/>
  <c r="E78" i="7"/>
  <c r="E93" i="6"/>
  <c r="E76" i="10"/>
  <c r="E95" i="7"/>
  <c r="E110" i="6"/>
  <c r="E93" i="10"/>
  <c r="E73" i="7"/>
  <c r="E88" i="6"/>
  <c r="E71" i="10"/>
  <c r="E38" i="7"/>
  <c r="E53" i="6"/>
  <c r="E36" i="10"/>
  <c r="L115" i="6"/>
  <c r="L114"/>
  <c r="L88"/>
  <c r="L39"/>
  <c r="L25"/>
  <c r="L100"/>
  <c r="N54" i="7"/>
  <c r="N31"/>
  <c r="N103"/>
  <c r="N68"/>
  <c r="N115"/>
  <c r="N19"/>
  <c r="N102"/>
  <c r="N92"/>
  <c r="N67"/>
  <c r="N116"/>
  <c r="N47" i="6"/>
  <c r="N93"/>
  <c r="N130"/>
  <c r="N46"/>
  <c r="N83"/>
  <c r="N70"/>
  <c r="N117"/>
  <c r="N82"/>
  <c r="N131"/>
  <c r="N94"/>
  <c r="N143"/>
  <c r="N69"/>
  <c r="N57"/>
  <c r="N107"/>
  <c r="L41"/>
  <c r="L112"/>
  <c r="L101"/>
  <c r="L49"/>
  <c r="L120"/>
  <c r="L134"/>
  <c r="L66"/>
  <c r="L102"/>
  <c r="L77"/>
  <c r="L109"/>
  <c r="L52"/>
  <c r="L124"/>
  <c r="L51"/>
  <c r="L30"/>
  <c r="L98"/>
  <c r="L37"/>
  <c r="L72"/>
  <c r="L92"/>
  <c r="L67"/>
  <c r="L132"/>
  <c r="L71" i="10"/>
  <c r="N71"/>
  <c r="M71"/>
  <c r="L64"/>
  <c r="N64"/>
  <c r="AR66" i="7" s="1"/>
  <c r="BD66" s="1"/>
  <c r="M64" i="10"/>
  <c r="L56"/>
  <c r="N56"/>
  <c r="M56"/>
  <c r="L59"/>
  <c r="N59"/>
  <c r="AR61" i="7" s="1"/>
  <c r="BD61" s="1"/>
  <c r="M59" i="10"/>
  <c r="L67"/>
  <c r="N67"/>
  <c r="AR69" i="7" s="1"/>
  <c r="BD69" s="1"/>
  <c r="M67" i="10"/>
  <c r="L75"/>
  <c r="N75"/>
  <c r="M75"/>
  <c r="L76"/>
  <c r="N76"/>
  <c r="AR78" i="7" s="1"/>
  <c r="BD78" s="1"/>
  <c r="BT32" s="1"/>
  <c r="M76" i="10"/>
  <c r="L68"/>
  <c r="N68"/>
  <c r="M68"/>
  <c r="L60"/>
  <c r="N60"/>
  <c r="M60"/>
  <c r="E70" i="7"/>
  <c r="E85" i="6"/>
  <c r="E68" i="10"/>
  <c r="E34" i="7"/>
  <c r="E49" i="6"/>
  <c r="E32" i="10"/>
  <c r="E116" i="7"/>
  <c r="E131" i="6"/>
  <c r="E114" i="10"/>
  <c r="E92" i="7"/>
  <c r="E107" i="6"/>
  <c r="E90" i="10"/>
  <c r="E68" i="7"/>
  <c r="E83" i="6"/>
  <c r="E66" i="10"/>
  <c r="E44" i="7"/>
  <c r="E59" i="6"/>
  <c r="E42" i="10"/>
  <c r="L57"/>
  <c r="N57"/>
  <c r="M57"/>
  <c r="L65"/>
  <c r="N65"/>
  <c r="M65"/>
  <c r="L73"/>
  <c r="N73"/>
  <c r="M73"/>
  <c r="Q71" i="6"/>
  <c r="R71" s="1"/>
  <c r="AE71" s="1"/>
  <c r="Y71"/>
  <c r="Z71" s="1"/>
  <c r="AG71" s="1"/>
  <c r="U71"/>
  <c r="V71" s="1"/>
  <c r="AF71" s="1"/>
  <c r="AC71"/>
  <c r="AD71" s="1"/>
  <c r="AH71" s="1"/>
  <c r="E82" i="7"/>
  <c r="E97" i="6"/>
  <c r="E80" i="10"/>
  <c r="E87" i="7"/>
  <c r="E102" i="6"/>
  <c r="E85" i="10"/>
  <c r="E48" i="7"/>
  <c r="E63" i="6"/>
  <c r="E46" i="10"/>
  <c r="E60" i="7"/>
  <c r="E75" i="6"/>
  <c r="E58" i="10"/>
  <c r="E126" i="7"/>
  <c r="E141" i="6"/>
  <c r="E124" i="10"/>
  <c r="E97" i="7"/>
  <c r="E112" i="6"/>
  <c r="E95" i="10"/>
  <c r="E53" i="7"/>
  <c r="E68" i="6"/>
  <c r="E51" i="10"/>
  <c r="E89" i="7"/>
  <c r="E104" i="6"/>
  <c r="E87" i="10"/>
  <c r="E96" i="7"/>
  <c r="E111" i="6"/>
  <c r="E94" i="10"/>
  <c r="E113" i="7"/>
  <c r="E128" i="6"/>
  <c r="E111" i="10"/>
  <c r="E120" i="7"/>
  <c r="E135" i="6"/>
  <c r="E118" i="10"/>
  <c r="E28" i="7"/>
  <c r="E43" i="6"/>
  <c r="E26" i="10"/>
  <c r="E67" i="7"/>
  <c r="E82" i="6"/>
  <c r="E65" i="10"/>
  <c r="E115" i="7"/>
  <c r="E130" i="6"/>
  <c r="E113" i="10"/>
  <c r="E27" i="7"/>
  <c r="E42" i="6"/>
  <c r="E25" i="10"/>
  <c r="E20" i="7"/>
  <c r="E35" i="6"/>
  <c r="E18" i="10"/>
  <c r="E104" i="7"/>
  <c r="E119" i="6"/>
  <c r="E102" i="10"/>
  <c r="E119" i="7"/>
  <c r="E134" i="6"/>
  <c r="E117" i="10"/>
  <c r="E40" i="7"/>
  <c r="E55" i="6"/>
  <c r="E38" i="10"/>
  <c r="E121" i="7"/>
  <c r="E136" i="6"/>
  <c r="E119" i="10"/>
  <c r="E14" i="7"/>
  <c r="E29" i="6"/>
  <c r="E12" i="10"/>
  <c r="L22" i="7"/>
  <c r="N22" s="1"/>
  <c r="L13"/>
  <c r="N13" s="1"/>
  <c r="L62"/>
  <c r="N62" s="1"/>
  <c r="L39"/>
  <c r="N39" s="1"/>
  <c r="L106"/>
  <c r="N106" s="1"/>
  <c r="L25"/>
  <c r="N25" s="1"/>
  <c r="L10"/>
  <c r="N10" s="1"/>
  <c r="L89"/>
  <c r="N89" s="1"/>
  <c r="L95"/>
  <c r="N95" s="1"/>
  <c r="L24"/>
  <c r="N24" s="1"/>
  <c r="L47"/>
  <c r="N47" s="1"/>
  <c r="L64"/>
  <c r="N64" s="1"/>
  <c r="L73"/>
  <c r="N73" s="1"/>
  <c r="L82"/>
  <c r="N82" s="1"/>
  <c r="L122"/>
  <c r="N122" s="1"/>
  <c r="L52"/>
  <c r="N52" s="1"/>
  <c r="L77"/>
  <c r="N77" s="1"/>
  <c r="L84"/>
  <c r="N84" s="1"/>
  <c r="L16"/>
  <c r="N16" s="1"/>
  <c r="L107"/>
  <c r="N107" s="1"/>
  <c r="L29"/>
  <c r="N29" s="1"/>
  <c r="L37"/>
  <c r="N37" s="1"/>
  <c r="L72"/>
  <c r="N72" s="1"/>
  <c r="L54" i="6"/>
  <c r="N54" s="1"/>
  <c r="L99"/>
  <c r="N99" s="1"/>
  <c r="N105"/>
  <c r="N81"/>
  <c r="N118"/>
  <c r="N95"/>
  <c r="N141"/>
  <c r="N129"/>
  <c r="N33"/>
  <c r="N58"/>
  <c r="N142"/>
  <c r="N45"/>
  <c r="N119"/>
  <c r="N59"/>
  <c r="N106"/>
  <c r="L85"/>
  <c r="N85" s="1"/>
  <c r="N32"/>
  <c r="L56"/>
  <c r="N56" s="1"/>
  <c r="L87"/>
  <c r="N87" s="1"/>
  <c r="N73"/>
  <c r="N125"/>
  <c r="L139"/>
  <c r="N139" s="1"/>
  <c r="N91"/>
  <c r="N115"/>
  <c r="L42"/>
  <c r="N42" s="1"/>
  <c r="L90"/>
  <c r="N90" s="1"/>
  <c r="N114"/>
  <c r="N61"/>
  <c r="L97"/>
  <c r="N97" s="1"/>
  <c r="N68"/>
  <c r="L40"/>
  <c r="N40" s="1"/>
  <c r="N88"/>
  <c r="L104"/>
  <c r="N104" s="1"/>
  <c r="N39"/>
  <c r="L126"/>
  <c r="N126" s="1"/>
  <c r="N111"/>
  <c r="L62"/>
  <c r="N62" s="1"/>
  <c r="N140"/>
  <c r="L110"/>
  <c r="N110" s="1"/>
  <c r="N25"/>
  <c r="N113"/>
  <c r="L60"/>
  <c r="N60" s="1"/>
  <c r="N84"/>
  <c r="N100"/>
  <c r="N24"/>
  <c r="N138"/>
  <c r="L110" i="7"/>
  <c r="N110" s="1"/>
  <c r="L88"/>
  <c r="N88" s="1"/>
  <c r="L45"/>
  <c r="N45" s="1"/>
  <c r="L40"/>
  <c r="N40" s="1"/>
  <c r="L100"/>
  <c r="N100" s="1"/>
  <c r="L108"/>
  <c r="N108" s="1"/>
  <c r="L85"/>
  <c r="N85" s="1"/>
  <c r="L60"/>
  <c r="N60" s="1"/>
  <c r="L15"/>
  <c r="N15" s="1"/>
  <c r="L87"/>
  <c r="N87" s="1"/>
  <c r="L93"/>
  <c r="N93" s="1"/>
  <c r="L97"/>
  <c r="N97" s="1"/>
  <c r="L36"/>
  <c r="N36" s="1"/>
  <c r="L50"/>
  <c r="N50" s="1"/>
  <c r="L59"/>
  <c r="N59" s="1"/>
  <c r="L70"/>
  <c r="N70" s="1"/>
  <c r="L76"/>
  <c r="N76" s="1"/>
  <c r="L86"/>
  <c r="N86" s="1"/>
  <c r="L119"/>
  <c r="N119" s="1"/>
  <c r="L125"/>
  <c r="N125" s="1"/>
  <c r="L27"/>
  <c r="N27" s="1"/>
  <c r="L49"/>
  <c r="N49" s="1"/>
  <c r="L58"/>
  <c r="N58" s="1"/>
  <c r="L65"/>
  <c r="N65" s="1"/>
  <c r="L74"/>
  <c r="N74" s="1"/>
  <c r="L83"/>
  <c r="N83" s="1"/>
  <c r="L118"/>
  <c r="N118" s="1"/>
  <c r="L124"/>
  <c r="N124" s="1"/>
  <c r="L9"/>
  <c r="N9" s="1"/>
  <c r="L94"/>
  <c r="N94" s="1"/>
  <c r="L41"/>
  <c r="N41" s="1"/>
  <c r="L99"/>
  <c r="N99" s="1"/>
  <c r="L105"/>
  <c r="N105" s="1"/>
  <c r="L109"/>
  <c r="N109" s="1"/>
  <c r="L14"/>
  <c r="N14" s="1"/>
  <c r="L26"/>
  <c r="N26" s="1"/>
  <c r="L34"/>
  <c r="N34" s="1"/>
  <c r="L48"/>
  <c r="N48" s="1"/>
  <c r="L75"/>
  <c r="N75" s="1"/>
  <c r="L117"/>
  <c r="N117" s="1"/>
  <c r="L28"/>
  <c r="N28" s="1"/>
  <c r="L38"/>
  <c r="N38" s="1"/>
  <c r="L57"/>
  <c r="N57" s="1"/>
  <c r="L111"/>
  <c r="N111" s="1"/>
  <c r="L79" i="6"/>
  <c r="N79" s="1"/>
  <c r="L78"/>
  <c r="N78" s="1"/>
  <c r="L135"/>
  <c r="N135" s="1"/>
  <c r="L53"/>
  <c r="N53" s="1"/>
  <c r="N41"/>
  <c r="L64"/>
  <c r="N64" s="1"/>
  <c r="N112"/>
  <c r="L108"/>
  <c r="N108" s="1"/>
  <c r="N101"/>
  <c r="L38"/>
  <c r="N38" s="1"/>
  <c r="N49"/>
  <c r="L28"/>
  <c r="N28" s="1"/>
  <c r="N120"/>
  <c r="L29"/>
  <c r="N29" s="1"/>
  <c r="N134"/>
  <c r="L103"/>
  <c r="N103" s="1"/>
  <c r="N66"/>
  <c r="L133"/>
  <c r="N133" s="1"/>
  <c r="N102"/>
  <c r="L122"/>
  <c r="N122" s="1"/>
  <c r="N77"/>
  <c r="L89"/>
  <c r="N89" s="1"/>
  <c r="N109"/>
  <c r="L76"/>
  <c r="N76" s="1"/>
  <c r="N52"/>
  <c r="L96"/>
  <c r="N96" s="1"/>
  <c r="N124"/>
  <c r="L27"/>
  <c r="N27" s="1"/>
  <c r="N51"/>
  <c r="L50"/>
  <c r="N50" s="1"/>
  <c r="L123"/>
  <c r="N123" s="1"/>
  <c r="N30"/>
  <c r="L137"/>
  <c r="N137" s="1"/>
  <c r="N98"/>
  <c r="L65"/>
  <c r="N65" s="1"/>
  <c r="N37"/>
  <c r="L121"/>
  <c r="N121" s="1"/>
  <c r="N72"/>
  <c r="L44"/>
  <c r="N44" s="1"/>
  <c r="N92"/>
  <c r="L116"/>
  <c r="N116" s="1"/>
  <c r="N67"/>
  <c r="L31"/>
  <c r="N31" s="1"/>
  <c r="N132"/>
  <c r="L74"/>
  <c r="N74" s="1"/>
  <c r="BT20" i="7" l="1"/>
  <c r="BT48"/>
  <c r="Q27" i="6"/>
  <c r="R27" s="1"/>
  <c r="AE27" s="1"/>
  <c r="U27"/>
  <c r="V27" s="1"/>
  <c r="AF27" s="1"/>
  <c r="Y27"/>
  <c r="Z27" s="1"/>
  <c r="AG27" s="1"/>
  <c r="AC27"/>
  <c r="AD27" s="1"/>
  <c r="AH27" s="1"/>
  <c r="Y96"/>
  <c r="Z96" s="1"/>
  <c r="AG96" s="1"/>
  <c r="U96"/>
  <c r="V96" s="1"/>
  <c r="AF96" s="1"/>
  <c r="Q96"/>
  <c r="R96" s="1"/>
  <c r="AE96" s="1"/>
  <c r="AC96"/>
  <c r="AD96" s="1"/>
  <c r="AH96" s="1"/>
  <c r="Q89"/>
  <c r="R89" s="1"/>
  <c r="AE89" s="1"/>
  <c r="U89"/>
  <c r="V89" s="1"/>
  <c r="AF89" s="1"/>
  <c r="Y89"/>
  <c r="Z89" s="1"/>
  <c r="AG89" s="1"/>
  <c r="AC89"/>
  <c r="AD89" s="1"/>
  <c r="AH89" s="1"/>
  <c r="Y122"/>
  <c r="Z122" s="1"/>
  <c r="AG122" s="1"/>
  <c r="Q122"/>
  <c r="R122" s="1"/>
  <c r="AE122" s="1"/>
  <c r="U122"/>
  <c r="V122" s="1"/>
  <c r="AF122" s="1"/>
  <c r="AC122"/>
  <c r="AD122" s="1"/>
  <c r="AH122" s="1"/>
  <c r="Q133"/>
  <c r="R133" s="1"/>
  <c r="AE133" s="1"/>
  <c r="Y133"/>
  <c r="Z133" s="1"/>
  <c r="AG133" s="1"/>
  <c r="U133"/>
  <c r="V133" s="1"/>
  <c r="AF133" s="1"/>
  <c r="AC133"/>
  <c r="AD133" s="1"/>
  <c r="AH133" s="1"/>
  <c r="Y103"/>
  <c r="Z103" s="1"/>
  <c r="AG103" s="1"/>
  <c r="U103"/>
  <c r="V103" s="1"/>
  <c r="AF103" s="1"/>
  <c r="Q103"/>
  <c r="R103" s="1"/>
  <c r="AE103" s="1"/>
  <c r="AC103"/>
  <c r="AD103" s="1"/>
  <c r="AH103" s="1"/>
  <c r="Y29"/>
  <c r="Z29" s="1"/>
  <c r="AG29" s="1"/>
  <c r="U29"/>
  <c r="V29" s="1"/>
  <c r="AF29" s="1"/>
  <c r="Q29"/>
  <c r="R29" s="1"/>
  <c r="AE29" s="1"/>
  <c r="AC29"/>
  <c r="AD29" s="1"/>
  <c r="AH29" s="1"/>
  <c r="U28"/>
  <c r="V28" s="1"/>
  <c r="AF28" s="1"/>
  <c r="Q28"/>
  <c r="R28" s="1"/>
  <c r="AE28" s="1"/>
  <c r="Y28"/>
  <c r="Z28" s="1"/>
  <c r="AG28" s="1"/>
  <c r="AC28"/>
  <c r="AD28" s="1"/>
  <c r="AH28" s="1"/>
  <c r="U38"/>
  <c r="V38" s="1"/>
  <c r="AF38" s="1"/>
  <c r="Q38"/>
  <c r="R38" s="1"/>
  <c r="AE38" s="1"/>
  <c r="Y38"/>
  <c r="Z38" s="1"/>
  <c r="AG38" s="1"/>
  <c r="AC38"/>
  <c r="AD38" s="1"/>
  <c r="AH38" s="1"/>
  <c r="Q108"/>
  <c r="R108" s="1"/>
  <c r="AE108" s="1"/>
  <c r="Y108"/>
  <c r="Z108" s="1"/>
  <c r="AG108" s="1"/>
  <c r="U108"/>
  <c r="V108" s="1"/>
  <c r="AF108" s="1"/>
  <c r="AC108"/>
  <c r="AD108" s="1"/>
  <c r="AH108" s="1"/>
  <c r="Q64"/>
  <c r="R64" s="1"/>
  <c r="AE64" s="1"/>
  <c r="U64"/>
  <c r="V64" s="1"/>
  <c r="AF64" s="1"/>
  <c r="Y64"/>
  <c r="Z64" s="1"/>
  <c r="AG64" s="1"/>
  <c r="AC64"/>
  <c r="AD64" s="1"/>
  <c r="AH64" s="1"/>
  <c r="Y53"/>
  <c r="Z53" s="1"/>
  <c r="AG53" s="1"/>
  <c r="U53"/>
  <c r="V53" s="1"/>
  <c r="AF53" s="1"/>
  <c r="Q53"/>
  <c r="R53" s="1"/>
  <c r="AE53" s="1"/>
  <c r="AC53"/>
  <c r="AD53" s="1"/>
  <c r="AH53" s="1"/>
  <c r="Q78"/>
  <c r="R78" s="1"/>
  <c r="AE78" s="1"/>
  <c r="U78"/>
  <c r="V78" s="1"/>
  <c r="AF78" s="1"/>
  <c r="Y78"/>
  <c r="Z78" s="1"/>
  <c r="AG78" s="1"/>
  <c r="AC78"/>
  <c r="AD78" s="1"/>
  <c r="AH78" s="1"/>
  <c r="AA111" i="7"/>
  <c r="AO111"/>
  <c r="AR111"/>
  <c r="BD111" s="1"/>
  <c r="BT43" s="1"/>
  <c r="AH111"/>
  <c r="T111"/>
  <c r="AA38"/>
  <c r="AO38"/>
  <c r="AR38"/>
  <c r="BD38" s="1"/>
  <c r="AH38"/>
  <c r="T38"/>
  <c r="AR117"/>
  <c r="BD117" s="1"/>
  <c r="AA117"/>
  <c r="AO117"/>
  <c r="AH117"/>
  <c r="T117"/>
  <c r="AR48"/>
  <c r="BD48" s="1"/>
  <c r="AA48"/>
  <c r="AO48"/>
  <c r="AH48"/>
  <c r="T48"/>
  <c r="AR26"/>
  <c r="BD26" s="1"/>
  <c r="AH26"/>
  <c r="T26"/>
  <c r="AA26"/>
  <c r="AO26"/>
  <c r="AA109"/>
  <c r="AR109"/>
  <c r="BD109" s="1"/>
  <c r="AH109"/>
  <c r="T109"/>
  <c r="AO109"/>
  <c r="AH99"/>
  <c r="AO99"/>
  <c r="T99"/>
  <c r="AA99"/>
  <c r="AR99"/>
  <c r="BD99" s="1"/>
  <c r="AO94"/>
  <c r="AA94"/>
  <c r="AR94"/>
  <c r="BD94" s="1"/>
  <c r="AH94"/>
  <c r="T94"/>
  <c r="AH124"/>
  <c r="T124"/>
  <c r="AR124"/>
  <c r="BD124" s="1"/>
  <c r="AA124"/>
  <c r="AO124"/>
  <c r="AH83"/>
  <c r="T83"/>
  <c r="AR83"/>
  <c r="BD83" s="1"/>
  <c r="AA83"/>
  <c r="AO83"/>
  <c r="AH65"/>
  <c r="T65"/>
  <c r="AR65"/>
  <c r="BD65" s="1"/>
  <c r="AA65"/>
  <c r="AO65"/>
  <c r="AA49"/>
  <c r="AO49"/>
  <c r="AH49"/>
  <c r="T49"/>
  <c r="AR49"/>
  <c r="BD49" s="1"/>
  <c r="AA125"/>
  <c r="AO125"/>
  <c r="AR125"/>
  <c r="BD125" s="1"/>
  <c r="AH125"/>
  <c r="T125"/>
  <c r="AA86"/>
  <c r="AO86"/>
  <c r="AH86"/>
  <c r="T86"/>
  <c r="AR86"/>
  <c r="BD86" s="1"/>
  <c r="AA70"/>
  <c r="AO70"/>
  <c r="AH70"/>
  <c r="T70"/>
  <c r="AR70"/>
  <c r="BD70" s="1"/>
  <c r="BT29" s="1"/>
  <c r="AH50"/>
  <c r="T50"/>
  <c r="AR50"/>
  <c r="BD50" s="1"/>
  <c r="AA50"/>
  <c r="AO50"/>
  <c r="AR97"/>
  <c r="BD97" s="1"/>
  <c r="BT38" s="1"/>
  <c r="AO97"/>
  <c r="AA97"/>
  <c r="AH97"/>
  <c r="T97"/>
  <c r="T87"/>
  <c r="AA87"/>
  <c r="AR87"/>
  <c r="BD87" s="1"/>
  <c r="AH87"/>
  <c r="AO87"/>
  <c r="AA60"/>
  <c r="AH60"/>
  <c r="AR60"/>
  <c r="BD60" s="1"/>
  <c r="AO60"/>
  <c r="T60"/>
  <c r="AH108"/>
  <c r="AO108"/>
  <c r="T108"/>
  <c r="AA108"/>
  <c r="AR108"/>
  <c r="BD108" s="1"/>
  <c r="AH40"/>
  <c r="T40"/>
  <c r="AR40"/>
  <c r="BD40" s="1"/>
  <c r="AA40"/>
  <c r="AO40"/>
  <c r="AO88"/>
  <c r="AA88"/>
  <c r="AH88"/>
  <c r="T88"/>
  <c r="AR88"/>
  <c r="BD88" s="1"/>
  <c r="Q60" i="6"/>
  <c r="R60" s="1"/>
  <c r="AE60" s="1"/>
  <c r="U60"/>
  <c r="V60" s="1"/>
  <c r="AF60" s="1"/>
  <c r="AC60"/>
  <c r="AD60" s="1"/>
  <c r="AH60" s="1"/>
  <c r="Y60"/>
  <c r="Z60" s="1"/>
  <c r="AG60" s="1"/>
  <c r="U90"/>
  <c r="V90" s="1"/>
  <c r="AF90" s="1"/>
  <c r="Q90"/>
  <c r="R90" s="1"/>
  <c r="AE90" s="1"/>
  <c r="AC90"/>
  <c r="AD90" s="1"/>
  <c r="AH90" s="1"/>
  <c r="Y90"/>
  <c r="Z90" s="1"/>
  <c r="AG90" s="1"/>
  <c r="Q139"/>
  <c r="R139" s="1"/>
  <c r="AE139" s="1"/>
  <c r="Y139"/>
  <c r="Z139" s="1"/>
  <c r="AG139" s="1"/>
  <c r="U139"/>
  <c r="V139" s="1"/>
  <c r="AF139" s="1"/>
  <c r="AC139"/>
  <c r="AD139" s="1"/>
  <c r="AH139" s="1"/>
  <c r="U56"/>
  <c r="V56" s="1"/>
  <c r="AF56" s="1"/>
  <c r="Y56"/>
  <c r="Z56" s="1"/>
  <c r="AG56" s="1"/>
  <c r="Q56"/>
  <c r="R56" s="1"/>
  <c r="AE56" s="1"/>
  <c r="AC56"/>
  <c r="AD56" s="1"/>
  <c r="AH56" s="1"/>
  <c r="Q85"/>
  <c r="R85" s="1"/>
  <c r="AE85" s="1"/>
  <c r="AC85"/>
  <c r="AD85" s="1"/>
  <c r="AH85" s="1"/>
  <c r="U85"/>
  <c r="V85" s="1"/>
  <c r="AF85" s="1"/>
  <c r="Y85"/>
  <c r="Z85" s="1"/>
  <c r="AG85" s="1"/>
  <c r="Y99"/>
  <c r="Z99" s="1"/>
  <c r="AG99" s="1"/>
  <c r="U99"/>
  <c r="V99" s="1"/>
  <c r="AF99" s="1"/>
  <c r="Q99"/>
  <c r="R99" s="1"/>
  <c r="AE99" s="1"/>
  <c r="AC99"/>
  <c r="AD99" s="1"/>
  <c r="AH99" s="1"/>
  <c r="AR72" i="7"/>
  <c r="BD72" s="1"/>
  <c r="AA72"/>
  <c r="AO72"/>
  <c r="AH72"/>
  <c r="T72"/>
  <c r="AR29"/>
  <c r="BD29" s="1"/>
  <c r="AH29"/>
  <c r="AO29"/>
  <c r="AA29"/>
  <c r="T29"/>
  <c r="AH16"/>
  <c r="AO16"/>
  <c r="AA16"/>
  <c r="AR16"/>
  <c r="BD16" s="1"/>
  <c r="T16"/>
  <c r="AA77"/>
  <c r="AO77"/>
  <c r="AH77"/>
  <c r="T77"/>
  <c r="AR77"/>
  <c r="BD77" s="1"/>
  <c r="AA122"/>
  <c r="AO122"/>
  <c r="AR122"/>
  <c r="BD122" s="1"/>
  <c r="BT46" s="1"/>
  <c r="AH122"/>
  <c r="T122"/>
  <c r="AA73"/>
  <c r="AO73"/>
  <c r="AR73"/>
  <c r="BD73" s="1"/>
  <c r="AH73"/>
  <c r="T73"/>
  <c r="AA47"/>
  <c r="AO47"/>
  <c r="AH47"/>
  <c r="T47"/>
  <c r="AR47"/>
  <c r="BD47" s="1"/>
  <c r="AH95"/>
  <c r="AO95"/>
  <c r="T95"/>
  <c r="AA95"/>
  <c r="AR95"/>
  <c r="BD95" s="1"/>
  <c r="AH10"/>
  <c r="AO10"/>
  <c r="AA10"/>
  <c r="T10"/>
  <c r="AR10"/>
  <c r="BD10" s="1"/>
  <c r="AA106"/>
  <c r="AH106"/>
  <c r="T106"/>
  <c r="AO106"/>
  <c r="AR106"/>
  <c r="BD106" s="1"/>
  <c r="AH62"/>
  <c r="AO62"/>
  <c r="T62"/>
  <c r="AR62"/>
  <c r="BD62" s="1"/>
  <c r="AA62"/>
  <c r="AA22"/>
  <c r="AO22"/>
  <c r="AH22"/>
  <c r="T22"/>
  <c r="AR22"/>
  <c r="BD22" s="1"/>
  <c r="BT13" s="1"/>
  <c r="BS32"/>
  <c r="BS29"/>
  <c r="U50" i="6"/>
  <c r="V50" s="1"/>
  <c r="AF50" s="1"/>
  <c r="Y50"/>
  <c r="Z50" s="1"/>
  <c r="AG50" s="1"/>
  <c r="Q50"/>
  <c r="R50" s="1"/>
  <c r="AE50" s="1"/>
  <c r="AC50"/>
  <c r="AD50" s="1"/>
  <c r="AH50" s="1"/>
  <c r="Q76"/>
  <c r="R76" s="1"/>
  <c r="AE76" s="1"/>
  <c r="U76"/>
  <c r="V76" s="1"/>
  <c r="AF76" s="1"/>
  <c r="Y76"/>
  <c r="Z76" s="1"/>
  <c r="AG76" s="1"/>
  <c r="AC76"/>
  <c r="AD76" s="1"/>
  <c r="AH76" s="1"/>
  <c r="U74"/>
  <c r="V74" s="1"/>
  <c r="AF74" s="1"/>
  <c r="Y74"/>
  <c r="Z74" s="1"/>
  <c r="AG74" s="1"/>
  <c r="Q74"/>
  <c r="R74" s="1"/>
  <c r="AE74" s="1"/>
  <c r="AC74"/>
  <c r="AD74" s="1"/>
  <c r="AH74" s="1"/>
  <c r="Q31"/>
  <c r="R31" s="1"/>
  <c r="AE31" s="1"/>
  <c r="U31"/>
  <c r="V31" s="1"/>
  <c r="AF31" s="1"/>
  <c r="Y31"/>
  <c r="Z31" s="1"/>
  <c r="AG31" s="1"/>
  <c r="AC31"/>
  <c r="AD31" s="1"/>
  <c r="AH31" s="1"/>
  <c r="Q116"/>
  <c r="R116" s="1"/>
  <c r="AE116" s="1"/>
  <c r="Y116"/>
  <c r="Z116" s="1"/>
  <c r="AG116" s="1"/>
  <c r="U116"/>
  <c r="V116" s="1"/>
  <c r="AF116" s="1"/>
  <c r="AC116"/>
  <c r="AD116" s="1"/>
  <c r="AH116" s="1"/>
  <c r="U44"/>
  <c r="V44" s="1"/>
  <c r="AF44" s="1"/>
  <c r="Q44"/>
  <c r="R44" s="1"/>
  <c r="AE44" s="1"/>
  <c r="Y44"/>
  <c r="Z44" s="1"/>
  <c r="AG44" s="1"/>
  <c r="AC44"/>
  <c r="AD44" s="1"/>
  <c r="AH44" s="1"/>
  <c r="Q121"/>
  <c r="R121" s="1"/>
  <c r="AE121" s="1"/>
  <c r="Y121"/>
  <c r="Z121" s="1"/>
  <c r="AG121" s="1"/>
  <c r="U121"/>
  <c r="V121" s="1"/>
  <c r="AF121" s="1"/>
  <c r="AC121"/>
  <c r="AD121" s="1"/>
  <c r="AH121" s="1"/>
  <c r="Q65"/>
  <c r="R65" s="1"/>
  <c r="AE65" s="1"/>
  <c r="Y65"/>
  <c r="Z65" s="1"/>
  <c r="AG65" s="1"/>
  <c r="U65"/>
  <c r="V65" s="1"/>
  <c r="AF65" s="1"/>
  <c r="AC65"/>
  <c r="AD65" s="1"/>
  <c r="AH65" s="1"/>
  <c r="U137"/>
  <c r="V137" s="1"/>
  <c r="AF137" s="1"/>
  <c r="Q137"/>
  <c r="R137" s="1"/>
  <c r="AE137" s="1"/>
  <c r="Y137"/>
  <c r="Z137" s="1"/>
  <c r="AG137" s="1"/>
  <c r="AC137"/>
  <c r="AD137" s="1"/>
  <c r="AH137" s="1"/>
  <c r="U123"/>
  <c r="V123" s="1"/>
  <c r="AF123" s="1"/>
  <c r="Q123"/>
  <c r="R123" s="1"/>
  <c r="AE123" s="1"/>
  <c r="Y123"/>
  <c r="Z123" s="1"/>
  <c r="AG123" s="1"/>
  <c r="AC123"/>
  <c r="AD123" s="1"/>
  <c r="AH123" s="1"/>
  <c r="U135"/>
  <c r="V135" s="1"/>
  <c r="AF135" s="1"/>
  <c r="Q135"/>
  <c r="R135" s="1"/>
  <c r="AE135" s="1"/>
  <c r="Y135"/>
  <c r="Z135" s="1"/>
  <c r="AG135" s="1"/>
  <c r="AC135"/>
  <c r="AD135" s="1"/>
  <c r="AH135" s="1"/>
  <c r="Y79"/>
  <c r="Z79" s="1"/>
  <c r="AG79" s="1"/>
  <c r="U79"/>
  <c r="V79" s="1"/>
  <c r="AF79" s="1"/>
  <c r="Q79"/>
  <c r="R79" s="1"/>
  <c r="AE79" s="1"/>
  <c r="AC79"/>
  <c r="AD79" s="1"/>
  <c r="AH79" s="1"/>
  <c r="AH57" i="7"/>
  <c r="T57"/>
  <c r="AR57"/>
  <c r="BD57" s="1"/>
  <c r="AA57"/>
  <c r="AO57"/>
  <c r="AR28"/>
  <c r="BD28" s="1"/>
  <c r="AA28"/>
  <c r="AO28"/>
  <c r="AH28"/>
  <c r="T28"/>
  <c r="AH75"/>
  <c r="T75"/>
  <c r="AA75"/>
  <c r="AO75"/>
  <c r="AR75"/>
  <c r="BD75" s="1"/>
  <c r="AH34"/>
  <c r="T34"/>
  <c r="AR34"/>
  <c r="BD34" s="1"/>
  <c r="BT17" s="1"/>
  <c r="AA34"/>
  <c r="AO34"/>
  <c r="AH14"/>
  <c r="T14"/>
  <c r="AR14"/>
  <c r="BD14" s="1"/>
  <c r="AA14"/>
  <c r="AO14"/>
  <c r="AA105"/>
  <c r="AR105"/>
  <c r="BD105" s="1"/>
  <c r="AH105"/>
  <c r="AO105"/>
  <c r="T105"/>
  <c r="AR41"/>
  <c r="BD41" s="1"/>
  <c r="T41"/>
  <c r="AH41"/>
  <c r="AO41"/>
  <c r="AA41"/>
  <c r="AH9"/>
  <c r="AO9"/>
  <c r="AQ9" s="1"/>
  <c r="BD9"/>
  <c r="AA9"/>
  <c r="AR118"/>
  <c r="BD118" s="1"/>
  <c r="AA118"/>
  <c r="AO118"/>
  <c r="AH118"/>
  <c r="T118"/>
  <c r="AA74"/>
  <c r="AO74"/>
  <c r="AR74"/>
  <c r="BD74" s="1"/>
  <c r="AH74"/>
  <c r="T74"/>
  <c r="AA58"/>
  <c r="AO58"/>
  <c r="AR58"/>
  <c r="BD58" s="1"/>
  <c r="AH58"/>
  <c r="T58"/>
  <c r="AH27"/>
  <c r="T27"/>
  <c r="AR27"/>
  <c r="BD27" s="1"/>
  <c r="BT15" s="1"/>
  <c r="AA27"/>
  <c r="AO27"/>
  <c r="AH119"/>
  <c r="T119"/>
  <c r="AR119"/>
  <c r="BD119" s="1"/>
  <c r="AA119"/>
  <c r="AO119"/>
  <c r="AH76"/>
  <c r="T76"/>
  <c r="AA76"/>
  <c r="AO76"/>
  <c r="AR76"/>
  <c r="BD76" s="1"/>
  <c r="AA59"/>
  <c r="T59"/>
  <c r="AH59"/>
  <c r="AO59"/>
  <c r="AR59"/>
  <c r="BD59" s="1"/>
  <c r="AA36"/>
  <c r="AO36"/>
  <c r="AH36"/>
  <c r="T36"/>
  <c r="AR36"/>
  <c r="BD36" s="1"/>
  <c r="AH93"/>
  <c r="AO93"/>
  <c r="T93"/>
  <c r="AA93"/>
  <c r="AR93"/>
  <c r="BD93" s="1"/>
  <c r="BT37" s="1"/>
  <c r="AA15"/>
  <c r="AO15"/>
  <c r="AH15"/>
  <c r="T15"/>
  <c r="AR15"/>
  <c r="BD15" s="1"/>
  <c r="BT11" s="1"/>
  <c r="AH85"/>
  <c r="AO85"/>
  <c r="AR85"/>
  <c r="BD85" s="1"/>
  <c r="AA85"/>
  <c r="T85"/>
  <c r="AA100"/>
  <c r="AH100"/>
  <c r="T100"/>
  <c r="AO100"/>
  <c r="AR100"/>
  <c r="BD100" s="1"/>
  <c r="AA45"/>
  <c r="T45"/>
  <c r="AR45"/>
  <c r="BD45" s="1"/>
  <c r="BT21" s="1"/>
  <c r="AH45"/>
  <c r="AO45"/>
  <c r="AA110"/>
  <c r="AH110"/>
  <c r="AO110"/>
  <c r="T110"/>
  <c r="AR110"/>
  <c r="BD110" s="1"/>
  <c r="Q110" i="6"/>
  <c r="R110" s="1"/>
  <c r="AE110" s="1"/>
  <c r="U110"/>
  <c r="V110" s="1"/>
  <c r="AF110" s="1"/>
  <c r="Y110"/>
  <c r="Z110" s="1"/>
  <c r="AG110" s="1"/>
  <c r="AC110"/>
  <c r="AD110" s="1"/>
  <c r="AH110" s="1"/>
  <c r="AC62"/>
  <c r="AD62" s="1"/>
  <c r="U62"/>
  <c r="V62" s="1"/>
  <c r="AF62" s="1"/>
  <c r="Y62"/>
  <c r="Z62" s="1"/>
  <c r="AG62" s="1"/>
  <c r="Q62"/>
  <c r="R62" s="1"/>
  <c r="AE62" s="1"/>
  <c r="U126"/>
  <c r="V126" s="1"/>
  <c r="AC126"/>
  <c r="AD126" s="1"/>
  <c r="AH126" s="1"/>
  <c r="Y126"/>
  <c r="Z126" s="1"/>
  <c r="AG126" s="1"/>
  <c r="Q126"/>
  <c r="R126" s="1"/>
  <c r="AE126" s="1"/>
  <c r="AC104"/>
  <c r="AD104" s="1"/>
  <c r="Y104"/>
  <c r="Z104" s="1"/>
  <c r="AG104" s="1"/>
  <c r="U104"/>
  <c r="V104" s="1"/>
  <c r="AF104" s="1"/>
  <c r="Q104"/>
  <c r="R104" s="1"/>
  <c r="AE104" s="1"/>
  <c r="U40"/>
  <c r="V40" s="1"/>
  <c r="AF40" s="1"/>
  <c r="Q40"/>
  <c r="R40" s="1"/>
  <c r="AE40" s="1"/>
  <c r="Y40"/>
  <c r="Z40" s="1"/>
  <c r="AG40" s="1"/>
  <c r="AC40"/>
  <c r="AD40" s="1"/>
  <c r="AH40" s="1"/>
  <c r="Y97"/>
  <c r="Z97" s="1"/>
  <c r="AG97" s="1"/>
  <c r="Q97"/>
  <c r="R97" s="1"/>
  <c r="AE97" s="1"/>
  <c r="AC97"/>
  <c r="AD97" s="1"/>
  <c r="AH97" s="1"/>
  <c r="U97"/>
  <c r="V97" s="1"/>
  <c r="AF97" s="1"/>
  <c r="Y42"/>
  <c r="Z42" s="1"/>
  <c r="AG42" s="1"/>
  <c r="U42"/>
  <c r="V42" s="1"/>
  <c r="AF42" s="1"/>
  <c r="Q42"/>
  <c r="R42" s="1"/>
  <c r="AE42" s="1"/>
  <c r="AC42"/>
  <c r="AD42" s="1"/>
  <c r="AH42" s="1"/>
  <c r="U87"/>
  <c r="V87" s="1"/>
  <c r="AF87" s="1"/>
  <c r="Q87"/>
  <c r="R87" s="1"/>
  <c r="AE87" s="1"/>
  <c r="AC87"/>
  <c r="AD87" s="1"/>
  <c r="AH87" s="1"/>
  <c r="Y87"/>
  <c r="Z87" s="1"/>
  <c r="AG87" s="1"/>
  <c r="U54"/>
  <c r="V54" s="1"/>
  <c r="AF54" s="1"/>
  <c r="AC54"/>
  <c r="AD54" s="1"/>
  <c r="Y54"/>
  <c r="Z54" s="1"/>
  <c r="AG54" s="1"/>
  <c r="Q54"/>
  <c r="R54" s="1"/>
  <c r="AE54" s="1"/>
  <c r="AH37" i="7"/>
  <c r="T37"/>
  <c r="AR37"/>
  <c r="BD37" s="1"/>
  <c r="AA37"/>
  <c r="AO37"/>
  <c r="AA107"/>
  <c r="AR107"/>
  <c r="BD107" s="1"/>
  <c r="AH107"/>
  <c r="AO107"/>
  <c r="T107"/>
  <c r="AA84"/>
  <c r="T84"/>
  <c r="AR84"/>
  <c r="BD84" s="1"/>
  <c r="BT34" s="1"/>
  <c r="AH84"/>
  <c r="AO84"/>
  <c r="AH52"/>
  <c r="T52"/>
  <c r="AA52"/>
  <c r="AO52"/>
  <c r="AR52"/>
  <c r="BD52" s="1"/>
  <c r="BT23" s="1"/>
  <c r="AH82"/>
  <c r="T82"/>
  <c r="AR82"/>
  <c r="BD82" s="1"/>
  <c r="BT33" s="1"/>
  <c r="AA82"/>
  <c r="AO82"/>
  <c r="AA64"/>
  <c r="AO64"/>
  <c r="AH64"/>
  <c r="T64"/>
  <c r="AR64"/>
  <c r="BD64" s="1"/>
  <c r="BS27" s="1"/>
  <c r="AH24"/>
  <c r="T24"/>
  <c r="AR24"/>
  <c r="BD24" s="1"/>
  <c r="AA24"/>
  <c r="AO24"/>
  <c r="T89"/>
  <c r="AA89"/>
  <c r="AR89"/>
  <c r="BD89" s="1"/>
  <c r="AH89"/>
  <c r="AO89"/>
  <c r="AA25"/>
  <c r="AO25"/>
  <c r="AR25"/>
  <c r="BD25" s="1"/>
  <c r="AH25"/>
  <c r="T25"/>
  <c r="T39"/>
  <c r="AR39"/>
  <c r="BD39" s="1"/>
  <c r="BT19" s="1"/>
  <c r="AA39"/>
  <c r="AH39"/>
  <c r="AO39"/>
  <c r="AA13"/>
  <c r="AO13"/>
  <c r="AH13"/>
  <c r="T13"/>
  <c r="AR13"/>
  <c r="BD13" s="1"/>
  <c r="BT10" s="1"/>
  <c r="U92" i="6"/>
  <c r="V92" s="1"/>
  <c r="AF92" s="1"/>
  <c r="Y92"/>
  <c r="Z92" s="1"/>
  <c r="AG92" s="1"/>
  <c r="Q92"/>
  <c r="R92" s="1"/>
  <c r="AE92" s="1"/>
  <c r="AC92"/>
  <c r="AD92" s="1"/>
  <c r="AH92" s="1"/>
  <c r="U37"/>
  <c r="V37" s="1"/>
  <c r="AF37" s="1"/>
  <c r="Y37"/>
  <c r="Z37" s="1"/>
  <c r="AG37" s="1"/>
  <c r="Q37"/>
  <c r="R37" s="1"/>
  <c r="AE37" s="1"/>
  <c r="AC37"/>
  <c r="AD37" s="1"/>
  <c r="AH37" s="1"/>
  <c r="Q30"/>
  <c r="R30" s="1"/>
  <c r="AE30" s="1"/>
  <c r="Y30"/>
  <c r="Z30" s="1"/>
  <c r="AG30" s="1"/>
  <c r="U30"/>
  <c r="V30" s="1"/>
  <c r="AF30" s="1"/>
  <c r="AC30"/>
  <c r="AD30" s="1"/>
  <c r="AH30" s="1"/>
  <c r="Y138"/>
  <c r="Z138" s="1"/>
  <c r="AG138" s="1"/>
  <c r="Q138"/>
  <c r="R138" s="1"/>
  <c r="AE138" s="1"/>
  <c r="AC138"/>
  <c r="AD138" s="1"/>
  <c r="AH138" s="1"/>
  <c r="U138"/>
  <c r="V138" s="1"/>
  <c r="AF138" s="1"/>
  <c r="U100"/>
  <c r="V100" s="1"/>
  <c r="AF100" s="1"/>
  <c r="Y100"/>
  <c r="Z100" s="1"/>
  <c r="AG100" s="1"/>
  <c r="Q100"/>
  <c r="R100" s="1"/>
  <c r="AE100" s="1"/>
  <c r="AC100"/>
  <c r="AD100" s="1"/>
  <c r="AH100" s="1"/>
  <c r="Y25"/>
  <c r="Z25" s="1"/>
  <c r="AG25" s="1"/>
  <c r="U25"/>
  <c r="V25" s="1"/>
  <c r="AF25" s="1"/>
  <c r="AC25"/>
  <c r="AD25" s="1"/>
  <c r="AH25" s="1"/>
  <c r="Q25"/>
  <c r="R25" s="1"/>
  <c r="AE25" s="1"/>
  <c r="Y140"/>
  <c r="Z140" s="1"/>
  <c r="AG140" s="1"/>
  <c r="U140"/>
  <c r="V140" s="1"/>
  <c r="AF140" s="1"/>
  <c r="Q140"/>
  <c r="R140" s="1"/>
  <c r="AE140" s="1"/>
  <c r="AC140"/>
  <c r="AD140" s="1"/>
  <c r="AH140" s="1"/>
  <c r="Q111"/>
  <c r="R111" s="1"/>
  <c r="AE111" s="1"/>
  <c r="Y111"/>
  <c r="Z111" s="1"/>
  <c r="AG111" s="1"/>
  <c r="U111"/>
  <c r="V111" s="1"/>
  <c r="AF111" s="1"/>
  <c r="AC111"/>
  <c r="AD111" s="1"/>
  <c r="AH111" s="1"/>
  <c r="Q39"/>
  <c r="R39" s="1"/>
  <c r="AE39" s="1"/>
  <c r="U39"/>
  <c r="V39" s="1"/>
  <c r="AF39" s="1"/>
  <c r="Y39"/>
  <c r="Z39" s="1"/>
  <c r="AG39" s="1"/>
  <c r="AC39"/>
  <c r="AD39" s="1"/>
  <c r="AH39" s="1"/>
  <c r="Y88"/>
  <c r="Z88" s="1"/>
  <c r="AG88" s="1"/>
  <c r="Q88"/>
  <c r="R88" s="1"/>
  <c r="AE88" s="1"/>
  <c r="U88"/>
  <c r="V88" s="1"/>
  <c r="AF88" s="1"/>
  <c r="AC88"/>
  <c r="AD88" s="1"/>
  <c r="AH88" s="1"/>
  <c r="Y68"/>
  <c r="Z68" s="1"/>
  <c r="AG68" s="1"/>
  <c r="U68"/>
  <c r="V68" s="1"/>
  <c r="AF68" s="1"/>
  <c r="Q68"/>
  <c r="R68" s="1"/>
  <c r="AE68" s="1"/>
  <c r="AC68"/>
  <c r="AD68" s="1"/>
  <c r="AH68" s="1"/>
  <c r="Q61"/>
  <c r="R61" s="1"/>
  <c r="AE61" s="1"/>
  <c r="Y61"/>
  <c r="Z61" s="1"/>
  <c r="AG61" s="1"/>
  <c r="AC61"/>
  <c r="AD61" s="1"/>
  <c r="AH61" s="1"/>
  <c r="U61"/>
  <c r="V61" s="1"/>
  <c r="AF61" s="1"/>
  <c r="U115"/>
  <c r="V115" s="1"/>
  <c r="AF115" s="1"/>
  <c r="Q115"/>
  <c r="R115" s="1"/>
  <c r="AE115" s="1"/>
  <c r="Y115"/>
  <c r="Z115" s="1"/>
  <c r="AG115" s="1"/>
  <c r="AC115"/>
  <c r="AD115" s="1"/>
  <c r="AH115" s="1"/>
  <c r="U73"/>
  <c r="V73" s="1"/>
  <c r="AF73" s="1"/>
  <c r="Y73"/>
  <c r="Z73" s="1"/>
  <c r="AG73" s="1"/>
  <c r="Q73"/>
  <c r="R73" s="1"/>
  <c r="AE73" s="1"/>
  <c r="AC73"/>
  <c r="AD73" s="1"/>
  <c r="AH73" s="1"/>
  <c r="U59"/>
  <c r="V59" s="1"/>
  <c r="AF59" s="1"/>
  <c r="Q59"/>
  <c r="R59" s="1"/>
  <c r="AE59" s="1"/>
  <c r="Y59"/>
  <c r="Z59" s="1"/>
  <c r="AG59" s="1"/>
  <c r="AC59"/>
  <c r="AD59" s="1"/>
  <c r="AH59" s="1"/>
  <c r="Q45"/>
  <c r="R45" s="1"/>
  <c r="AE45" s="1"/>
  <c r="U45"/>
  <c r="V45" s="1"/>
  <c r="AF45" s="1"/>
  <c r="Y45"/>
  <c r="Z45" s="1"/>
  <c r="AG45" s="1"/>
  <c r="AC45"/>
  <c r="AD45" s="1"/>
  <c r="AH45" s="1"/>
  <c r="Y58"/>
  <c r="Z58" s="1"/>
  <c r="AG58" s="1"/>
  <c r="Q58"/>
  <c r="R58" s="1"/>
  <c r="AE58" s="1"/>
  <c r="U58"/>
  <c r="V58" s="1"/>
  <c r="AF58" s="1"/>
  <c r="AC58"/>
  <c r="AD58" s="1"/>
  <c r="AH58" s="1"/>
  <c r="Y129"/>
  <c r="Z129" s="1"/>
  <c r="AG129" s="1"/>
  <c r="U129"/>
  <c r="V129" s="1"/>
  <c r="Q129"/>
  <c r="R129" s="1"/>
  <c r="AE129" s="1"/>
  <c r="AC129"/>
  <c r="AD129" s="1"/>
  <c r="AH129" s="1"/>
  <c r="Y95"/>
  <c r="Z95" s="1"/>
  <c r="AG95" s="1"/>
  <c r="Q95"/>
  <c r="R95" s="1"/>
  <c r="AE95" s="1"/>
  <c r="U95"/>
  <c r="V95" s="1"/>
  <c r="AF95" s="1"/>
  <c r="AC95"/>
  <c r="AD95" s="1"/>
  <c r="AH95" s="1"/>
  <c r="Q81"/>
  <c r="R81" s="1"/>
  <c r="AE81" s="1"/>
  <c r="U81"/>
  <c r="V81" s="1"/>
  <c r="AF81" s="1"/>
  <c r="Y81"/>
  <c r="Z81" s="1"/>
  <c r="AG81" s="1"/>
  <c r="AC81"/>
  <c r="AD81" s="1"/>
  <c r="AH81" s="1"/>
  <c r="Q57"/>
  <c r="R57" s="1"/>
  <c r="AE57" s="1"/>
  <c r="Y57"/>
  <c r="Z57" s="1"/>
  <c r="AG57" s="1"/>
  <c r="U57"/>
  <c r="V57" s="1"/>
  <c r="AF57" s="1"/>
  <c r="AC57"/>
  <c r="AD57" s="1"/>
  <c r="AH57" s="1"/>
  <c r="U143"/>
  <c r="V143" s="1"/>
  <c r="AF143" s="1"/>
  <c r="Y143"/>
  <c r="Z143" s="1"/>
  <c r="AG143" s="1"/>
  <c r="Q143"/>
  <c r="R143" s="1"/>
  <c r="AE143" s="1"/>
  <c r="AC143"/>
  <c r="AD143" s="1"/>
  <c r="AH143" s="1"/>
  <c r="Q131"/>
  <c r="R131" s="1"/>
  <c r="AE131" s="1"/>
  <c r="AC131"/>
  <c r="AD131" s="1"/>
  <c r="AH131" s="1"/>
  <c r="Y131"/>
  <c r="Z131" s="1"/>
  <c r="AG131" s="1"/>
  <c r="U131"/>
  <c r="V131" s="1"/>
  <c r="AF131" s="1"/>
  <c r="U117"/>
  <c r="V117" s="1"/>
  <c r="AF117" s="1"/>
  <c r="Q117"/>
  <c r="R117" s="1"/>
  <c r="AE117" s="1"/>
  <c r="Y117"/>
  <c r="Z117" s="1"/>
  <c r="AG117" s="1"/>
  <c r="AC117"/>
  <c r="AD117" s="1"/>
  <c r="AH117" s="1"/>
  <c r="Q83"/>
  <c r="R83" s="1"/>
  <c r="AE83" s="1"/>
  <c r="AC83"/>
  <c r="AD83" s="1"/>
  <c r="AH83" s="1"/>
  <c r="U83"/>
  <c r="V83" s="1"/>
  <c r="AF83" s="1"/>
  <c r="Y83"/>
  <c r="Z83" s="1"/>
  <c r="AG83" s="1"/>
  <c r="Q130"/>
  <c r="R130" s="1"/>
  <c r="AE130" s="1"/>
  <c r="AC130"/>
  <c r="AD130" s="1"/>
  <c r="AH130" s="1"/>
  <c r="U130"/>
  <c r="V130" s="1"/>
  <c r="AF130" s="1"/>
  <c r="Y130"/>
  <c r="Z130" s="1"/>
  <c r="AG130" s="1"/>
  <c r="Q47"/>
  <c r="R47" s="1"/>
  <c r="AE47" s="1"/>
  <c r="U47"/>
  <c r="V47" s="1"/>
  <c r="AF47" s="1"/>
  <c r="Y47"/>
  <c r="Z47" s="1"/>
  <c r="AG47" s="1"/>
  <c r="AC47"/>
  <c r="AD47" s="1"/>
  <c r="AH47" s="1"/>
  <c r="AH116" i="7"/>
  <c r="AO116"/>
  <c r="AA116"/>
  <c r="T116"/>
  <c r="AR116"/>
  <c r="BD116" s="1"/>
  <c r="AH92"/>
  <c r="AO92"/>
  <c r="T92"/>
  <c r="AR92"/>
  <c r="BD92" s="1"/>
  <c r="BT36" s="1"/>
  <c r="AA92"/>
  <c r="AH115"/>
  <c r="AO115"/>
  <c r="AA115"/>
  <c r="T115"/>
  <c r="AR115"/>
  <c r="BD115" s="1"/>
  <c r="BT44" s="1"/>
  <c r="AH103"/>
  <c r="T103"/>
  <c r="AO103"/>
  <c r="AR103"/>
  <c r="BD103" s="1"/>
  <c r="AA103"/>
  <c r="AH54"/>
  <c r="T54"/>
  <c r="AR54"/>
  <c r="BD54" s="1"/>
  <c r="BT24" s="1"/>
  <c r="AA54"/>
  <c r="AO54"/>
  <c r="AP56"/>
  <c r="AQ56"/>
  <c r="U56"/>
  <c r="V56"/>
  <c r="AS56" s="1"/>
  <c r="AB128"/>
  <c r="AC128"/>
  <c r="AT128" s="1"/>
  <c r="AJ128"/>
  <c r="AU128" s="1"/>
  <c r="AI128"/>
  <c r="AJ44"/>
  <c r="AU44" s="1"/>
  <c r="AI44"/>
  <c r="AC44"/>
  <c r="AT44" s="1"/>
  <c r="AB44"/>
  <c r="AC55"/>
  <c r="AT55" s="1"/>
  <c r="AB55"/>
  <c r="AI55"/>
  <c r="AJ55"/>
  <c r="AU55" s="1"/>
  <c r="AC126"/>
  <c r="AT126" s="1"/>
  <c r="AB126"/>
  <c r="AJ126"/>
  <c r="AU126" s="1"/>
  <c r="AI126"/>
  <c r="AB127"/>
  <c r="AC127"/>
  <c r="AT127" s="1"/>
  <c r="AJ127"/>
  <c r="AU127" s="1"/>
  <c r="AI127"/>
  <c r="AJ127" i="6"/>
  <c r="AK127" s="1"/>
  <c r="AI127"/>
  <c r="AJ128"/>
  <c r="AK128" s="1"/>
  <c r="AI128"/>
  <c r="AJ86"/>
  <c r="AK86" s="1"/>
  <c r="AI86"/>
  <c r="AJ63"/>
  <c r="AK63" s="1"/>
  <c r="AI63"/>
  <c r="AJ136"/>
  <c r="AK136" s="1"/>
  <c r="AI136"/>
  <c r="AJ55"/>
  <c r="AK55" s="1"/>
  <c r="AI55"/>
  <c r="AJ43"/>
  <c r="AK43" s="1"/>
  <c r="AI43"/>
  <c r="AJ26"/>
  <c r="AK26" s="1"/>
  <c r="AI26"/>
  <c r="AJ34"/>
  <c r="AK34" s="1"/>
  <c r="AI34"/>
  <c r="AJ80"/>
  <c r="AK80" s="1"/>
  <c r="AI80"/>
  <c r="V120" i="7"/>
  <c r="AS120" s="1"/>
  <c r="U120"/>
  <c r="BS46"/>
  <c r="AB120"/>
  <c r="AC120"/>
  <c r="AT120" s="1"/>
  <c r="AQ51"/>
  <c r="AP51"/>
  <c r="V51"/>
  <c r="AS51" s="1"/>
  <c r="U51"/>
  <c r="AP35"/>
  <c r="AQ35"/>
  <c r="AJ35"/>
  <c r="AU35" s="1"/>
  <c r="AI35"/>
  <c r="AC123"/>
  <c r="AT123" s="1"/>
  <c r="AB123"/>
  <c r="V123"/>
  <c r="AS123" s="1"/>
  <c r="U123"/>
  <c r="V81"/>
  <c r="AS81" s="1"/>
  <c r="U81"/>
  <c r="AP81"/>
  <c r="AQ81"/>
  <c r="BS33"/>
  <c r="AQ69"/>
  <c r="AP69"/>
  <c r="V69"/>
  <c r="AS69" s="1"/>
  <c r="U69"/>
  <c r="V23"/>
  <c r="AS23" s="1"/>
  <c r="U23"/>
  <c r="AP23"/>
  <c r="AQ23"/>
  <c r="AP12"/>
  <c r="AQ12"/>
  <c r="BS10"/>
  <c r="AC101"/>
  <c r="AT101" s="1"/>
  <c r="AB101"/>
  <c r="V101"/>
  <c r="AS101" s="1"/>
  <c r="U101"/>
  <c r="AI101"/>
  <c r="AJ101"/>
  <c r="AU101" s="1"/>
  <c r="V98"/>
  <c r="AS98" s="1"/>
  <c r="U98"/>
  <c r="AJ98"/>
  <c r="AU98" s="1"/>
  <c r="AI98"/>
  <c r="AQ11"/>
  <c r="BE11" s="1"/>
  <c r="BI11" s="1"/>
  <c r="AP11"/>
  <c r="V11"/>
  <c r="AS11" s="1"/>
  <c r="U11"/>
  <c r="AC121"/>
  <c r="AT121" s="1"/>
  <c r="AB121"/>
  <c r="V121"/>
  <c r="AS121" s="1"/>
  <c r="U121"/>
  <c r="V112"/>
  <c r="AS112" s="1"/>
  <c r="U112"/>
  <c r="AC112"/>
  <c r="AT112" s="1"/>
  <c r="AB112"/>
  <c r="AP71"/>
  <c r="AQ71"/>
  <c r="U71"/>
  <c r="V71"/>
  <c r="AS71" s="1"/>
  <c r="AJ63"/>
  <c r="AU63" s="1"/>
  <c r="AI63"/>
  <c r="AC63"/>
  <c r="AT63" s="1"/>
  <c r="AB63"/>
  <c r="V33"/>
  <c r="AS33" s="1"/>
  <c r="U33"/>
  <c r="AP33"/>
  <c r="AQ33"/>
  <c r="AP21"/>
  <c r="AQ21"/>
  <c r="BS13"/>
  <c r="AI21"/>
  <c r="AJ21"/>
  <c r="AU21" s="1"/>
  <c r="AP113"/>
  <c r="AQ113"/>
  <c r="V113"/>
  <c r="AS113" s="1"/>
  <c r="U113"/>
  <c r="AC53"/>
  <c r="AT53" s="1"/>
  <c r="AB53"/>
  <c r="AJ53"/>
  <c r="AU53" s="1"/>
  <c r="AI53"/>
  <c r="AP46"/>
  <c r="AQ46"/>
  <c r="V46"/>
  <c r="AS46" s="1"/>
  <c r="U46"/>
  <c r="V61"/>
  <c r="AS61" s="1"/>
  <c r="U61"/>
  <c r="AI61"/>
  <c r="AJ61"/>
  <c r="AU61" s="1"/>
  <c r="AJ17"/>
  <c r="AU17" s="1"/>
  <c r="AI17"/>
  <c r="AC66"/>
  <c r="AT66" s="1"/>
  <c r="AB66"/>
  <c r="AP66"/>
  <c r="AQ66"/>
  <c r="U18"/>
  <c r="V18"/>
  <c r="AS18" s="1"/>
  <c r="AQ18"/>
  <c r="AP18"/>
  <c r="BS36"/>
  <c r="V90"/>
  <c r="AS90" s="1"/>
  <c r="U90"/>
  <c r="AJ90"/>
  <c r="AU90" s="1"/>
  <c r="AI90"/>
  <c r="AP96"/>
  <c r="AQ96"/>
  <c r="AB96"/>
  <c r="AC96"/>
  <c r="AT96" s="1"/>
  <c r="V104"/>
  <c r="AS104" s="1"/>
  <c r="U104"/>
  <c r="AI104"/>
  <c r="AJ104"/>
  <c r="AU104" s="1"/>
  <c r="AQ114"/>
  <c r="AP114"/>
  <c r="V114"/>
  <c r="AS114" s="1"/>
  <c r="U114"/>
  <c r="AI91"/>
  <c r="AJ91"/>
  <c r="AU91" s="1"/>
  <c r="AQ91"/>
  <c r="AP91"/>
  <c r="AJ20"/>
  <c r="AU20" s="1"/>
  <c r="AI20"/>
  <c r="AC20"/>
  <c r="AT20" s="1"/>
  <c r="AB20"/>
  <c r="U43"/>
  <c r="V43"/>
  <c r="AS43" s="1"/>
  <c r="AP43"/>
  <c r="AQ43"/>
  <c r="U30"/>
  <c r="V30"/>
  <c r="AS30" s="1"/>
  <c r="AP30"/>
  <c r="AQ30"/>
  <c r="AJ79"/>
  <c r="AU79" s="1"/>
  <c r="AI79"/>
  <c r="AB79"/>
  <c r="AC79"/>
  <c r="AT79" s="1"/>
  <c r="AC32"/>
  <c r="AT32" s="1"/>
  <c r="AB32"/>
  <c r="U32"/>
  <c r="V32"/>
  <c r="AS32" s="1"/>
  <c r="BS20"/>
  <c r="AI42"/>
  <c r="AJ42"/>
  <c r="AU42" s="1"/>
  <c r="AC42"/>
  <c r="AT42" s="1"/>
  <c r="AB42"/>
  <c r="AP78"/>
  <c r="AQ78"/>
  <c r="V78"/>
  <c r="AS78" s="1"/>
  <c r="U78"/>
  <c r="AJ80"/>
  <c r="AU80" s="1"/>
  <c r="AI80"/>
  <c r="AB80"/>
  <c r="AC80"/>
  <c r="AT80" s="1"/>
  <c r="U132" i="6"/>
  <c r="V132" s="1"/>
  <c r="AF132" s="1"/>
  <c r="Q132"/>
  <c r="R132" s="1"/>
  <c r="AE132" s="1"/>
  <c r="Y132"/>
  <c r="Z132" s="1"/>
  <c r="AG132" s="1"/>
  <c r="AC132"/>
  <c r="AD132" s="1"/>
  <c r="AH132" s="1"/>
  <c r="Q67"/>
  <c r="R67" s="1"/>
  <c r="AE67" s="1"/>
  <c r="Y67"/>
  <c r="Z67" s="1"/>
  <c r="AG67" s="1"/>
  <c r="U67"/>
  <c r="V67" s="1"/>
  <c r="AF67" s="1"/>
  <c r="AC67"/>
  <c r="AD67" s="1"/>
  <c r="AH67" s="1"/>
  <c r="Y72"/>
  <c r="Z72" s="1"/>
  <c r="AG72" s="1"/>
  <c r="Q72"/>
  <c r="R72" s="1"/>
  <c r="AE72" s="1"/>
  <c r="U72"/>
  <c r="V72" s="1"/>
  <c r="AF72" s="1"/>
  <c r="AC72"/>
  <c r="AD72" s="1"/>
  <c r="AH72" s="1"/>
  <c r="Y98"/>
  <c r="Z98" s="1"/>
  <c r="AG98" s="1"/>
  <c r="Q98"/>
  <c r="R98" s="1"/>
  <c r="AE98" s="1"/>
  <c r="U98"/>
  <c r="V98" s="1"/>
  <c r="AF98" s="1"/>
  <c r="AC98"/>
  <c r="AD98" s="1"/>
  <c r="AH98" s="1"/>
  <c r="Q51"/>
  <c r="R51" s="1"/>
  <c r="AE51" s="1"/>
  <c r="Y51"/>
  <c r="Z51" s="1"/>
  <c r="AG51" s="1"/>
  <c r="U51"/>
  <c r="V51" s="1"/>
  <c r="AF51" s="1"/>
  <c r="AC51"/>
  <c r="AD51" s="1"/>
  <c r="AH51" s="1"/>
  <c r="U124"/>
  <c r="V124" s="1"/>
  <c r="AF124" s="1"/>
  <c r="Q124"/>
  <c r="R124" s="1"/>
  <c r="AE124" s="1"/>
  <c r="Y124"/>
  <c r="Z124" s="1"/>
  <c r="AG124" s="1"/>
  <c r="AC124"/>
  <c r="AD124" s="1"/>
  <c r="AH124" s="1"/>
  <c r="U52"/>
  <c r="V52" s="1"/>
  <c r="AF52" s="1"/>
  <c r="Y52"/>
  <c r="Z52" s="1"/>
  <c r="AG52" s="1"/>
  <c r="Q52"/>
  <c r="R52" s="1"/>
  <c r="AE52" s="1"/>
  <c r="AC52"/>
  <c r="AD52" s="1"/>
  <c r="AH52" s="1"/>
  <c r="Y109"/>
  <c r="Z109" s="1"/>
  <c r="AG109" s="1"/>
  <c r="U109"/>
  <c r="V109" s="1"/>
  <c r="AF109" s="1"/>
  <c r="Q109"/>
  <c r="R109" s="1"/>
  <c r="AE109" s="1"/>
  <c r="AC109"/>
  <c r="AD109" s="1"/>
  <c r="AH109" s="1"/>
  <c r="U77"/>
  <c r="V77" s="1"/>
  <c r="AF77" s="1"/>
  <c r="Q77"/>
  <c r="R77" s="1"/>
  <c r="AE77" s="1"/>
  <c r="Y77"/>
  <c r="Z77" s="1"/>
  <c r="AG77" s="1"/>
  <c r="AC77"/>
  <c r="AD77" s="1"/>
  <c r="U102"/>
  <c r="V102" s="1"/>
  <c r="AF102" s="1"/>
  <c r="Y102"/>
  <c r="Z102" s="1"/>
  <c r="AG102" s="1"/>
  <c r="Q102"/>
  <c r="R102" s="1"/>
  <c r="AE102" s="1"/>
  <c r="AC102"/>
  <c r="AD102" s="1"/>
  <c r="AH102" s="1"/>
  <c r="U66"/>
  <c r="V66" s="1"/>
  <c r="AF66" s="1"/>
  <c r="Y66"/>
  <c r="Z66" s="1"/>
  <c r="AG66" s="1"/>
  <c r="Q66"/>
  <c r="R66" s="1"/>
  <c r="AE66" s="1"/>
  <c r="AC66"/>
  <c r="AD66" s="1"/>
  <c r="AH66" s="1"/>
  <c r="U134"/>
  <c r="V134" s="1"/>
  <c r="AF134" s="1"/>
  <c r="Y134"/>
  <c r="Z134" s="1"/>
  <c r="AG134" s="1"/>
  <c r="Q134"/>
  <c r="R134" s="1"/>
  <c r="AE134" s="1"/>
  <c r="AC134"/>
  <c r="AD134" s="1"/>
  <c r="AH134" s="1"/>
  <c r="Y120"/>
  <c r="Z120" s="1"/>
  <c r="AG120" s="1"/>
  <c r="U120"/>
  <c r="V120" s="1"/>
  <c r="AF120" s="1"/>
  <c r="Q120"/>
  <c r="R120" s="1"/>
  <c r="AE120" s="1"/>
  <c r="AC120"/>
  <c r="AD120" s="1"/>
  <c r="AH120" s="1"/>
  <c r="U49"/>
  <c r="V49" s="1"/>
  <c r="AF49" s="1"/>
  <c r="Q49"/>
  <c r="R49" s="1"/>
  <c r="AE49" s="1"/>
  <c r="Y49"/>
  <c r="Z49" s="1"/>
  <c r="AG49" s="1"/>
  <c r="AC49"/>
  <c r="AD49" s="1"/>
  <c r="AH49" s="1"/>
  <c r="Y101"/>
  <c r="Z101" s="1"/>
  <c r="AG101" s="1"/>
  <c r="U101"/>
  <c r="V101" s="1"/>
  <c r="AF101" s="1"/>
  <c r="Q101"/>
  <c r="R101" s="1"/>
  <c r="AE101" s="1"/>
  <c r="AC101"/>
  <c r="AD101" s="1"/>
  <c r="AH101" s="1"/>
  <c r="Q112"/>
  <c r="R112" s="1"/>
  <c r="AE112" s="1"/>
  <c r="Y112"/>
  <c r="Z112" s="1"/>
  <c r="AG112" s="1"/>
  <c r="U112"/>
  <c r="V112" s="1"/>
  <c r="AF112" s="1"/>
  <c r="AC112"/>
  <c r="AD112" s="1"/>
  <c r="AH112" s="1"/>
  <c r="U41"/>
  <c r="V41" s="1"/>
  <c r="AF41" s="1"/>
  <c r="Y41"/>
  <c r="Z41" s="1"/>
  <c r="AG41" s="1"/>
  <c r="Q41"/>
  <c r="R41" s="1"/>
  <c r="AE41" s="1"/>
  <c r="AC41"/>
  <c r="AD41" s="1"/>
  <c r="AH41" s="1"/>
  <c r="U24"/>
  <c r="V24" s="1"/>
  <c r="AF24" s="1"/>
  <c r="AE24"/>
  <c r="Y24"/>
  <c r="Z24" s="1"/>
  <c r="AG24" s="1"/>
  <c r="AC24"/>
  <c r="AD24" s="1"/>
  <c r="AH24" s="1"/>
  <c r="U84"/>
  <c r="V84" s="1"/>
  <c r="AF84" s="1"/>
  <c r="Y84"/>
  <c r="Z84" s="1"/>
  <c r="AG84" s="1"/>
  <c r="Q84"/>
  <c r="R84" s="1"/>
  <c r="AE84" s="1"/>
  <c r="AC84"/>
  <c r="AD84" s="1"/>
  <c r="AH84" s="1"/>
  <c r="Q113"/>
  <c r="R113" s="1"/>
  <c r="AE113" s="1"/>
  <c r="Y113"/>
  <c r="Z113" s="1"/>
  <c r="AG113" s="1"/>
  <c r="U113"/>
  <c r="V113" s="1"/>
  <c r="AF113" s="1"/>
  <c r="AC113"/>
  <c r="AD113" s="1"/>
  <c r="AH113" s="1"/>
  <c r="Y114"/>
  <c r="Z114" s="1"/>
  <c r="AG114" s="1"/>
  <c r="Q114"/>
  <c r="R114" s="1"/>
  <c r="AE114" s="1"/>
  <c r="U114"/>
  <c r="V114" s="1"/>
  <c r="AF114" s="1"/>
  <c r="AC114"/>
  <c r="AD114" s="1"/>
  <c r="AH114" s="1"/>
  <c r="Y91"/>
  <c r="Z91" s="1"/>
  <c r="AG91" s="1"/>
  <c r="Q91"/>
  <c r="R91" s="1"/>
  <c r="AE91" s="1"/>
  <c r="U91"/>
  <c r="V91" s="1"/>
  <c r="AF91" s="1"/>
  <c r="AC91"/>
  <c r="AD91" s="1"/>
  <c r="AH91" s="1"/>
  <c r="Y125"/>
  <c r="Z125" s="1"/>
  <c r="AG125" s="1"/>
  <c r="U125"/>
  <c r="V125" s="1"/>
  <c r="AF125" s="1"/>
  <c r="AC125"/>
  <c r="AD125" s="1"/>
  <c r="AH125" s="1"/>
  <c r="Q125"/>
  <c r="R125" s="1"/>
  <c r="AE125" s="1"/>
  <c r="U32"/>
  <c r="V32" s="1"/>
  <c r="AF32" s="1"/>
  <c r="Q32"/>
  <c r="R32" s="1"/>
  <c r="AE32" s="1"/>
  <c r="Y32"/>
  <c r="Z32" s="1"/>
  <c r="AG32" s="1"/>
  <c r="AC32"/>
  <c r="AD32" s="1"/>
  <c r="AH32" s="1"/>
  <c r="Q106"/>
  <c r="R106" s="1"/>
  <c r="AE106" s="1"/>
  <c r="U106"/>
  <c r="V106" s="1"/>
  <c r="AF106" s="1"/>
  <c r="Y106"/>
  <c r="Z106" s="1"/>
  <c r="AG106" s="1"/>
  <c r="AC106"/>
  <c r="AD106" s="1"/>
  <c r="AH106" s="1"/>
  <c r="U119"/>
  <c r="V119" s="1"/>
  <c r="AF119" s="1"/>
  <c r="Q119"/>
  <c r="R119" s="1"/>
  <c r="AE119" s="1"/>
  <c r="Y119"/>
  <c r="Z119" s="1"/>
  <c r="AG119" s="1"/>
  <c r="AC119"/>
  <c r="AD119" s="1"/>
  <c r="AH119" s="1"/>
  <c r="Y142"/>
  <c r="Z142" s="1"/>
  <c r="AG142" s="1"/>
  <c r="U142"/>
  <c r="V142" s="1"/>
  <c r="AF142" s="1"/>
  <c r="Q142"/>
  <c r="R142" s="1"/>
  <c r="AE142" s="1"/>
  <c r="AC142"/>
  <c r="AD142" s="1"/>
  <c r="AH142" s="1"/>
  <c r="Q33"/>
  <c r="R33" s="1"/>
  <c r="AE33" s="1"/>
  <c r="U33"/>
  <c r="V33" s="1"/>
  <c r="AF33" s="1"/>
  <c r="Y33"/>
  <c r="Z33" s="1"/>
  <c r="AG33" s="1"/>
  <c r="AC33"/>
  <c r="AD33" s="1"/>
  <c r="AH33" s="1"/>
  <c r="U141"/>
  <c r="V141" s="1"/>
  <c r="AF141" s="1"/>
  <c r="Y141"/>
  <c r="Z141" s="1"/>
  <c r="AG141" s="1"/>
  <c r="AC141"/>
  <c r="AD141" s="1"/>
  <c r="AH141" s="1"/>
  <c r="Q141"/>
  <c r="R141" s="1"/>
  <c r="AE141" s="1"/>
  <c r="Q118"/>
  <c r="R118" s="1"/>
  <c r="AE118" s="1"/>
  <c r="U118"/>
  <c r="V118" s="1"/>
  <c r="AF118" s="1"/>
  <c r="Y118"/>
  <c r="Z118" s="1"/>
  <c r="AG118" s="1"/>
  <c r="AC118"/>
  <c r="AD118" s="1"/>
  <c r="AH118" s="1"/>
  <c r="U105"/>
  <c r="V105" s="1"/>
  <c r="AF105" s="1"/>
  <c r="Q105"/>
  <c r="R105" s="1"/>
  <c r="AE105" s="1"/>
  <c r="Y105"/>
  <c r="Z105" s="1"/>
  <c r="AG105" s="1"/>
  <c r="AC105"/>
  <c r="AD105" s="1"/>
  <c r="AH105" s="1"/>
  <c r="AJ71"/>
  <c r="AK71" s="1"/>
  <c r="AI71"/>
  <c r="U107"/>
  <c r="V107" s="1"/>
  <c r="AF107" s="1"/>
  <c r="Q107"/>
  <c r="R107" s="1"/>
  <c r="AE107" s="1"/>
  <c r="Y107"/>
  <c r="Z107" s="1"/>
  <c r="AG107" s="1"/>
  <c r="AC107"/>
  <c r="AD107" s="1"/>
  <c r="AH107" s="1"/>
  <c r="Q69"/>
  <c r="R69" s="1"/>
  <c r="AE69" s="1"/>
  <c r="Y69"/>
  <c r="Z69" s="1"/>
  <c r="AG69" s="1"/>
  <c r="U69"/>
  <c r="V69" s="1"/>
  <c r="AF69" s="1"/>
  <c r="AC69"/>
  <c r="AD69" s="1"/>
  <c r="AH69" s="1"/>
  <c r="Q94"/>
  <c r="R94" s="1"/>
  <c r="AE94" s="1"/>
  <c r="U94"/>
  <c r="V94" s="1"/>
  <c r="AF94" s="1"/>
  <c r="Y94"/>
  <c r="Z94" s="1"/>
  <c r="AG94" s="1"/>
  <c r="AC94"/>
  <c r="AD94" s="1"/>
  <c r="AH94" s="1"/>
  <c r="U82"/>
  <c r="V82" s="1"/>
  <c r="AF82" s="1"/>
  <c r="Y82"/>
  <c r="Z82" s="1"/>
  <c r="AG82" s="1"/>
  <c r="Q82"/>
  <c r="R82" s="1"/>
  <c r="AE82" s="1"/>
  <c r="AC82"/>
  <c r="AD82" s="1"/>
  <c r="AH82" s="1"/>
  <c r="U70"/>
  <c r="V70" s="1"/>
  <c r="AF70" s="1"/>
  <c r="Y70"/>
  <c r="Z70" s="1"/>
  <c r="AG70" s="1"/>
  <c r="AC70"/>
  <c r="AD70" s="1"/>
  <c r="AH70" s="1"/>
  <c r="Q70"/>
  <c r="R70" s="1"/>
  <c r="AE70" s="1"/>
  <c r="Y46"/>
  <c r="Z46" s="1"/>
  <c r="AG46" s="1"/>
  <c r="U46"/>
  <c r="V46" s="1"/>
  <c r="AF46" s="1"/>
  <c r="Q46"/>
  <c r="R46" s="1"/>
  <c r="AE46" s="1"/>
  <c r="AC46"/>
  <c r="AD46" s="1"/>
  <c r="AH46" s="1"/>
  <c r="Q93"/>
  <c r="R93" s="1"/>
  <c r="AE93" s="1"/>
  <c r="AC93"/>
  <c r="AD93" s="1"/>
  <c r="AH93" s="1"/>
  <c r="Y93"/>
  <c r="Z93" s="1"/>
  <c r="AG93" s="1"/>
  <c r="U93"/>
  <c r="V93" s="1"/>
  <c r="AF93" s="1"/>
  <c r="AA67" i="7"/>
  <c r="AO67"/>
  <c r="AH67"/>
  <c r="T67"/>
  <c r="AR67"/>
  <c r="BD67" s="1"/>
  <c r="AA102"/>
  <c r="AH102"/>
  <c r="AO102"/>
  <c r="T102"/>
  <c r="AR102"/>
  <c r="BD102" s="1"/>
  <c r="BT40" s="1"/>
  <c r="AH19"/>
  <c r="T19"/>
  <c r="AA19"/>
  <c r="AO19"/>
  <c r="AR19"/>
  <c r="BD19" s="1"/>
  <c r="BT12" s="1"/>
  <c r="AH68"/>
  <c r="AO68"/>
  <c r="AA68"/>
  <c r="T68"/>
  <c r="AR68"/>
  <c r="BD68" s="1"/>
  <c r="AA31"/>
  <c r="AO31"/>
  <c r="AR31"/>
  <c r="BD31" s="1"/>
  <c r="BT16" s="1"/>
  <c r="AH31"/>
  <c r="T31"/>
  <c r="AC56"/>
  <c r="AT56" s="1"/>
  <c r="AB56"/>
  <c r="AI56"/>
  <c r="AJ56"/>
  <c r="AU56" s="1"/>
  <c r="AQ128"/>
  <c r="AP128"/>
  <c r="V128"/>
  <c r="AS128" s="1"/>
  <c r="U128"/>
  <c r="V44"/>
  <c r="AS44" s="1"/>
  <c r="U44"/>
  <c r="AP44"/>
  <c r="AQ44"/>
  <c r="AQ55"/>
  <c r="AP55"/>
  <c r="U55"/>
  <c r="V55"/>
  <c r="AS55" s="1"/>
  <c r="AP126"/>
  <c r="AQ126"/>
  <c r="V126"/>
  <c r="AS126" s="1"/>
  <c r="U126"/>
  <c r="BS48"/>
  <c r="AQ127"/>
  <c r="AP127"/>
  <c r="V127"/>
  <c r="AS127" s="1"/>
  <c r="U127"/>
  <c r="AJ75" i="6"/>
  <c r="AK75" s="1"/>
  <c r="AI75"/>
  <c r="AJ36"/>
  <c r="AK36" s="1"/>
  <c r="AI36"/>
  <c r="AJ48"/>
  <c r="AK48" s="1"/>
  <c r="AI48"/>
  <c r="AJ35"/>
  <c r="AK35" s="1"/>
  <c r="AI35"/>
  <c r="AJ120" i="7"/>
  <c r="AU120" s="1"/>
  <c r="AI120"/>
  <c r="AP120"/>
  <c r="AQ120"/>
  <c r="BS23"/>
  <c r="AC51"/>
  <c r="AT51" s="1"/>
  <c r="AB51"/>
  <c r="AJ51"/>
  <c r="AU51" s="1"/>
  <c r="AI51"/>
  <c r="AC35"/>
  <c r="AT35" s="1"/>
  <c r="AB35"/>
  <c r="V35"/>
  <c r="AS35" s="1"/>
  <c r="U35"/>
  <c r="AP123"/>
  <c r="AQ123"/>
  <c r="BS47"/>
  <c r="AJ123"/>
  <c r="AU123" s="1"/>
  <c r="AI123"/>
  <c r="AJ81"/>
  <c r="AU81" s="1"/>
  <c r="AI81"/>
  <c r="AC81"/>
  <c r="AT81" s="1"/>
  <c r="AB81"/>
  <c r="AC69"/>
  <c r="AT69" s="1"/>
  <c r="AB69"/>
  <c r="AJ69"/>
  <c r="AU69" s="1"/>
  <c r="AI69"/>
  <c r="AJ23"/>
  <c r="AU23" s="1"/>
  <c r="AI23"/>
  <c r="AC23"/>
  <c r="AT23" s="1"/>
  <c r="AB23"/>
  <c r="AJ12"/>
  <c r="AU12" s="1"/>
  <c r="AI12"/>
  <c r="V12"/>
  <c r="AS12" s="1"/>
  <c r="U12"/>
  <c r="AB12"/>
  <c r="AC12"/>
  <c r="AT12" s="1"/>
  <c r="AP101"/>
  <c r="AQ101"/>
  <c r="AC98"/>
  <c r="AT98" s="1"/>
  <c r="AB98"/>
  <c r="AP98"/>
  <c r="AQ98"/>
  <c r="AC11"/>
  <c r="AT11" s="1"/>
  <c r="BG11" s="1"/>
  <c r="AB11"/>
  <c r="AI11"/>
  <c r="AJ11"/>
  <c r="AU11" s="1"/>
  <c r="AP121"/>
  <c r="AQ121"/>
  <c r="AJ121"/>
  <c r="AU121" s="1"/>
  <c r="AI121"/>
  <c r="AJ112"/>
  <c r="AU112" s="1"/>
  <c r="AI112"/>
  <c r="AP112"/>
  <c r="AQ112"/>
  <c r="AC71"/>
  <c r="AT71" s="1"/>
  <c r="AB71"/>
  <c r="AI71"/>
  <c r="AJ71"/>
  <c r="AU71" s="1"/>
  <c r="V63"/>
  <c r="AS63" s="1"/>
  <c r="U63"/>
  <c r="AP63"/>
  <c r="AQ63"/>
  <c r="BS17"/>
  <c r="AJ33"/>
  <c r="AU33" s="1"/>
  <c r="AI33"/>
  <c r="AC33"/>
  <c r="AT33" s="1"/>
  <c r="AB33"/>
  <c r="AC21"/>
  <c r="AT21" s="1"/>
  <c r="AB21"/>
  <c r="U21"/>
  <c r="V21"/>
  <c r="AS21" s="1"/>
  <c r="AC113"/>
  <c r="AT113" s="1"/>
  <c r="AB113"/>
  <c r="AJ113"/>
  <c r="AU113" s="1"/>
  <c r="AI113"/>
  <c r="AP53"/>
  <c r="AQ53"/>
  <c r="V53"/>
  <c r="AS53" s="1"/>
  <c r="U53"/>
  <c r="AJ46"/>
  <c r="AU46" s="1"/>
  <c r="AI46"/>
  <c r="AC46"/>
  <c r="AT46" s="1"/>
  <c r="AB46"/>
  <c r="AC61"/>
  <c r="AT61" s="1"/>
  <c r="AB61"/>
  <c r="AP61"/>
  <c r="AQ61"/>
  <c r="AP17"/>
  <c r="AQ17"/>
  <c r="AC17"/>
  <c r="AT17" s="1"/>
  <c r="AB17"/>
  <c r="V17"/>
  <c r="AS17" s="1"/>
  <c r="U17"/>
  <c r="V66"/>
  <c r="AS66" s="1"/>
  <c r="U66"/>
  <c r="AJ66"/>
  <c r="AU66" s="1"/>
  <c r="AI66"/>
  <c r="BS12"/>
  <c r="AB18"/>
  <c r="AC18"/>
  <c r="AT18" s="1"/>
  <c r="AJ18"/>
  <c r="AU18" s="1"/>
  <c r="AI18"/>
  <c r="AC90"/>
  <c r="AT90" s="1"/>
  <c r="AB90"/>
  <c r="AP90"/>
  <c r="AQ90"/>
  <c r="AJ96"/>
  <c r="AU96" s="1"/>
  <c r="AI96"/>
  <c r="BS38"/>
  <c r="U96"/>
  <c r="V96"/>
  <c r="AS96" s="1"/>
  <c r="AC104"/>
  <c r="AT104" s="1"/>
  <c r="AB104"/>
  <c r="AP104"/>
  <c r="AQ104"/>
  <c r="BS44"/>
  <c r="AB114"/>
  <c r="AC114"/>
  <c r="AT114" s="1"/>
  <c r="AJ114"/>
  <c r="AU114" s="1"/>
  <c r="AI114"/>
  <c r="U91"/>
  <c r="V91"/>
  <c r="AS91" s="1"/>
  <c r="AB91"/>
  <c r="AC91"/>
  <c r="AT91" s="1"/>
  <c r="V20"/>
  <c r="AS20" s="1"/>
  <c r="U20"/>
  <c r="AP20"/>
  <c r="AQ20"/>
  <c r="AJ43"/>
  <c r="AU43" s="1"/>
  <c r="AI43"/>
  <c r="AB43"/>
  <c r="AC43"/>
  <c r="AT43" s="1"/>
  <c r="BS16"/>
  <c r="AI30"/>
  <c r="AJ30"/>
  <c r="AU30" s="1"/>
  <c r="AC30"/>
  <c r="AT30" s="1"/>
  <c r="AB30"/>
  <c r="V79"/>
  <c r="AS79" s="1"/>
  <c r="U79"/>
  <c r="AQ79"/>
  <c r="AP79"/>
  <c r="AP32"/>
  <c r="AQ32"/>
  <c r="AI32"/>
  <c r="AJ32"/>
  <c r="AU32" s="1"/>
  <c r="U42"/>
  <c r="V42"/>
  <c r="AS42" s="1"/>
  <c r="AP42"/>
  <c r="AQ42"/>
  <c r="AC78"/>
  <c r="AT78" s="1"/>
  <c r="AB78"/>
  <c r="AJ78"/>
  <c r="AU78" s="1"/>
  <c r="AI78"/>
  <c r="V80"/>
  <c r="AS80" s="1"/>
  <c r="U80"/>
  <c r="AQ80"/>
  <c r="AP80"/>
  <c r="BH11" l="1"/>
  <c r="BS9"/>
  <c r="BT9"/>
  <c r="BT47"/>
  <c r="BT28"/>
  <c r="BT18"/>
  <c r="BT42"/>
  <c r="BT35"/>
  <c r="BT22"/>
  <c r="BT14"/>
  <c r="BT41"/>
  <c r="BT31"/>
  <c r="BT25"/>
  <c r="BT30"/>
  <c r="BT26"/>
  <c r="BT39"/>
  <c r="BT45"/>
  <c r="BT27"/>
  <c r="AV20"/>
  <c r="AW20" s="1"/>
  <c r="BE20"/>
  <c r="BE90"/>
  <c r="AV90"/>
  <c r="AX90" s="1"/>
  <c r="AY90" s="1"/>
  <c r="L84" i="5" s="1"/>
  <c r="AV63" i="7"/>
  <c r="AX63" s="1"/>
  <c r="AY63" s="1"/>
  <c r="L57" i="5" s="1"/>
  <c r="BE63" i="7"/>
  <c r="AV112"/>
  <c r="BE112"/>
  <c r="BE121"/>
  <c r="AV121"/>
  <c r="AX121" s="1"/>
  <c r="AY121" s="1"/>
  <c r="L115" i="5" s="1"/>
  <c r="BE98" i="7"/>
  <c r="AV98"/>
  <c r="AX98" s="1"/>
  <c r="AY98" s="1"/>
  <c r="L92" i="5" s="1"/>
  <c r="BE101" i="7"/>
  <c r="AV101"/>
  <c r="AX101" s="1"/>
  <c r="AY101" s="1"/>
  <c r="L95" i="5" s="1"/>
  <c r="BE120" i="7"/>
  <c r="AV120"/>
  <c r="AW120" s="1"/>
  <c r="AV55"/>
  <c r="AX55" s="1"/>
  <c r="AY55" s="1"/>
  <c r="L49" i="5" s="1"/>
  <c r="BE55" i="7"/>
  <c r="BE128"/>
  <c r="AV128"/>
  <c r="AX128" s="1"/>
  <c r="AY128" s="1"/>
  <c r="L122" i="5" s="1"/>
  <c r="AJ31" i="7"/>
  <c r="AU31" s="1"/>
  <c r="AI31"/>
  <c r="AP31"/>
  <c r="AQ31"/>
  <c r="AB68"/>
  <c r="AC68"/>
  <c r="AT68" s="1"/>
  <c r="AJ68"/>
  <c r="AU68" s="1"/>
  <c r="AI68"/>
  <c r="AQ19"/>
  <c r="AP19"/>
  <c r="U19"/>
  <c r="V19"/>
  <c r="AS19" s="1"/>
  <c r="BS40"/>
  <c r="AP102"/>
  <c r="AQ102"/>
  <c r="AB102"/>
  <c r="AC102"/>
  <c r="AT102" s="1"/>
  <c r="V67"/>
  <c r="AS67" s="1"/>
  <c r="U67"/>
  <c r="AP67"/>
  <c r="AQ67"/>
  <c r="AJ70" i="6"/>
  <c r="AK70" s="1"/>
  <c r="AI70"/>
  <c r="AJ107"/>
  <c r="AK107" s="1"/>
  <c r="AI107"/>
  <c r="AJ105"/>
  <c r="AK105" s="1"/>
  <c r="AI105"/>
  <c r="AJ141"/>
  <c r="AK141" s="1"/>
  <c r="AI141"/>
  <c r="AJ119"/>
  <c r="AK119" s="1"/>
  <c r="AI119"/>
  <c r="AJ32"/>
  <c r="AK32" s="1"/>
  <c r="AI32"/>
  <c r="AJ125"/>
  <c r="AK125" s="1"/>
  <c r="AI125"/>
  <c r="AJ91"/>
  <c r="AK91" s="1"/>
  <c r="AI91"/>
  <c r="AJ114"/>
  <c r="AK114" s="1"/>
  <c r="AI114"/>
  <c r="AJ24"/>
  <c r="AK24" s="1"/>
  <c r="AI24"/>
  <c r="AJ49"/>
  <c r="AK49" s="1"/>
  <c r="AI49"/>
  <c r="AJ77"/>
  <c r="AK77" s="1"/>
  <c r="AI77"/>
  <c r="AJ124"/>
  <c r="AK124" s="1"/>
  <c r="AI124"/>
  <c r="AJ98"/>
  <c r="AK98" s="1"/>
  <c r="AI98"/>
  <c r="AJ72"/>
  <c r="AK72" s="1"/>
  <c r="AI72"/>
  <c r="AJ132"/>
  <c r="AK132" s="1"/>
  <c r="AI132"/>
  <c r="AV78" i="7"/>
  <c r="AX78" s="1"/>
  <c r="AY78" s="1"/>
  <c r="L72" i="5" s="1"/>
  <c r="BE78" i="7"/>
  <c r="AV80"/>
  <c r="AW80" s="1"/>
  <c r="BE80"/>
  <c r="BE79"/>
  <c r="AV79"/>
  <c r="AV42"/>
  <c r="AW42" s="1"/>
  <c r="BE42"/>
  <c r="BE32"/>
  <c r="AV32"/>
  <c r="AW32" s="1"/>
  <c r="AX20"/>
  <c r="AY20" s="1"/>
  <c r="L14" i="5" s="1"/>
  <c r="BE104" i="7"/>
  <c r="AV104"/>
  <c r="AW104" s="1"/>
  <c r="BE17"/>
  <c r="AV17"/>
  <c r="AV61"/>
  <c r="AW61" s="1"/>
  <c r="BE61"/>
  <c r="AV53"/>
  <c r="AX53" s="1"/>
  <c r="AY53" s="1"/>
  <c r="L47" i="5" s="1"/>
  <c r="BE53" i="7"/>
  <c r="BE123"/>
  <c r="AV123"/>
  <c r="AX123" s="1"/>
  <c r="AY123" s="1"/>
  <c r="L117" i="5" s="1"/>
  <c r="G14" i="15"/>
  <c r="K14" i="5"/>
  <c r="G27" i="15"/>
  <c r="K27" i="5"/>
  <c r="G15" i="15"/>
  <c r="K15" i="5"/>
  <c r="G54" i="15"/>
  <c r="K54" i="5"/>
  <c r="AV127" i="7"/>
  <c r="AW127" s="1"/>
  <c r="BE127"/>
  <c r="AV126"/>
  <c r="AX126" s="1"/>
  <c r="AY126" s="1"/>
  <c r="L120" i="5" s="1"/>
  <c r="BE126" i="7"/>
  <c r="AW55"/>
  <c r="BE44"/>
  <c r="AV44"/>
  <c r="V31"/>
  <c r="AS31" s="1"/>
  <c r="U31"/>
  <c r="AB31"/>
  <c r="AC31"/>
  <c r="AT31" s="1"/>
  <c r="U68"/>
  <c r="V68"/>
  <c r="AS68" s="1"/>
  <c r="AP68"/>
  <c r="AQ68"/>
  <c r="AC19"/>
  <c r="AT19" s="1"/>
  <c r="AB19"/>
  <c r="AI19"/>
  <c r="AJ19"/>
  <c r="AU19" s="1"/>
  <c r="U102"/>
  <c r="V102"/>
  <c r="AS102" s="1"/>
  <c r="AJ102"/>
  <c r="AU102" s="1"/>
  <c r="AI102"/>
  <c r="BS28"/>
  <c r="AJ67"/>
  <c r="AU67" s="1"/>
  <c r="AI67"/>
  <c r="AC67"/>
  <c r="AT67" s="1"/>
  <c r="AB67"/>
  <c r="AJ93" i="6"/>
  <c r="AK93" s="1"/>
  <c r="AI93"/>
  <c r="AJ46"/>
  <c r="AK46" s="1"/>
  <c r="AI46"/>
  <c r="AJ82"/>
  <c r="AK82" s="1"/>
  <c r="AI82"/>
  <c r="AI94"/>
  <c r="AJ94"/>
  <c r="AK94" s="1"/>
  <c r="AJ69"/>
  <c r="AK69" s="1"/>
  <c r="AI69"/>
  <c r="G50" i="15"/>
  <c r="K50" i="5"/>
  <c r="AI118" i="6"/>
  <c r="AJ118"/>
  <c r="AK118" s="1"/>
  <c r="AJ33"/>
  <c r="AK33" s="1"/>
  <c r="AI33"/>
  <c r="AJ142"/>
  <c r="AK142" s="1"/>
  <c r="AI142"/>
  <c r="AJ106"/>
  <c r="AK106" s="1"/>
  <c r="AI106"/>
  <c r="AJ113"/>
  <c r="AK113" s="1"/>
  <c r="AI113"/>
  <c r="AJ84"/>
  <c r="AK84" s="1"/>
  <c r="AI84"/>
  <c r="AJ41"/>
  <c r="AK41" s="1"/>
  <c r="AI41"/>
  <c r="AJ112"/>
  <c r="AK112" s="1"/>
  <c r="AI112"/>
  <c r="AJ101"/>
  <c r="AK101" s="1"/>
  <c r="AI101"/>
  <c r="AJ120"/>
  <c r="AK120" s="1"/>
  <c r="AI120"/>
  <c r="AJ134"/>
  <c r="AK134" s="1"/>
  <c r="AI134"/>
  <c r="AJ66"/>
  <c r="AK66" s="1"/>
  <c r="AI66"/>
  <c r="AJ102"/>
  <c r="AK102" s="1"/>
  <c r="AI102"/>
  <c r="AJ109"/>
  <c r="AK109" s="1"/>
  <c r="AI109"/>
  <c r="AJ52"/>
  <c r="AK52" s="1"/>
  <c r="AI52"/>
  <c r="AJ51"/>
  <c r="AK51" s="1"/>
  <c r="AI51"/>
  <c r="AJ67"/>
  <c r="AK67" s="1"/>
  <c r="AI67"/>
  <c r="AV30" i="7"/>
  <c r="AX30" s="1"/>
  <c r="AY30" s="1"/>
  <c r="L24" i="5" s="1"/>
  <c r="BE30" i="7"/>
  <c r="AV43"/>
  <c r="AW43" s="1"/>
  <c r="BE43"/>
  <c r="AV96"/>
  <c r="BE96"/>
  <c r="AV18"/>
  <c r="AX18" s="1"/>
  <c r="AY18" s="1"/>
  <c r="L12" i="5" s="1"/>
  <c r="BE18" i="7"/>
  <c r="AV21"/>
  <c r="BE21"/>
  <c r="BE33"/>
  <c r="AV33"/>
  <c r="AX33" s="1"/>
  <c r="AY33" s="1"/>
  <c r="L27" i="5" s="1"/>
  <c r="BE71" i="7"/>
  <c r="AV71"/>
  <c r="AW71" s="1"/>
  <c r="BE69"/>
  <c r="AV69"/>
  <c r="AW69" s="1"/>
  <c r="BE81"/>
  <c r="AV81"/>
  <c r="AW81" s="1"/>
  <c r="BE35"/>
  <c r="AV35"/>
  <c r="AX35" s="1"/>
  <c r="AY35" s="1"/>
  <c r="L29" i="5" s="1"/>
  <c r="G59" i="15"/>
  <c r="K59" i="5"/>
  <c r="G13" i="15"/>
  <c r="K13" i="5"/>
  <c r="G5" i="15"/>
  <c r="K5" i="5"/>
  <c r="G22" i="15"/>
  <c r="K22" i="5"/>
  <c r="K34"/>
  <c r="G34" i="15"/>
  <c r="G115"/>
  <c r="K115" i="5"/>
  <c r="G42" i="15"/>
  <c r="K42" i="5"/>
  <c r="G65" i="15"/>
  <c r="K65" i="5"/>
  <c r="K107"/>
  <c r="G107" i="15"/>
  <c r="G106"/>
  <c r="K106" i="5"/>
  <c r="AC54" i="7"/>
  <c r="AT54" s="1"/>
  <c r="AB54"/>
  <c r="U54"/>
  <c r="V54"/>
  <c r="AS54" s="1"/>
  <c r="AC103"/>
  <c r="AT103" s="1"/>
  <c r="AB103"/>
  <c r="AP103"/>
  <c r="AQ103"/>
  <c r="AI103"/>
  <c r="AJ103"/>
  <c r="AU103" s="1"/>
  <c r="V115"/>
  <c r="AS115" s="1"/>
  <c r="U115"/>
  <c r="AP115"/>
  <c r="AQ115"/>
  <c r="AC92"/>
  <c r="AT92" s="1"/>
  <c r="AB92"/>
  <c r="V92"/>
  <c r="AS92" s="1"/>
  <c r="U92"/>
  <c r="AJ92"/>
  <c r="AU92" s="1"/>
  <c r="AI92"/>
  <c r="V116"/>
  <c r="AS116" s="1"/>
  <c r="U116"/>
  <c r="AP116"/>
  <c r="AQ116"/>
  <c r="AI117" i="6"/>
  <c r="AJ117"/>
  <c r="AK117" s="1"/>
  <c r="AJ95"/>
  <c r="AK95" s="1"/>
  <c r="AI95"/>
  <c r="AI58"/>
  <c r="AJ58"/>
  <c r="AK58" s="1"/>
  <c r="AJ59"/>
  <c r="AK59" s="1"/>
  <c r="AI59"/>
  <c r="AJ115"/>
  <c r="AK115" s="1"/>
  <c r="AI115"/>
  <c r="AJ88"/>
  <c r="AK88" s="1"/>
  <c r="AI88"/>
  <c r="AJ25"/>
  <c r="AK25" s="1"/>
  <c r="AI25"/>
  <c r="AJ138"/>
  <c r="AK138" s="1"/>
  <c r="AI138"/>
  <c r="AI13" i="7"/>
  <c r="AJ13"/>
  <c r="AU13" s="1"/>
  <c r="AC13"/>
  <c r="AT13" s="1"/>
  <c r="AB13"/>
  <c r="AJ39"/>
  <c r="AU39" s="1"/>
  <c r="AI39"/>
  <c r="BS19"/>
  <c r="V25"/>
  <c r="AS25" s="1"/>
  <c r="U25"/>
  <c r="AC25"/>
  <c r="AT25" s="1"/>
  <c r="AB25"/>
  <c r="AJ89"/>
  <c r="AU89" s="1"/>
  <c r="AI89"/>
  <c r="AB89"/>
  <c r="AC89"/>
  <c r="AT89" s="1"/>
  <c r="AP24"/>
  <c r="AQ24"/>
  <c r="BS14"/>
  <c r="AI24"/>
  <c r="AJ24"/>
  <c r="AU24" s="1"/>
  <c r="V64"/>
  <c r="AS64" s="1"/>
  <c r="U64"/>
  <c r="AP64"/>
  <c r="AQ64"/>
  <c r="AP82"/>
  <c r="AQ82"/>
  <c r="AJ82"/>
  <c r="AU82" s="1"/>
  <c r="AI82"/>
  <c r="AQ52"/>
  <c r="AP52"/>
  <c r="V52"/>
  <c r="AS52" s="1"/>
  <c r="U52"/>
  <c r="AP84"/>
  <c r="AQ84"/>
  <c r="BS34"/>
  <c r="AC84"/>
  <c r="AT84" s="1"/>
  <c r="AB84"/>
  <c r="AP107"/>
  <c r="AQ107"/>
  <c r="AP37"/>
  <c r="AQ37"/>
  <c r="AI37"/>
  <c r="AJ37"/>
  <c r="AU37" s="1"/>
  <c r="AJ42" i="6"/>
  <c r="AK42" s="1"/>
  <c r="AI42"/>
  <c r="AJ110"/>
  <c r="AK110" s="1"/>
  <c r="AI110"/>
  <c r="V110" i="7"/>
  <c r="AS110" s="1"/>
  <c r="U110"/>
  <c r="AI110"/>
  <c r="AJ110"/>
  <c r="AU110" s="1"/>
  <c r="AP45"/>
  <c r="AQ45"/>
  <c r="BS21"/>
  <c r="AC45"/>
  <c r="AT45" s="1"/>
  <c r="AB45"/>
  <c r="AP100"/>
  <c r="AQ100"/>
  <c r="AJ100"/>
  <c r="AU100" s="1"/>
  <c r="AI100"/>
  <c r="V85"/>
  <c r="AS85" s="1"/>
  <c r="U85"/>
  <c r="AJ85"/>
  <c r="AU85" s="1"/>
  <c r="AI85"/>
  <c r="V15"/>
  <c r="AS15" s="1"/>
  <c r="U15"/>
  <c r="AP15"/>
  <c r="AQ15"/>
  <c r="BS37"/>
  <c r="V93"/>
  <c r="AS93" s="1"/>
  <c r="U93"/>
  <c r="AI93"/>
  <c r="AJ93"/>
  <c r="AU93" s="1"/>
  <c r="V36"/>
  <c r="AS36" s="1"/>
  <c r="U36"/>
  <c r="AP36"/>
  <c r="AQ36"/>
  <c r="AJ59"/>
  <c r="AU59" s="1"/>
  <c r="AI59"/>
  <c r="AC59"/>
  <c r="AT59" s="1"/>
  <c r="AB59"/>
  <c r="AP76"/>
  <c r="AQ76"/>
  <c r="U76"/>
  <c r="V76"/>
  <c r="AS76" s="1"/>
  <c r="AP119"/>
  <c r="AQ119"/>
  <c r="AJ119"/>
  <c r="AU119" s="1"/>
  <c r="AI119"/>
  <c r="AC27"/>
  <c r="AT27" s="1"/>
  <c r="AB27"/>
  <c r="V27"/>
  <c r="AS27" s="1"/>
  <c r="U27"/>
  <c r="V58"/>
  <c r="AS58" s="1"/>
  <c r="U58"/>
  <c r="AB58"/>
  <c r="AC58"/>
  <c r="AT58" s="1"/>
  <c r="AJ74"/>
  <c r="AU74" s="1"/>
  <c r="AI74"/>
  <c r="AP74"/>
  <c r="AQ74"/>
  <c r="V118"/>
  <c r="AS118" s="1"/>
  <c r="U118"/>
  <c r="AP118"/>
  <c r="AQ118"/>
  <c r="AP9"/>
  <c r="AC41"/>
  <c r="AT41" s="1"/>
  <c r="AB41"/>
  <c r="AJ41"/>
  <c r="AU41" s="1"/>
  <c r="AI41"/>
  <c r="AP105"/>
  <c r="AQ105"/>
  <c r="BS41"/>
  <c r="AP14"/>
  <c r="AQ14"/>
  <c r="AJ14"/>
  <c r="AU14" s="1"/>
  <c r="AI14"/>
  <c r="AC34"/>
  <c r="AT34" s="1"/>
  <c r="AB34"/>
  <c r="V34"/>
  <c r="AS34" s="1"/>
  <c r="U34"/>
  <c r="BS31"/>
  <c r="AC75"/>
  <c r="AT75" s="1"/>
  <c r="AB75"/>
  <c r="AJ75"/>
  <c r="AU75" s="1"/>
  <c r="AI75"/>
  <c r="AJ28"/>
  <c r="AU28" s="1"/>
  <c r="AI28"/>
  <c r="AC28"/>
  <c r="AT28" s="1"/>
  <c r="AB28"/>
  <c r="AP57"/>
  <c r="AQ57"/>
  <c r="BS25"/>
  <c r="AJ57"/>
  <c r="AU57" s="1"/>
  <c r="AI57"/>
  <c r="AJ79" i="6"/>
  <c r="AK79" s="1"/>
  <c r="AI79"/>
  <c r="AJ65"/>
  <c r="AK65" s="1"/>
  <c r="AI65"/>
  <c r="AJ121"/>
  <c r="AK121" s="1"/>
  <c r="AI121"/>
  <c r="AJ116"/>
  <c r="AK116" s="1"/>
  <c r="AI116"/>
  <c r="AJ31"/>
  <c r="AK31" s="1"/>
  <c r="AI31"/>
  <c r="AJ74"/>
  <c r="AK74" s="1"/>
  <c r="AI74"/>
  <c r="AJ76"/>
  <c r="AK76" s="1"/>
  <c r="AI76"/>
  <c r="AJ50"/>
  <c r="AK50" s="1"/>
  <c r="AI50"/>
  <c r="V22" i="7"/>
  <c r="AS22" s="1"/>
  <c r="U22"/>
  <c r="AP22"/>
  <c r="AQ22"/>
  <c r="AC62"/>
  <c r="AT62" s="1"/>
  <c r="AB62"/>
  <c r="V62"/>
  <c r="AS62" s="1"/>
  <c r="U62"/>
  <c r="AJ62"/>
  <c r="AU62" s="1"/>
  <c r="AI62"/>
  <c r="AP106"/>
  <c r="AQ106"/>
  <c r="AJ106"/>
  <c r="AU106" s="1"/>
  <c r="AI106"/>
  <c r="AC10"/>
  <c r="AT10" s="1"/>
  <c r="AB10"/>
  <c r="AJ10"/>
  <c r="AU10" s="1"/>
  <c r="AI10"/>
  <c r="AC95"/>
  <c r="AT95" s="1"/>
  <c r="AB95"/>
  <c r="AP95"/>
  <c r="AQ95"/>
  <c r="AJ47"/>
  <c r="AU47" s="1"/>
  <c r="AI47"/>
  <c r="AC47"/>
  <c r="AT47" s="1"/>
  <c r="AB47"/>
  <c r="AJ73"/>
  <c r="AU73" s="1"/>
  <c r="AI73"/>
  <c r="AP73"/>
  <c r="AQ73"/>
  <c r="V122"/>
  <c r="AS122" s="1"/>
  <c r="U122"/>
  <c r="AC122"/>
  <c r="AT122" s="1"/>
  <c r="AB122"/>
  <c r="V77"/>
  <c r="AS77" s="1"/>
  <c r="U77"/>
  <c r="AP77"/>
  <c r="AQ77"/>
  <c r="V16"/>
  <c r="AS16" s="1"/>
  <c r="U16"/>
  <c r="AC16"/>
  <c r="AT16" s="1"/>
  <c r="AB16"/>
  <c r="AJ16"/>
  <c r="AU16" s="1"/>
  <c r="AI16"/>
  <c r="AC29"/>
  <c r="AT29" s="1"/>
  <c r="AB29"/>
  <c r="AJ29"/>
  <c r="AU29" s="1"/>
  <c r="AI29"/>
  <c r="V72"/>
  <c r="AS72" s="1"/>
  <c r="U72"/>
  <c r="AP72"/>
  <c r="AQ72"/>
  <c r="BS30"/>
  <c r="AJ99" i="6"/>
  <c r="AK99" s="1"/>
  <c r="AI99"/>
  <c r="AJ85"/>
  <c r="AK85" s="1"/>
  <c r="AI85"/>
  <c r="AJ56"/>
  <c r="AK56" s="1"/>
  <c r="AI56"/>
  <c r="AJ139"/>
  <c r="AK139" s="1"/>
  <c r="AI139"/>
  <c r="AJ60"/>
  <c r="AK60" s="1"/>
  <c r="AI60"/>
  <c r="V88" i="7"/>
  <c r="AS88" s="1"/>
  <c r="U88"/>
  <c r="AC88"/>
  <c r="AT88" s="1"/>
  <c r="AB88"/>
  <c r="AP40"/>
  <c r="AQ40"/>
  <c r="AI40"/>
  <c r="AJ40"/>
  <c r="AU40" s="1"/>
  <c r="AC108"/>
  <c r="AT108" s="1"/>
  <c r="AB108"/>
  <c r="AP108"/>
  <c r="AQ108"/>
  <c r="V60"/>
  <c r="AS60" s="1"/>
  <c r="U60"/>
  <c r="BS26"/>
  <c r="AC60"/>
  <c r="AT60" s="1"/>
  <c r="AB60"/>
  <c r="AJ87"/>
  <c r="AU87" s="1"/>
  <c r="AI87"/>
  <c r="AC87"/>
  <c r="AT87" s="1"/>
  <c r="AB87"/>
  <c r="V97"/>
  <c r="AS97" s="1"/>
  <c r="U97"/>
  <c r="AB97"/>
  <c r="AC97"/>
  <c r="AT97" s="1"/>
  <c r="AC50"/>
  <c r="AT50" s="1"/>
  <c r="AB50"/>
  <c r="V50"/>
  <c r="AS50" s="1"/>
  <c r="U50"/>
  <c r="AJ70"/>
  <c r="AU70" s="1"/>
  <c r="AI70"/>
  <c r="AB70"/>
  <c r="AC70"/>
  <c r="AT70" s="1"/>
  <c r="V86"/>
  <c r="AS86" s="1"/>
  <c r="U86"/>
  <c r="AP86"/>
  <c r="AQ86"/>
  <c r="V125"/>
  <c r="AS125" s="1"/>
  <c r="U125"/>
  <c r="AB125"/>
  <c r="AC125"/>
  <c r="AT125" s="1"/>
  <c r="V49"/>
  <c r="AS49" s="1"/>
  <c r="U49"/>
  <c r="AP49"/>
  <c r="AQ49"/>
  <c r="AP65"/>
  <c r="AQ65"/>
  <c r="AJ65"/>
  <c r="AU65" s="1"/>
  <c r="AI65"/>
  <c r="AC83"/>
  <c r="AT83" s="1"/>
  <c r="AB83"/>
  <c r="V83"/>
  <c r="AS83" s="1"/>
  <c r="U83"/>
  <c r="AP124"/>
  <c r="AQ124"/>
  <c r="AJ124"/>
  <c r="AU124" s="1"/>
  <c r="AI124"/>
  <c r="AJ94"/>
  <c r="AU94" s="1"/>
  <c r="AI94"/>
  <c r="AC94"/>
  <c r="AT94" s="1"/>
  <c r="AB94"/>
  <c r="BS39"/>
  <c r="V99"/>
  <c r="AS99" s="1"/>
  <c r="U99"/>
  <c r="AJ99"/>
  <c r="AU99" s="1"/>
  <c r="AI99"/>
  <c r="V109"/>
  <c r="AS109" s="1"/>
  <c r="U109"/>
  <c r="AP26"/>
  <c r="AQ26"/>
  <c r="V26"/>
  <c r="AS26" s="1"/>
  <c r="U26"/>
  <c r="AJ48"/>
  <c r="AU48" s="1"/>
  <c r="AI48"/>
  <c r="AC48"/>
  <c r="AT48" s="1"/>
  <c r="AB48"/>
  <c r="V117"/>
  <c r="AS117" s="1"/>
  <c r="U117"/>
  <c r="AP117"/>
  <c r="AQ117"/>
  <c r="BS45"/>
  <c r="AJ38"/>
  <c r="AU38" s="1"/>
  <c r="AI38"/>
  <c r="AP38"/>
  <c r="AQ38"/>
  <c r="V111"/>
  <c r="AS111" s="1"/>
  <c r="U111"/>
  <c r="BS43"/>
  <c r="AC111"/>
  <c r="AT111" s="1"/>
  <c r="AB111"/>
  <c r="AJ78" i="6"/>
  <c r="AK78" s="1"/>
  <c r="AJ53"/>
  <c r="AK53" s="1"/>
  <c r="AI53"/>
  <c r="AJ64"/>
  <c r="AK64" s="1"/>
  <c r="AI64"/>
  <c r="AJ108"/>
  <c r="AK108" s="1"/>
  <c r="AI108"/>
  <c r="AJ29"/>
  <c r="AK29" s="1"/>
  <c r="AI29"/>
  <c r="AJ103"/>
  <c r="AK103" s="1"/>
  <c r="AI103"/>
  <c r="AJ133"/>
  <c r="AK133" s="1"/>
  <c r="AI133"/>
  <c r="AJ89"/>
  <c r="AK89" s="1"/>
  <c r="AI89"/>
  <c r="AJ96"/>
  <c r="AK96" s="1"/>
  <c r="AI96"/>
  <c r="AJ27"/>
  <c r="AK27" s="1"/>
  <c r="AI27"/>
  <c r="BE91" i="7"/>
  <c r="AV91"/>
  <c r="AW91" s="1"/>
  <c r="AV114"/>
  <c r="AX114" s="1"/>
  <c r="AY114" s="1"/>
  <c r="L108" i="5" s="1"/>
  <c r="BE114" i="7"/>
  <c r="AX104"/>
  <c r="AY104" s="1"/>
  <c r="L98" i="5" s="1"/>
  <c r="BE66" i="7"/>
  <c r="AV66"/>
  <c r="AX66" s="1"/>
  <c r="AY66" s="1"/>
  <c r="L60" i="5" s="1"/>
  <c r="AV46" i="7"/>
  <c r="BE46"/>
  <c r="AV113"/>
  <c r="BE113"/>
  <c r="AW112"/>
  <c r="AX112"/>
  <c r="AY112" s="1"/>
  <c r="L106" i="5" s="1"/>
  <c r="AX11" i="7"/>
  <c r="AY11" s="1"/>
  <c r="L5" i="5" s="1"/>
  <c r="AW11" i="7"/>
  <c r="AV12"/>
  <c r="BE12"/>
  <c r="BE23"/>
  <c r="AV23"/>
  <c r="AX23" s="1"/>
  <c r="AY23" s="1"/>
  <c r="L17" i="5" s="1"/>
  <c r="AX81" i="7"/>
  <c r="AY81" s="1"/>
  <c r="L75" i="5" s="1"/>
  <c r="AW123" i="7"/>
  <c r="BE51"/>
  <c r="AV51"/>
  <c r="AX51" s="1"/>
  <c r="AY51" s="1"/>
  <c r="L45" i="5" s="1"/>
  <c r="BE56" i="7"/>
  <c r="AV56"/>
  <c r="AW56" s="1"/>
  <c r="AP54"/>
  <c r="AQ54"/>
  <c r="BS24"/>
  <c r="AI54"/>
  <c r="AJ54"/>
  <c r="AU54" s="1"/>
  <c r="U103"/>
  <c r="V103"/>
  <c r="AS103" s="1"/>
  <c r="AC115"/>
  <c r="AT115" s="1"/>
  <c r="AB115"/>
  <c r="AI115"/>
  <c r="AJ115"/>
  <c r="AU115" s="1"/>
  <c r="AP92"/>
  <c r="AQ92"/>
  <c r="AC116"/>
  <c r="AT116" s="1"/>
  <c r="AB116"/>
  <c r="AJ116"/>
  <c r="AU116" s="1"/>
  <c r="AI116"/>
  <c r="AI47" i="6"/>
  <c r="AJ47"/>
  <c r="AJ130"/>
  <c r="AK130" s="1"/>
  <c r="AI130"/>
  <c r="AJ83"/>
  <c r="AK83" s="1"/>
  <c r="AI83"/>
  <c r="AI131"/>
  <c r="AJ131"/>
  <c r="AJ143"/>
  <c r="AK143" s="1"/>
  <c r="AI143"/>
  <c r="AJ57"/>
  <c r="AK57" s="1"/>
  <c r="AI57"/>
  <c r="AI81"/>
  <c r="AJ81"/>
  <c r="AK81" s="1"/>
  <c r="AJ129"/>
  <c r="AK129" s="1"/>
  <c r="AI129"/>
  <c r="AJ45"/>
  <c r="AK45" s="1"/>
  <c r="AI45"/>
  <c r="AJ73"/>
  <c r="AK73" s="1"/>
  <c r="AI73"/>
  <c r="AJ61"/>
  <c r="AK61" s="1"/>
  <c r="AI61"/>
  <c r="AJ68"/>
  <c r="AK68" s="1"/>
  <c r="AI68"/>
  <c r="AJ39"/>
  <c r="AK39" s="1"/>
  <c r="AI39"/>
  <c r="AJ111"/>
  <c r="AK111" s="1"/>
  <c r="AI111"/>
  <c r="AJ140"/>
  <c r="AK140" s="1"/>
  <c r="AI140"/>
  <c r="AJ100"/>
  <c r="AK100" s="1"/>
  <c r="AI100"/>
  <c r="AJ30"/>
  <c r="AK30" s="1"/>
  <c r="AI30"/>
  <c r="AJ37"/>
  <c r="AK37" s="1"/>
  <c r="AI37"/>
  <c r="AJ92"/>
  <c r="AK92" s="1"/>
  <c r="AI92"/>
  <c r="U13" i="7"/>
  <c r="V13"/>
  <c r="AS13" s="1"/>
  <c r="AP13"/>
  <c r="AQ13"/>
  <c r="AP39"/>
  <c r="AQ39"/>
  <c r="AC39"/>
  <c r="AT39" s="1"/>
  <c r="AB39"/>
  <c r="V39"/>
  <c r="AS39" s="1"/>
  <c r="U39"/>
  <c r="AJ25"/>
  <c r="AU25" s="1"/>
  <c r="AI25"/>
  <c r="AP25"/>
  <c r="AQ25"/>
  <c r="AP89"/>
  <c r="AQ89"/>
  <c r="U89"/>
  <c r="V89"/>
  <c r="AS89" s="1"/>
  <c r="AC24"/>
  <c r="AT24" s="1"/>
  <c r="AB24"/>
  <c r="U24"/>
  <c r="V24"/>
  <c r="AS24" s="1"/>
  <c r="AJ64"/>
  <c r="AU64" s="1"/>
  <c r="AI64"/>
  <c r="AC64"/>
  <c r="AT64" s="1"/>
  <c r="AB64"/>
  <c r="AC82"/>
  <c r="AT82" s="1"/>
  <c r="AB82"/>
  <c r="V82"/>
  <c r="AS82" s="1"/>
  <c r="U82"/>
  <c r="AC52"/>
  <c r="AT52" s="1"/>
  <c r="AB52"/>
  <c r="AJ52"/>
  <c r="AU52" s="1"/>
  <c r="AI52"/>
  <c r="AJ84"/>
  <c r="AU84" s="1"/>
  <c r="AI84"/>
  <c r="V84"/>
  <c r="AS84" s="1"/>
  <c r="U84"/>
  <c r="V107"/>
  <c r="AS107" s="1"/>
  <c r="U107"/>
  <c r="AJ107"/>
  <c r="AU107" s="1"/>
  <c r="AI107"/>
  <c r="AC107"/>
  <c r="AT107" s="1"/>
  <c r="AB107"/>
  <c r="AC37"/>
  <c r="AT37" s="1"/>
  <c r="AB37"/>
  <c r="U37"/>
  <c r="V37"/>
  <c r="AS37" s="1"/>
  <c r="AJ54" i="6"/>
  <c r="AK54" s="1"/>
  <c r="AI54"/>
  <c r="AJ87"/>
  <c r="AK87" s="1"/>
  <c r="AI87"/>
  <c r="AJ97"/>
  <c r="AK97" s="1"/>
  <c r="AI97"/>
  <c r="AJ40"/>
  <c r="AK40" s="1"/>
  <c r="AI40"/>
  <c r="AJ104"/>
  <c r="AK104" s="1"/>
  <c r="AI104"/>
  <c r="AJ126"/>
  <c r="AK126" s="1"/>
  <c r="AI126"/>
  <c r="AJ62"/>
  <c r="AK62" s="1"/>
  <c r="AI62"/>
  <c r="AQ110" i="7"/>
  <c r="AP110"/>
  <c r="AC110"/>
  <c r="AT110" s="1"/>
  <c r="AB110"/>
  <c r="AJ45"/>
  <c r="AU45" s="1"/>
  <c r="AI45"/>
  <c r="V45"/>
  <c r="AS45" s="1"/>
  <c r="U45"/>
  <c r="V100"/>
  <c r="AS100" s="1"/>
  <c r="U100"/>
  <c r="AB100"/>
  <c r="AC100"/>
  <c r="AT100" s="1"/>
  <c r="AC85"/>
  <c r="AT85" s="1"/>
  <c r="AB85"/>
  <c r="AP85"/>
  <c r="AQ85"/>
  <c r="BS11"/>
  <c r="AI15"/>
  <c r="AJ15"/>
  <c r="AU15" s="1"/>
  <c r="AC15"/>
  <c r="AT15" s="1"/>
  <c r="AB15"/>
  <c r="AC93"/>
  <c r="AT93" s="1"/>
  <c r="AB93"/>
  <c r="AP93"/>
  <c r="AQ93"/>
  <c r="BS18"/>
  <c r="AJ36"/>
  <c r="AU36" s="1"/>
  <c r="AI36"/>
  <c r="AC36"/>
  <c r="AT36" s="1"/>
  <c r="AB36"/>
  <c r="AP59"/>
  <c r="AQ59"/>
  <c r="V59"/>
  <c r="AS59" s="1"/>
  <c r="U59"/>
  <c r="AC76"/>
  <c r="AT76" s="1"/>
  <c r="AB76"/>
  <c r="AI76"/>
  <c r="AJ76"/>
  <c r="AU76" s="1"/>
  <c r="AC119"/>
  <c r="AT119" s="1"/>
  <c r="AB119"/>
  <c r="V119"/>
  <c r="AS119" s="1"/>
  <c r="U119"/>
  <c r="AP27"/>
  <c r="AQ27"/>
  <c r="BS15"/>
  <c r="AJ27"/>
  <c r="AU27" s="1"/>
  <c r="AI27"/>
  <c r="AJ58"/>
  <c r="AU58" s="1"/>
  <c r="AI58"/>
  <c r="AP58"/>
  <c r="AQ58"/>
  <c r="V74"/>
  <c r="AS74" s="1"/>
  <c r="U74"/>
  <c r="AC74"/>
  <c r="AT74" s="1"/>
  <c r="AB74"/>
  <c r="AJ118"/>
  <c r="AU118" s="1"/>
  <c r="AI118"/>
  <c r="AC118"/>
  <c r="AT118" s="1"/>
  <c r="AB118"/>
  <c r="AC9"/>
  <c r="AT9" s="1"/>
  <c r="AB9"/>
  <c r="AS9"/>
  <c r="AI9"/>
  <c r="AJ9"/>
  <c r="AU9" s="1"/>
  <c r="AP41"/>
  <c r="AQ41"/>
  <c r="V41"/>
  <c r="AS41" s="1"/>
  <c r="U41"/>
  <c r="V105"/>
  <c r="AS105" s="1"/>
  <c r="U105"/>
  <c r="AJ105"/>
  <c r="AU105" s="1"/>
  <c r="AI105"/>
  <c r="AC105"/>
  <c r="AT105" s="1"/>
  <c r="AB105"/>
  <c r="AC14"/>
  <c r="AT14" s="1"/>
  <c r="AB14"/>
  <c r="V14"/>
  <c r="AS14" s="1"/>
  <c r="U14"/>
  <c r="AP34"/>
  <c r="AQ34"/>
  <c r="AJ34"/>
  <c r="AU34" s="1"/>
  <c r="AI34"/>
  <c r="AQ75"/>
  <c r="AP75"/>
  <c r="V75"/>
  <c r="AS75" s="1"/>
  <c r="U75"/>
  <c r="V28"/>
  <c r="AS28" s="1"/>
  <c r="U28"/>
  <c r="AP28"/>
  <c r="AQ28"/>
  <c r="AC57"/>
  <c r="AT57" s="1"/>
  <c r="AB57"/>
  <c r="V57"/>
  <c r="AS57" s="1"/>
  <c r="U57"/>
  <c r="AJ135" i="6"/>
  <c r="AK135" s="1"/>
  <c r="AI135"/>
  <c r="AJ123"/>
  <c r="AK123" s="1"/>
  <c r="AI123"/>
  <c r="AJ137"/>
  <c r="AK137" s="1"/>
  <c r="AI137"/>
  <c r="AJ44"/>
  <c r="AK44" s="1"/>
  <c r="AI44"/>
  <c r="AJ22" i="7"/>
  <c r="AU22" s="1"/>
  <c r="AI22"/>
  <c r="AB22"/>
  <c r="AC22"/>
  <c r="AT22" s="1"/>
  <c r="AP62"/>
  <c r="AQ62"/>
  <c r="V106"/>
  <c r="AS106" s="1"/>
  <c r="U106"/>
  <c r="AC106"/>
  <c r="AT106" s="1"/>
  <c r="AB106"/>
  <c r="V10"/>
  <c r="AS10" s="1"/>
  <c r="U10"/>
  <c r="AP10"/>
  <c r="AQ10"/>
  <c r="V95"/>
  <c r="AS95" s="1"/>
  <c r="U95"/>
  <c r="AI95"/>
  <c r="AJ95"/>
  <c r="AU95" s="1"/>
  <c r="V47"/>
  <c r="AS47" s="1"/>
  <c r="U47"/>
  <c r="AP47"/>
  <c r="AQ47"/>
  <c r="V73"/>
  <c r="AS73" s="1"/>
  <c r="U73"/>
  <c r="AC73"/>
  <c r="AT73" s="1"/>
  <c r="AB73"/>
  <c r="AJ122"/>
  <c r="AU122" s="1"/>
  <c r="AI122"/>
  <c r="AP122"/>
  <c r="AQ122"/>
  <c r="AJ77"/>
  <c r="AU77" s="1"/>
  <c r="AI77"/>
  <c r="AC77"/>
  <c r="AT77" s="1"/>
  <c r="AB77"/>
  <c r="AP16"/>
  <c r="AQ16"/>
  <c r="V29"/>
  <c r="AS29" s="1"/>
  <c r="U29"/>
  <c r="AP29"/>
  <c r="AQ29"/>
  <c r="AJ72"/>
  <c r="AU72" s="1"/>
  <c r="AI72"/>
  <c r="AC72"/>
  <c r="AT72" s="1"/>
  <c r="AB72"/>
  <c r="AJ90" i="6"/>
  <c r="AK90" s="1"/>
  <c r="AI90"/>
  <c r="AJ88" i="7"/>
  <c r="AU88" s="1"/>
  <c r="AI88"/>
  <c r="AP88"/>
  <c r="AQ88"/>
  <c r="AC40"/>
  <c r="AT40" s="1"/>
  <c r="AB40"/>
  <c r="U40"/>
  <c r="V40"/>
  <c r="AS40" s="1"/>
  <c r="BS42"/>
  <c r="U108"/>
  <c r="V108"/>
  <c r="AS108" s="1"/>
  <c r="AJ108"/>
  <c r="AU108" s="1"/>
  <c r="AI108"/>
  <c r="AP60"/>
  <c r="AQ60"/>
  <c r="AJ60"/>
  <c r="AU60" s="1"/>
  <c r="AI60"/>
  <c r="AQ87"/>
  <c r="AP87"/>
  <c r="BS35"/>
  <c r="V87"/>
  <c r="AS87" s="1"/>
  <c r="U87"/>
  <c r="AJ97"/>
  <c r="AU97" s="1"/>
  <c r="AI97"/>
  <c r="AP97"/>
  <c r="AQ97"/>
  <c r="AP50"/>
  <c r="AQ50"/>
  <c r="AJ50"/>
  <c r="AU50" s="1"/>
  <c r="AI50"/>
  <c r="V70"/>
  <c r="AS70" s="1"/>
  <c r="U70"/>
  <c r="AP70"/>
  <c r="AQ70"/>
  <c r="AJ86"/>
  <c r="AU86" s="1"/>
  <c r="AI86"/>
  <c r="AC86"/>
  <c r="AT86" s="1"/>
  <c r="AB86"/>
  <c r="AJ125"/>
  <c r="AU125" s="1"/>
  <c r="AI125"/>
  <c r="AP125"/>
  <c r="AQ125"/>
  <c r="AJ49"/>
  <c r="AU49" s="1"/>
  <c r="AI49"/>
  <c r="AC49"/>
  <c r="AT49" s="1"/>
  <c r="AB49"/>
  <c r="AC65"/>
  <c r="AT65" s="1"/>
  <c r="AB65"/>
  <c r="V65"/>
  <c r="AS65" s="1"/>
  <c r="U65"/>
  <c r="AP83"/>
  <c r="AQ83"/>
  <c r="AJ83"/>
  <c r="AU83" s="1"/>
  <c r="AI83"/>
  <c r="AC124"/>
  <c r="AT124" s="1"/>
  <c r="AB124"/>
  <c r="V124"/>
  <c r="AS124" s="1"/>
  <c r="U124"/>
  <c r="V94"/>
  <c r="AS94" s="1"/>
  <c r="U94"/>
  <c r="AP94"/>
  <c r="AQ94"/>
  <c r="AC99"/>
  <c r="AT99" s="1"/>
  <c r="AB99"/>
  <c r="AP99"/>
  <c r="AQ99"/>
  <c r="AP109"/>
  <c r="AQ109"/>
  <c r="AJ109"/>
  <c r="AU109" s="1"/>
  <c r="AI109"/>
  <c r="AC109"/>
  <c r="AT109" s="1"/>
  <c r="AB109"/>
  <c r="AC26"/>
  <c r="AT26" s="1"/>
  <c r="AB26"/>
  <c r="AJ26"/>
  <c r="AU26" s="1"/>
  <c r="AI26"/>
  <c r="V48"/>
  <c r="AS48" s="1"/>
  <c r="U48"/>
  <c r="AP48"/>
  <c r="AQ48"/>
  <c r="BS22"/>
  <c r="AJ117"/>
  <c r="AU117" s="1"/>
  <c r="AI117"/>
  <c r="AC117"/>
  <c r="AT117" s="1"/>
  <c r="AB117"/>
  <c r="V38"/>
  <c r="AS38" s="1"/>
  <c r="U38"/>
  <c r="AC38"/>
  <c r="AT38" s="1"/>
  <c r="AB38"/>
  <c r="AJ111"/>
  <c r="AU111" s="1"/>
  <c r="AI111"/>
  <c r="AP111"/>
  <c r="AQ111"/>
  <c r="AJ38" i="6"/>
  <c r="AK38" s="1"/>
  <c r="AI38"/>
  <c r="AJ28"/>
  <c r="AK28" s="1"/>
  <c r="AI28"/>
  <c r="AJ122"/>
  <c r="AK122" s="1"/>
  <c r="AI122"/>
  <c r="BF11" i="7"/>
  <c r="AW98" l="1"/>
  <c r="AW33"/>
  <c r="AX42"/>
  <c r="AY42" s="1"/>
  <c r="L36" i="5" s="1"/>
  <c r="AX43" i="7"/>
  <c r="AY43" s="1"/>
  <c r="L37" i="5" s="1"/>
  <c r="AX61" i="7"/>
  <c r="AY61" s="1"/>
  <c r="L55" i="5" s="1"/>
  <c r="AW30" i="7"/>
  <c r="AW18"/>
  <c r="AW63"/>
  <c r="AW101"/>
  <c r="AW121"/>
  <c r="AW90"/>
  <c r="AX120"/>
  <c r="AY120" s="1"/>
  <c r="L114" i="5" s="1"/>
  <c r="AW78" i="7"/>
  <c r="AX32"/>
  <c r="AY32" s="1"/>
  <c r="L26" i="5" s="1"/>
  <c r="G101" i="15"/>
  <c r="K101" i="5"/>
  <c r="G7" i="15"/>
  <c r="K7" i="5"/>
  <c r="AV109" i="7"/>
  <c r="AW109" s="1"/>
  <c r="BE109"/>
  <c r="AV111"/>
  <c r="AX111" s="1"/>
  <c r="AY111" s="1"/>
  <c r="L105" i="5" s="1"/>
  <c r="BE111" i="7"/>
  <c r="BE60"/>
  <c r="AV60"/>
  <c r="AW60" s="1"/>
  <c r="G69" i="15"/>
  <c r="K69" i="5"/>
  <c r="G23" i="15"/>
  <c r="K23" i="5"/>
  <c r="G116" i="15"/>
  <c r="K116" i="5"/>
  <c r="G102" i="15"/>
  <c r="K102" i="5"/>
  <c r="G114" i="15"/>
  <c r="K114" i="5"/>
  <c r="AV75" i="7"/>
  <c r="AW75" s="1"/>
  <c r="BE75"/>
  <c r="AV27"/>
  <c r="AX27" s="1"/>
  <c r="AY27" s="1"/>
  <c r="L21" i="5" s="1"/>
  <c r="BE27" i="7"/>
  <c r="BE59"/>
  <c r="AV59"/>
  <c r="AW59" s="1"/>
  <c r="BE85"/>
  <c r="AV85"/>
  <c r="AX85" s="1"/>
  <c r="AY85" s="1"/>
  <c r="L79" i="5" s="1"/>
  <c r="AV89" i="7"/>
  <c r="AX89" s="1"/>
  <c r="AY89" s="1"/>
  <c r="L83" i="5" s="1"/>
  <c r="BE89" i="7"/>
  <c r="AV25"/>
  <c r="AW25" s="1"/>
  <c r="BE25"/>
  <c r="BE39"/>
  <c r="AV39"/>
  <c r="AX39" s="1"/>
  <c r="AY39" s="1"/>
  <c r="L33" i="5" s="1"/>
  <c r="AV13" i="7"/>
  <c r="AW13" s="1"/>
  <c r="BE13"/>
  <c r="G60" i="15"/>
  <c r="K60" i="5"/>
  <c r="BE92" i="7"/>
  <c r="AV92"/>
  <c r="AW92" s="1"/>
  <c r="BF12"/>
  <c r="BG12"/>
  <c r="BH12"/>
  <c r="BI12"/>
  <c r="BF113"/>
  <c r="BI113"/>
  <c r="BH113"/>
  <c r="BG113"/>
  <c r="BI46"/>
  <c r="BF46"/>
  <c r="BH46"/>
  <c r="BG46"/>
  <c r="BG114"/>
  <c r="BF114"/>
  <c r="BI114"/>
  <c r="BH114"/>
  <c r="K6" i="5"/>
  <c r="G6" i="15"/>
  <c r="G75"/>
  <c r="K75" i="5"/>
  <c r="K68"/>
  <c r="G68" i="15"/>
  <c r="G112"/>
  <c r="K112" i="5"/>
  <c r="G82" i="15"/>
  <c r="K82" i="5"/>
  <c r="G8" i="15"/>
  <c r="K8" i="5"/>
  <c r="K87"/>
  <c r="G87" i="15"/>
  <c r="G43"/>
  <c r="K43" i="5"/>
  <c r="G32" i="15"/>
  <c r="K32" i="5"/>
  <c r="K57"/>
  <c r="G57" i="15"/>
  <c r="BE38" i="7"/>
  <c r="AV38"/>
  <c r="AW38" s="1"/>
  <c r="BE124"/>
  <c r="AV124"/>
  <c r="AX124" s="1"/>
  <c r="AY124" s="1"/>
  <c r="L118" i="5" s="1"/>
  <c r="AV65" i="7"/>
  <c r="BE65"/>
  <c r="AV49"/>
  <c r="AX49" s="1"/>
  <c r="AY49" s="1"/>
  <c r="L43" i="5" s="1"/>
  <c r="BE49" i="7"/>
  <c r="AV86"/>
  <c r="AW86" s="1"/>
  <c r="BE86"/>
  <c r="AX60"/>
  <c r="AY60" s="1"/>
  <c r="L54" i="5" s="1"/>
  <c r="G39" i="15"/>
  <c r="K39" i="5"/>
  <c r="K118"/>
  <c r="G118" i="15"/>
  <c r="G35"/>
  <c r="K35" i="5"/>
  <c r="G64" i="15"/>
  <c r="K64" i="5"/>
  <c r="G78" i="15"/>
  <c r="K78" i="5"/>
  <c r="AV72" i="7"/>
  <c r="BE72"/>
  <c r="BE77"/>
  <c r="AV77"/>
  <c r="AX77" s="1"/>
  <c r="AY77" s="1"/>
  <c r="L71" i="5" s="1"/>
  <c r="BE73" i="7"/>
  <c r="AV73"/>
  <c r="AX73" s="1"/>
  <c r="AY73" s="1"/>
  <c r="L67" i="5" s="1"/>
  <c r="AV95" i="7"/>
  <c r="BE95"/>
  <c r="AV106"/>
  <c r="BE106"/>
  <c r="AV22"/>
  <c r="AX22" s="1"/>
  <c r="AY22" s="1"/>
  <c r="L16" i="5" s="1"/>
  <c r="BE22" i="7"/>
  <c r="BE14"/>
  <c r="AV14"/>
  <c r="AX14" s="1"/>
  <c r="AY14" s="1"/>
  <c r="L8" i="5" s="1"/>
  <c r="BE118" i="7"/>
  <c r="AV118"/>
  <c r="AW118" s="1"/>
  <c r="BE74"/>
  <c r="AV74"/>
  <c r="AX74" s="1"/>
  <c r="AY74" s="1"/>
  <c r="L68" i="5" s="1"/>
  <c r="AV119" i="7"/>
  <c r="AX119" s="1"/>
  <c r="AY119" s="1"/>
  <c r="L113" i="5" s="1"/>
  <c r="BE119" i="7"/>
  <c r="AV76"/>
  <c r="AW76" s="1"/>
  <c r="BE76"/>
  <c r="AV36"/>
  <c r="AW36" s="1"/>
  <c r="BE36"/>
  <c r="AW15"/>
  <c r="AX15"/>
  <c r="AY15" s="1"/>
  <c r="L9" i="5" s="1"/>
  <c r="AW85" i="7"/>
  <c r="BE45"/>
  <c r="AV45"/>
  <c r="AX45" s="1"/>
  <c r="AY45" s="1"/>
  <c r="L39" i="5" s="1"/>
  <c r="BE37" i="7"/>
  <c r="AV37"/>
  <c r="AX37" s="1"/>
  <c r="AY37" s="1"/>
  <c r="L31" i="5" s="1"/>
  <c r="AV107" i="7"/>
  <c r="AW107" s="1"/>
  <c r="BE107"/>
  <c r="AV52"/>
  <c r="AW52" s="1"/>
  <c r="BE52"/>
  <c r="BE24"/>
  <c r="AV24"/>
  <c r="AX24" s="1"/>
  <c r="AY24" s="1"/>
  <c r="L18" i="5" s="1"/>
  <c r="K117"/>
  <c r="G117" i="15"/>
  <c r="K4" i="5"/>
  <c r="G4" i="15"/>
  <c r="G67"/>
  <c r="K67" i="5"/>
  <c r="G94" i="15"/>
  <c r="K94" i="5"/>
  <c r="G38" i="15"/>
  <c r="K38" i="5"/>
  <c r="G74" i="15"/>
  <c r="K74" i="5"/>
  <c r="AX92" i="7"/>
  <c r="AY92" s="1"/>
  <c r="L86" i="5" s="1"/>
  <c r="BG21" i="7"/>
  <c r="BI21"/>
  <c r="BF21"/>
  <c r="BH21"/>
  <c r="BH18"/>
  <c r="BI18"/>
  <c r="BF18"/>
  <c r="BG18"/>
  <c r="BF96"/>
  <c r="BI96"/>
  <c r="BG96"/>
  <c r="BH96"/>
  <c r="BH43"/>
  <c r="BG43"/>
  <c r="BF43"/>
  <c r="BI43"/>
  <c r="BG30"/>
  <c r="BI30"/>
  <c r="BH30"/>
  <c r="BF30"/>
  <c r="G46" i="15"/>
  <c r="K46" i="5"/>
  <c r="G30" i="15"/>
  <c r="K30" i="5"/>
  <c r="G31" i="15"/>
  <c r="K31" i="5"/>
  <c r="G88" i="15"/>
  <c r="K88" i="5"/>
  <c r="G81" i="15"/>
  <c r="K81" i="5"/>
  <c r="G45" i="15"/>
  <c r="K45" i="5"/>
  <c r="K113"/>
  <c r="G113" i="15"/>
  <c r="K99" i="5"/>
  <c r="G99" i="15"/>
  <c r="G80"/>
  <c r="K80" i="5"/>
  <c r="G91" i="15"/>
  <c r="K91" i="5"/>
  <c r="G20" i="15"/>
  <c r="K20" i="5"/>
  <c r="G63" i="15"/>
  <c r="K63" i="5"/>
  <c r="G92" i="15"/>
  <c r="K92" i="5"/>
  <c r="G85" i="15"/>
  <c r="K85" i="5"/>
  <c r="G121" i="15"/>
  <c r="K121" i="5"/>
  <c r="G12" i="15"/>
  <c r="K12" i="5"/>
  <c r="G48" i="15"/>
  <c r="K48" i="5"/>
  <c r="G61" i="15"/>
  <c r="K61" i="5"/>
  <c r="G25" i="15"/>
  <c r="K25" i="5"/>
  <c r="G72" i="15"/>
  <c r="K72" i="5"/>
  <c r="AV68" i="7"/>
  <c r="AW68" s="1"/>
  <c r="BE68"/>
  <c r="BH44"/>
  <c r="BI44"/>
  <c r="BG44"/>
  <c r="BF44"/>
  <c r="BG123"/>
  <c r="BI123"/>
  <c r="BF123"/>
  <c r="BH123"/>
  <c r="BG17"/>
  <c r="BI17"/>
  <c r="BH17"/>
  <c r="BF17"/>
  <c r="BF104"/>
  <c r="BH104"/>
  <c r="BG104"/>
  <c r="BI104"/>
  <c r="BH32"/>
  <c r="BI32"/>
  <c r="BG32"/>
  <c r="BF32"/>
  <c r="BF79"/>
  <c r="BI79"/>
  <c r="BH79"/>
  <c r="BG79"/>
  <c r="BE67"/>
  <c r="AV67"/>
  <c r="AW67" s="1"/>
  <c r="AV102"/>
  <c r="AW102" s="1"/>
  <c r="BE102"/>
  <c r="BE19"/>
  <c r="AV19"/>
  <c r="AX19" s="1"/>
  <c r="AY19" s="1"/>
  <c r="L13" i="5" s="1"/>
  <c r="BI55" i="7"/>
  <c r="BH55"/>
  <c r="BF55"/>
  <c r="BG55"/>
  <c r="BF112"/>
  <c r="BH112"/>
  <c r="BG112"/>
  <c r="BI112"/>
  <c r="BH63"/>
  <c r="BG63"/>
  <c r="BF63"/>
  <c r="BI63"/>
  <c r="BF20"/>
  <c r="BH20"/>
  <c r="BG20"/>
  <c r="BI20"/>
  <c r="AW114"/>
  <c r="AW113"/>
  <c r="AX46"/>
  <c r="AY46" s="1"/>
  <c r="L40" i="5" s="1"/>
  <c r="AW12" i="7"/>
  <c r="AW21"/>
  <c r="AW96"/>
  <c r="AW17"/>
  <c r="AX44"/>
  <c r="AY44" s="1"/>
  <c r="L38" i="5" s="1"/>
  <c r="AW79" i="7"/>
  <c r="BL11"/>
  <c r="BM11" s="1"/>
  <c r="BK11"/>
  <c r="G17" i="15"/>
  <c r="K17" i="5"/>
  <c r="BE48" i="7"/>
  <c r="AV48"/>
  <c r="AV99"/>
  <c r="AX99" s="1"/>
  <c r="AY99" s="1"/>
  <c r="L93" i="5" s="1"/>
  <c r="BE99" i="7"/>
  <c r="BE94"/>
  <c r="AV94"/>
  <c r="BE83"/>
  <c r="AV83"/>
  <c r="AX83" s="1"/>
  <c r="AY83" s="1"/>
  <c r="L77" i="5" s="1"/>
  <c r="AV125" i="7"/>
  <c r="AW125" s="1"/>
  <c r="BE125"/>
  <c r="AV70"/>
  <c r="AW70" s="1"/>
  <c r="BE70"/>
  <c r="BE50"/>
  <c r="AV50"/>
  <c r="AX50" s="1"/>
  <c r="AY50" s="1"/>
  <c r="L44" i="5" s="1"/>
  <c r="AV97" i="7"/>
  <c r="AW97" s="1"/>
  <c r="BE97"/>
  <c r="AV87"/>
  <c r="AX87" s="1"/>
  <c r="AY87" s="1"/>
  <c r="L81" i="5" s="1"/>
  <c r="BE87" i="7"/>
  <c r="BE88"/>
  <c r="AV88"/>
  <c r="BE29"/>
  <c r="AV29"/>
  <c r="BE16"/>
  <c r="AV16"/>
  <c r="AX16" s="1"/>
  <c r="AY16" s="1"/>
  <c r="L10" i="5" s="1"/>
  <c r="AV122" i="7"/>
  <c r="AW122" s="1"/>
  <c r="BE122"/>
  <c r="AV47"/>
  <c r="AX47" s="1"/>
  <c r="AY47" s="1"/>
  <c r="L41" i="5" s="1"/>
  <c r="BE47" i="7"/>
  <c r="AV10"/>
  <c r="AX10" s="1"/>
  <c r="AY10" s="1"/>
  <c r="L4" i="5" s="1"/>
  <c r="BE10" i="7"/>
  <c r="BE62"/>
  <c r="AV62"/>
  <c r="AW62" s="1"/>
  <c r="BE28"/>
  <c r="AV28"/>
  <c r="AV34"/>
  <c r="AX34" s="1"/>
  <c r="AY34" s="1"/>
  <c r="L28" i="5" s="1"/>
  <c r="BE34" i="7"/>
  <c r="AV41"/>
  <c r="AW41" s="1"/>
  <c r="BE41"/>
  <c r="BE58"/>
  <c r="AV58"/>
  <c r="AX58" s="1"/>
  <c r="AY58" s="1"/>
  <c r="L52" i="5" s="1"/>
  <c r="BE93" i="7"/>
  <c r="AV93"/>
  <c r="AX93" s="1"/>
  <c r="AY93" s="1"/>
  <c r="L87" i="5" s="1"/>
  <c r="AW45" i="7"/>
  <c r="AV110"/>
  <c r="AX110" s="1"/>
  <c r="AY110" s="1"/>
  <c r="L104" i="5" s="1"/>
  <c r="BE110" i="7"/>
  <c r="G41" i="15"/>
  <c r="K41" i="5"/>
  <c r="G105" i="15"/>
  <c r="K105" i="5"/>
  <c r="G83" i="15"/>
  <c r="K83" i="5"/>
  <c r="K19"/>
  <c r="G19" i="15"/>
  <c r="G76"/>
  <c r="K76" i="5"/>
  <c r="G66" i="15"/>
  <c r="K66" i="5"/>
  <c r="G33" i="15"/>
  <c r="K33" i="5"/>
  <c r="AX107" i="7"/>
  <c r="AY107" s="1"/>
  <c r="L101" i="5" s="1"/>
  <c r="AW39" i="7"/>
  <c r="G71" i="15"/>
  <c r="K71" i="5"/>
  <c r="G16" i="15"/>
  <c r="K16" i="5"/>
  <c r="G9" i="15"/>
  <c r="K9" i="5"/>
  <c r="G79" i="15"/>
  <c r="K79" i="5"/>
  <c r="K119"/>
  <c r="G119" i="15"/>
  <c r="K90" i="5"/>
  <c r="G90" i="15"/>
  <c r="G18"/>
  <c r="K18" i="5"/>
  <c r="G47" i="15"/>
  <c r="K47" i="5"/>
  <c r="K40"/>
  <c r="G40" i="15"/>
  <c r="G52"/>
  <c r="K52" i="5"/>
  <c r="G24" i="15"/>
  <c r="K24" i="5"/>
  <c r="G108" i="15"/>
  <c r="K108" i="5"/>
  <c r="G36" i="15"/>
  <c r="K36" i="5"/>
  <c r="G122" i="15"/>
  <c r="K122" i="5"/>
  <c r="G62" i="15"/>
  <c r="K62" i="5"/>
  <c r="G109" i="15"/>
  <c r="K109" i="5"/>
  <c r="AV54" i="7"/>
  <c r="AX54" s="1"/>
  <c r="AY54" s="1"/>
  <c r="L48" i="5" s="1"/>
  <c r="BE54" i="7"/>
  <c r="BF56"/>
  <c r="BI56"/>
  <c r="BH56"/>
  <c r="BG56"/>
  <c r="BF51"/>
  <c r="BI51"/>
  <c r="BG51"/>
  <c r="BH51"/>
  <c r="BG23"/>
  <c r="BI23"/>
  <c r="BF23"/>
  <c r="BH23"/>
  <c r="BH66"/>
  <c r="BF66"/>
  <c r="BG66"/>
  <c r="BI66"/>
  <c r="BF91"/>
  <c r="BH91"/>
  <c r="BG91"/>
  <c r="BI91"/>
  <c r="AV117"/>
  <c r="AX117" s="1"/>
  <c r="AY117" s="1"/>
  <c r="L111" i="5" s="1"/>
  <c r="BE117" i="7"/>
  <c r="BE26"/>
  <c r="AV26"/>
  <c r="AX125"/>
  <c r="AY125" s="1"/>
  <c r="L119" i="5" s="1"/>
  <c r="AX86" i="7"/>
  <c r="AY86" s="1"/>
  <c r="L80" i="5" s="1"/>
  <c r="BE108" i="7"/>
  <c r="AV108"/>
  <c r="BE40"/>
  <c r="AV40"/>
  <c r="AX72"/>
  <c r="AY72" s="1"/>
  <c r="L66" i="5" s="1"/>
  <c r="AW72" i="7"/>
  <c r="AX122"/>
  <c r="AY122" s="1"/>
  <c r="L116" i="5" s="1"/>
  <c r="G29" i="15"/>
  <c r="K29" i="5"/>
  <c r="G55" i="15"/>
  <c r="K55" i="5"/>
  <c r="K53"/>
  <c r="G53" i="15"/>
  <c r="K10" i="5"/>
  <c r="G10" i="15"/>
  <c r="G95"/>
  <c r="K95" i="5"/>
  <c r="G100" i="15"/>
  <c r="K100" i="5"/>
  <c r="G44" i="15"/>
  <c r="K44" i="5"/>
  <c r="G58" i="15"/>
  <c r="K58" i="5"/>
  <c r="BE57" i="7"/>
  <c r="AV57"/>
  <c r="AV105"/>
  <c r="AW105" s="1"/>
  <c r="BE105"/>
  <c r="BE9"/>
  <c r="AV9"/>
  <c r="AX36"/>
  <c r="AY36" s="1"/>
  <c r="L30" i="5" s="1"/>
  <c r="AW93" i="7"/>
  <c r="BE15"/>
  <c r="AV15"/>
  <c r="AV100"/>
  <c r="AW100" s="1"/>
  <c r="BE100"/>
  <c r="AW110"/>
  <c r="G89" i="15"/>
  <c r="K89" i="5"/>
  <c r="G21" i="15"/>
  <c r="K21" i="5"/>
  <c r="BE84" i="7"/>
  <c r="AV84"/>
  <c r="BE82"/>
  <c r="AV82"/>
  <c r="BE64"/>
  <c r="AV64"/>
  <c r="G37" i="15"/>
  <c r="K37" i="5"/>
  <c r="G96" i="15"/>
  <c r="K96" i="5"/>
  <c r="BE116" i="7"/>
  <c r="AV116"/>
  <c r="BE115"/>
  <c r="AV115"/>
  <c r="AV103"/>
  <c r="AX103" s="1"/>
  <c r="AY103" s="1"/>
  <c r="L97" i="5" s="1"/>
  <c r="BE103" i="7"/>
  <c r="BH35"/>
  <c r="BG35"/>
  <c r="BF35"/>
  <c r="BI35"/>
  <c r="BF81"/>
  <c r="BI81"/>
  <c r="BG81"/>
  <c r="BH81"/>
  <c r="BH69"/>
  <c r="BF69"/>
  <c r="BI69"/>
  <c r="BG69"/>
  <c r="BF71"/>
  <c r="BI71"/>
  <c r="BH71"/>
  <c r="BG71"/>
  <c r="BG33"/>
  <c r="BI33"/>
  <c r="BF33"/>
  <c r="BH33"/>
  <c r="G97" i="15"/>
  <c r="K97" i="5"/>
  <c r="G73" i="15"/>
  <c r="K73" i="5"/>
  <c r="BF126" i="7"/>
  <c r="BH126"/>
  <c r="BG126"/>
  <c r="BI126"/>
  <c r="BH127"/>
  <c r="BF127"/>
  <c r="BG127"/>
  <c r="BI127"/>
  <c r="BG53"/>
  <c r="BI53"/>
  <c r="BF53"/>
  <c r="BH53"/>
  <c r="BG61"/>
  <c r="BF61"/>
  <c r="BI61"/>
  <c r="BH61"/>
  <c r="BF42"/>
  <c r="BH42"/>
  <c r="BG42"/>
  <c r="BI42"/>
  <c r="BH80"/>
  <c r="BF80"/>
  <c r="BI80"/>
  <c r="BG80"/>
  <c r="BH78"/>
  <c r="BG78"/>
  <c r="BI78"/>
  <c r="BF78"/>
  <c r="K111" i="5"/>
  <c r="G111" i="15"/>
  <c r="G51"/>
  <c r="K51" i="5"/>
  <c r="G77" i="15"/>
  <c r="K77" i="5"/>
  <c r="G103" i="15"/>
  <c r="K103" i="5"/>
  <c r="G56" i="15"/>
  <c r="K56" i="5"/>
  <c r="G28" i="15"/>
  <c r="K28" i="5"/>
  <c r="K3"/>
  <c r="G3" i="15"/>
  <c r="G93"/>
  <c r="K93" i="5"/>
  <c r="G70" i="15"/>
  <c r="K70" i="5"/>
  <c r="K104"/>
  <c r="G104" i="15"/>
  <c r="K11" i="5"/>
  <c r="G11" i="15"/>
  <c r="G98"/>
  <c r="K98" i="5"/>
  <c r="G120" i="15"/>
  <c r="K120" i="5"/>
  <c r="G84" i="15"/>
  <c r="K84" i="5"/>
  <c r="G86" i="15"/>
  <c r="K86" i="5"/>
  <c r="K49"/>
  <c r="G49" i="15"/>
  <c r="BE31" i="7"/>
  <c r="AV31"/>
  <c r="AX31" s="1"/>
  <c r="AY31" s="1"/>
  <c r="L25" i="5" s="1"/>
  <c r="BG128" i="7"/>
  <c r="BI128"/>
  <c r="BF128"/>
  <c r="BH128"/>
  <c r="BH120"/>
  <c r="BG120"/>
  <c r="BF120"/>
  <c r="BI120"/>
  <c r="BH101"/>
  <c r="BG101"/>
  <c r="BF101"/>
  <c r="BI101"/>
  <c r="BF98"/>
  <c r="BH98"/>
  <c r="BG98"/>
  <c r="BI98"/>
  <c r="BH121"/>
  <c r="BG121"/>
  <c r="BF121"/>
  <c r="BI121"/>
  <c r="BG90"/>
  <c r="BF90"/>
  <c r="BH90"/>
  <c r="BI90"/>
  <c r="AX56"/>
  <c r="AY56" s="1"/>
  <c r="L50" i="5" s="1"/>
  <c r="AW51" i="7"/>
  <c r="AX69"/>
  <c r="AY69" s="1"/>
  <c r="L63" i="5" s="1"/>
  <c r="AW23" i="7"/>
  <c r="AX71"/>
  <c r="AY71" s="1"/>
  <c r="L65" i="5" s="1"/>
  <c r="AX113" i="7"/>
  <c r="AY113" s="1"/>
  <c r="L107" i="5" s="1"/>
  <c r="AW46" i="7"/>
  <c r="AX127"/>
  <c r="AY127" s="1"/>
  <c r="L121" i="5" s="1"/>
  <c r="AX12" i="7"/>
  <c r="AY12" s="1"/>
  <c r="L6" i="5" s="1"/>
  <c r="AX21" i="7"/>
  <c r="AY21" s="1"/>
  <c r="L15" i="5" s="1"/>
  <c r="AX96" i="7"/>
  <c r="AY96" s="1"/>
  <c r="L90" i="5" s="1"/>
  <c r="AX17" i="7"/>
  <c r="AY17" s="1"/>
  <c r="L11" i="5" s="1"/>
  <c r="AX91" i="7"/>
  <c r="AY91" s="1"/>
  <c r="L85" i="5" s="1"/>
  <c r="AW128" i="7"/>
  <c r="AW44"/>
  <c r="AW126"/>
  <c r="AW35"/>
  <c r="AW53"/>
  <c r="AW66"/>
  <c r="AX79"/>
  <c r="AY79" s="1"/>
  <c r="L73" i="5" s="1"/>
  <c r="AX80" i="7"/>
  <c r="AY80" s="1"/>
  <c r="L74" i="5" s="1"/>
  <c r="AW19" i="7" l="1"/>
  <c r="AW34"/>
  <c r="AW49"/>
  <c r="AX59"/>
  <c r="AY59" s="1"/>
  <c r="L53" i="5" s="1"/>
  <c r="AX109" i="7"/>
  <c r="AY109" s="1"/>
  <c r="L103" i="5" s="1"/>
  <c r="AW119" i="7"/>
  <c r="AW54"/>
  <c r="AW58"/>
  <c r="AX62"/>
  <c r="AY62" s="1"/>
  <c r="L56" i="5" s="1"/>
  <c r="AX97" i="7"/>
  <c r="AY97" s="1"/>
  <c r="L91" i="5" s="1"/>
  <c r="AW83" i="7"/>
  <c r="AW27"/>
  <c r="AW50"/>
  <c r="AX67"/>
  <c r="AY67" s="1"/>
  <c r="L61" i="5" s="1"/>
  <c r="AX25" i="7"/>
  <c r="AY25" s="1"/>
  <c r="L19" i="5" s="1"/>
  <c r="AW22" i="7"/>
  <c r="AW111"/>
  <c r="AX38"/>
  <c r="AY38" s="1"/>
  <c r="L32" i="5" s="1"/>
  <c r="AX68" i="7"/>
  <c r="AY68" s="1"/>
  <c r="L62" i="5" s="1"/>
  <c r="AX13" i="7"/>
  <c r="AY13" s="1"/>
  <c r="L7" i="5" s="1"/>
  <c r="AW16" i="7"/>
  <c r="AX118"/>
  <c r="AY118" s="1"/>
  <c r="L112" i="5" s="1"/>
  <c r="BF9" i="7"/>
  <c r="AW77"/>
  <c r="BK90"/>
  <c r="BL90"/>
  <c r="BM90" s="1"/>
  <c r="BH31"/>
  <c r="BG31"/>
  <c r="BF31"/>
  <c r="BI31"/>
  <c r="BK78"/>
  <c r="BL78"/>
  <c r="BM78" s="1"/>
  <c r="BL80"/>
  <c r="BM80" s="1"/>
  <c r="BK80"/>
  <c r="BK61"/>
  <c r="BL61"/>
  <c r="BM61" s="1"/>
  <c r="BL127"/>
  <c r="BM127" s="1"/>
  <c r="BK127"/>
  <c r="BK69"/>
  <c r="BL69"/>
  <c r="BM69" s="1"/>
  <c r="BG115"/>
  <c r="BH115"/>
  <c r="BF115"/>
  <c r="BI115"/>
  <c r="BG116"/>
  <c r="BH116"/>
  <c r="BF116"/>
  <c r="BI116"/>
  <c r="BF64"/>
  <c r="BH64"/>
  <c r="BG64"/>
  <c r="BI64"/>
  <c r="BF82"/>
  <c r="BI82"/>
  <c r="BH82"/>
  <c r="BG82"/>
  <c r="BG84"/>
  <c r="BF84"/>
  <c r="BH84"/>
  <c r="BI84"/>
  <c r="BF15"/>
  <c r="BH15"/>
  <c r="BI15"/>
  <c r="BG15"/>
  <c r="BH9"/>
  <c r="BG9"/>
  <c r="BI9"/>
  <c r="BF57"/>
  <c r="BG57"/>
  <c r="BI57"/>
  <c r="BH57"/>
  <c r="BF40"/>
  <c r="BI40"/>
  <c r="BH40"/>
  <c r="BG40"/>
  <c r="BG108"/>
  <c r="BH108"/>
  <c r="BF108"/>
  <c r="BI108"/>
  <c r="BF26"/>
  <c r="BI26"/>
  <c r="BG26"/>
  <c r="BH26"/>
  <c r="BK66"/>
  <c r="BL66"/>
  <c r="BM66" s="1"/>
  <c r="BH93"/>
  <c r="BG93"/>
  <c r="BF93"/>
  <c r="BI93"/>
  <c r="BF58"/>
  <c r="BH58"/>
  <c r="BG58"/>
  <c r="BI58"/>
  <c r="BG28"/>
  <c r="BI28"/>
  <c r="BF28"/>
  <c r="BH28"/>
  <c r="BF62"/>
  <c r="BH62"/>
  <c r="BG62"/>
  <c r="BI62"/>
  <c r="BF16"/>
  <c r="BG16"/>
  <c r="BH16"/>
  <c r="BI16"/>
  <c r="BG29"/>
  <c r="BI29"/>
  <c r="BF29"/>
  <c r="BH29"/>
  <c r="BG88"/>
  <c r="BI88"/>
  <c r="BF88"/>
  <c r="BH88"/>
  <c r="BG50"/>
  <c r="BI50"/>
  <c r="BF50"/>
  <c r="BH50"/>
  <c r="BH83"/>
  <c r="BI83"/>
  <c r="BG83"/>
  <c r="BF83"/>
  <c r="BI94"/>
  <c r="BH94"/>
  <c r="BG94"/>
  <c r="BF94"/>
  <c r="BG48"/>
  <c r="BI48"/>
  <c r="BF48"/>
  <c r="BH48"/>
  <c r="BL20"/>
  <c r="BM20" s="1"/>
  <c r="BK20"/>
  <c r="BK63"/>
  <c r="BL63"/>
  <c r="BM63" s="1"/>
  <c r="BK112"/>
  <c r="BL112"/>
  <c r="BM112" s="1"/>
  <c r="BL55"/>
  <c r="BM55" s="1"/>
  <c r="BK55"/>
  <c r="BH102"/>
  <c r="BF102"/>
  <c r="BI102"/>
  <c r="BG102"/>
  <c r="BK79"/>
  <c r="BL79"/>
  <c r="BM79" s="1"/>
  <c r="BL104"/>
  <c r="BM104" s="1"/>
  <c r="BK104"/>
  <c r="BL123"/>
  <c r="BM123" s="1"/>
  <c r="BK123"/>
  <c r="BF68"/>
  <c r="BH68"/>
  <c r="BG68"/>
  <c r="BI68"/>
  <c r="BL43"/>
  <c r="BM43" s="1"/>
  <c r="BK43"/>
  <c r="BK96"/>
  <c r="BL96"/>
  <c r="BM96" s="1"/>
  <c r="BL18"/>
  <c r="BM18" s="1"/>
  <c r="BK18"/>
  <c r="BK21"/>
  <c r="BL21"/>
  <c r="BM21" s="1"/>
  <c r="BH52"/>
  <c r="BG52"/>
  <c r="BF52"/>
  <c r="BI52"/>
  <c r="BG107"/>
  <c r="BH107"/>
  <c r="BF107"/>
  <c r="BI107"/>
  <c r="BH36"/>
  <c r="BG36"/>
  <c r="BF36"/>
  <c r="BI36"/>
  <c r="BG76"/>
  <c r="BF76"/>
  <c r="BH76"/>
  <c r="BI76"/>
  <c r="BH119"/>
  <c r="BG119"/>
  <c r="BF119"/>
  <c r="BI119"/>
  <c r="BI22"/>
  <c r="BH22"/>
  <c r="BF22"/>
  <c r="BG22"/>
  <c r="BI106"/>
  <c r="BG106"/>
  <c r="BF106"/>
  <c r="BH106"/>
  <c r="BI95"/>
  <c r="BF95"/>
  <c r="BH95"/>
  <c r="BG95"/>
  <c r="BG72"/>
  <c r="BI72"/>
  <c r="BF72"/>
  <c r="BH72"/>
  <c r="BG86"/>
  <c r="BI86"/>
  <c r="BF86"/>
  <c r="BH86"/>
  <c r="BG49"/>
  <c r="BI49"/>
  <c r="BF49"/>
  <c r="BH49"/>
  <c r="BF65"/>
  <c r="BH65"/>
  <c r="BG65"/>
  <c r="BI65"/>
  <c r="BK113"/>
  <c r="BL113"/>
  <c r="BM113" s="1"/>
  <c r="BK12"/>
  <c r="BL12"/>
  <c r="BM12" s="1"/>
  <c r="BG13"/>
  <c r="BI13"/>
  <c r="BF13"/>
  <c r="BH13"/>
  <c r="BF25"/>
  <c r="BH25"/>
  <c r="BG25"/>
  <c r="BI25"/>
  <c r="BH89"/>
  <c r="BG89"/>
  <c r="BF89"/>
  <c r="BI89"/>
  <c r="BF27"/>
  <c r="BI27"/>
  <c r="BH27"/>
  <c r="BG27"/>
  <c r="BF75"/>
  <c r="BI75"/>
  <c r="BG75"/>
  <c r="BH75"/>
  <c r="BF111"/>
  <c r="BI111"/>
  <c r="BH111"/>
  <c r="BG111"/>
  <c r="BG109"/>
  <c r="BI109"/>
  <c r="BH109"/>
  <c r="BF109"/>
  <c r="AW31"/>
  <c r="AX82"/>
  <c r="AY82" s="1"/>
  <c r="L76" i="5" s="1"/>
  <c r="AX84" i="7"/>
  <c r="AY84" s="1"/>
  <c r="L78" i="5" s="1"/>
  <c r="AW40" i="7"/>
  <c r="AX102"/>
  <c r="AY102" s="1"/>
  <c r="L96" i="5" s="1"/>
  <c r="AX115" i="7"/>
  <c r="AY115" s="1"/>
  <c r="L109" i="5" s="1"/>
  <c r="AX116" i="7"/>
  <c r="AY116" s="1"/>
  <c r="L110" i="5" s="1"/>
  <c r="AX64" i="7"/>
  <c r="AY64" s="1"/>
  <c r="L58" i="5" s="1"/>
  <c r="AX52" i="7"/>
  <c r="AY52" s="1"/>
  <c r="L46" i="5" s="1"/>
  <c r="AX76" i="7"/>
  <c r="AY76" s="1"/>
  <c r="L70" i="5" s="1"/>
  <c r="AX88" i="7"/>
  <c r="AY88" s="1"/>
  <c r="L82" i="5" s="1"/>
  <c r="AW26" i="7"/>
  <c r="AW89"/>
  <c r="AW9"/>
  <c r="AX75"/>
  <c r="AY75" s="1"/>
  <c r="L69" i="5" s="1"/>
  <c r="AX28" i="7"/>
  <c r="AY28" s="1"/>
  <c r="L22" i="5" s="1"/>
  <c r="AX57" i="7"/>
  <c r="AY57" s="1"/>
  <c r="L51" i="5" s="1"/>
  <c r="AX106" i="7"/>
  <c r="AY106" s="1"/>
  <c r="L100" i="5" s="1"/>
  <c r="AX95" i="7"/>
  <c r="AY95" s="1"/>
  <c r="L89" i="5" s="1"/>
  <c r="AW29" i="7"/>
  <c r="AX108"/>
  <c r="AY108" s="1"/>
  <c r="L102" i="5" s="1"/>
  <c r="AX65" i="7"/>
  <c r="AY65" s="1"/>
  <c r="L59" i="5" s="1"/>
  <c r="AX94" i="7"/>
  <c r="AY94" s="1"/>
  <c r="L88" i="5" s="1"/>
  <c r="AX48" i="7"/>
  <c r="AY48" s="1"/>
  <c r="L42" i="5" s="1"/>
  <c r="BK121" i="7"/>
  <c r="BL121"/>
  <c r="BM121" s="1"/>
  <c r="BK98"/>
  <c r="BL98"/>
  <c r="BM98" s="1"/>
  <c r="BL101"/>
  <c r="BM101" s="1"/>
  <c r="BK101"/>
  <c r="BK120"/>
  <c r="BL120"/>
  <c r="BM120" s="1"/>
  <c r="BK128"/>
  <c r="BL128"/>
  <c r="BM128" s="1"/>
  <c r="BK42"/>
  <c r="BL42"/>
  <c r="BM42" s="1"/>
  <c r="BK53"/>
  <c r="BL53"/>
  <c r="BM53" s="1"/>
  <c r="BL126"/>
  <c r="BM126" s="1"/>
  <c r="BK126"/>
  <c r="BK33"/>
  <c r="BL33"/>
  <c r="BM33" s="1"/>
  <c r="BK71"/>
  <c r="BL71"/>
  <c r="BM71" s="1"/>
  <c r="BK81"/>
  <c r="BL81"/>
  <c r="BM81" s="1"/>
  <c r="BL35"/>
  <c r="BM35" s="1"/>
  <c r="BK35"/>
  <c r="BF103"/>
  <c r="BH103"/>
  <c r="BG103"/>
  <c r="BI103"/>
  <c r="BF100"/>
  <c r="BG100"/>
  <c r="BH100"/>
  <c r="BI100"/>
  <c r="BH105"/>
  <c r="BG105"/>
  <c r="BF105"/>
  <c r="BI105"/>
  <c r="BF117"/>
  <c r="BH117"/>
  <c r="BG117"/>
  <c r="BI117"/>
  <c r="BL91"/>
  <c r="BM91" s="1"/>
  <c r="BK91"/>
  <c r="BL23"/>
  <c r="BM23" s="1"/>
  <c r="BK23"/>
  <c r="BK51"/>
  <c r="BL51"/>
  <c r="BM51" s="1"/>
  <c r="BK56"/>
  <c r="BL56"/>
  <c r="BM56" s="1"/>
  <c r="BF54"/>
  <c r="BH54"/>
  <c r="BG54"/>
  <c r="BI54"/>
  <c r="BF110"/>
  <c r="BI110"/>
  <c r="BG110"/>
  <c r="BH110"/>
  <c r="BH41"/>
  <c r="BI41"/>
  <c r="BG41"/>
  <c r="BF41"/>
  <c r="BI34"/>
  <c r="BF34"/>
  <c r="BH34"/>
  <c r="BG34"/>
  <c r="BF10"/>
  <c r="BI10"/>
  <c r="BH10"/>
  <c r="BG10"/>
  <c r="BF47"/>
  <c r="BH47"/>
  <c r="BG47"/>
  <c r="BI47"/>
  <c r="BH122"/>
  <c r="BG122"/>
  <c r="BF122"/>
  <c r="BI122"/>
  <c r="BG87"/>
  <c r="BI87"/>
  <c r="BF87"/>
  <c r="BH87"/>
  <c r="BH97"/>
  <c r="BG97"/>
  <c r="BI97"/>
  <c r="BF97"/>
  <c r="BF70"/>
  <c r="BH70"/>
  <c r="BG70"/>
  <c r="BI70"/>
  <c r="BF125"/>
  <c r="BH125"/>
  <c r="BG125"/>
  <c r="BI125"/>
  <c r="BH99"/>
  <c r="BF99"/>
  <c r="BG99"/>
  <c r="BI99"/>
  <c r="BH19"/>
  <c r="BG19"/>
  <c r="BF19"/>
  <c r="BI19"/>
  <c r="BF67"/>
  <c r="BH67"/>
  <c r="BG67"/>
  <c r="BI67"/>
  <c r="BL32"/>
  <c r="BM32" s="1"/>
  <c r="BK32"/>
  <c r="BL17"/>
  <c r="BM17" s="1"/>
  <c r="BK17"/>
  <c r="BL44"/>
  <c r="BM44" s="1"/>
  <c r="BK44"/>
  <c r="BK30"/>
  <c r="BL30"/>
  <c r="BM30" s="1"/>
  <c r="BH24"/>
  <c r="BI24"/>
  <c r="BG24"/>
  <c r="BF24"/>
  <c r="BF37"/>
  <c r="BH37"/>
  <c r="BG37"/>
  <c r="BI37"/>
  <c r="BI45"/>
  <c r="BF45"/>
  <c r="BG45"/>
  <c r="BH45"/>
  <c r="BG74"/>
  <c r="BI74"/>
  <c r="BF74"/>
  <c r="BH74"/>
  <c r="BG118"/>
  <c r="BH118"/>
  <c r="BF118"/>
  <c r="BI118"/>
  <c r="BG14"/>
  <c r="BH14"/>
  <c r="BF14"/>
  <c r="BI14"/>
  <c r="BG73"/>
  <c r="BI73"/>
  <c r="BF73"/>
  <c r="BH73"/>
  <c r="BG77"/>
  <c r="BI77"/>
  <c r="BF77"/>
  <c r="BH77"/>
  <c r="BF124"/>
  <c r="BH124"/>
  <c r="BG124"/>
  <c r="BI124"/>
  <c r="BH38"/>
  <c r="BI38"/>
  <c r="BG38"/>
  <c r="BF38"/>
  <c r="BL114"/>
  <c r="BM114" s="1"/>
  <c r="BK114"/>
  <c r="BL46"/>
  <c r="BM46" s="1"/>
  <c r="BK46"/>
  <c r="BF92"/>
  <c r="BH92"/>
  <c r="BG92"/>
  <c r="BI92"/>
  <c r="BH39"/>
  <c r="BG39"/>
  <c r="BF39"/>
  <c r="BI39"/>
  <c r="BF85"/>
  <c r="BI85"/>
  <c r="BG85"/>
  <c r="BH85"/>
  <c r="BG59"/>
  <c r="BH59"/>
  <c r="BF59"/>
  <c r="BI59"/>
  <c r="BH60"/>
  <c r="BG60"/>
  <c r="BF60"/>
  <c r="BI60"/>
  <c r="AW82"/>
  <c r="AW84"/>
  <c r="AX100"/>
  <c r="AY100" s="1"/>
  <c r="L94" i="5" s="1"/>
  <c r="AX40" i="7"/>
  <c r="AY40" s="1"/>
  <c r="L34" i="5" s="1"/>
  <c r="AW115" i="7"/>
  <c r="AW116"/>
  <c r="AW64"/>
  <c r="AW88"/>
  <c r="AW99"/>
  <c r="AX26"/>
  <c r="AY26" s="1"/>
  <c r="L20" i="5" s="1"/>
  <c r="AW117" i="7"/>
  <c r="AW103"/>
  <c r="AW24"/>
  <c r="AW37"/>
  <c r="AW74"/>
  <c r="AX9"/>
  <c r="AY9" s="1"/>
  <c r="L3" i="5" s="1"/>
  <c r="AX41" i="7"/>
  <c r="AY41" s="1"/>
  <c r="L35" i="5" s="1"/>
  <c r="AX105" i="7"/>
  <c r="AY105" s="1"/>
  <c r="L99" i="5" s="1"/>
  <c r="AW14" i="7"/>
  <c r="AW28"/>
  <c r="AW57"/>
  <c r="AW106"/>
  <c r="AW10"/>
  <c r="AW95"/>
  <c r="AW47"/>
  <c r="AW73"/>
  <c r="AX29"/>
  <c r="AY29" s="1"/>
  <c r="L23" i="5" s="1"/>
  <c r="AW108" i="7"/>
  <c r="AW87"/>
  <c r="AX70"/>
  <c r="AY70" s="1"/>
  <c r="L64" i="5" s="1"/>
  <c r="AW65" i="7"/>
  <c r="AW124"/>
  <c r="AW94"/>
  <c r="AW48"/>
  <c r="BX20" l="1"/>
  <c r="BX48"/>
  <c r="BX32"/>
  <c r="BK60"/>
  <c r="BL60"/>
  <c r="BM60" s="1"/>
  <c r="BL59"/>
  <c r="BM59" s="1"/>
  <c r="BK59"/>
  <c r="BL85"/>
  <c r="BM85" s="1"/>
  <c r="BK85"/>
  <c r="BK39"/>
  <c r="BL39"/>
  <c r="BM39" s="1"/>
  <c r="BK92"/>
  <c r="BL92"/>
  <c r="BM92" s="1"/>
  <c r="BX36" s="1"/>
  <c r="BK124"/>
  <c r="BL124"/>
  <c r="BM124" s="1"/>
  <c r="BK77"/>
  <c r="BL77"/>
  <c r="BM77" s="1"/>
  <c r="BK73"/>
  <c r="BL73"/>
  <c r="BM73" s="1"/>
  <c r="BL14"/>
  <c r="BM14" s="1"/>
  <c r="BK14"/>
  <c r="BK118"/>
  <c r="BL118"/>
  <c r="BM118" s="1"/>
  <c r="BK74"/>
  <c r="BL74"/>
  <c r="BM74" s="1"/>
  <c r="BL37"/>
  <c r="BM37" s="1"/>
  <c r="BK37"/>
  <c r="BK67"/>
  <c r="BL67"/>
  <c r="BM67" s="1"/>
  <c r="BL19"/>
  <c r="BM19" s="1"/>
  <c r="BX12" s="1"/>
  <c r="BK19"/>
  <c r="BK125"/>
  <c r="BL125"/>
  <c r="BM125" s="1"/>
  <c r="BK70"/>
  <c r="BL70"/>
  <c r="BM70" s="1"/>
  <c r="BW29" s="1"/>
  <c r="BK87"/>
  <c r="BL87"/>
  <c r="BM87" s="1"/>
  <c r="BK122"/>
  <c r="BL122"/>
  <c r="BM122" s="1"/>
  <c r="BW46" s="1"/>
  <c r="BK47"/>
  <c r="BL47"/>
  <c r="BM47" s="1"/>
  <c r="BL10"/>
  <c r="BM10" s="1"/>
  <c r="BK10"/>
  <c r="BL110"/>
  <c r="BM110" s="1"/>
  <c r="BK110"/>
  <c r="BL54"/>
  <c r="BM54" s="1"/>
  <c r="BK54"/>
  <c r="BK117"/>
  <c r="BL117"/>
  <c r="BM117" s="1"/>
  <c r="BK105"/>
  <c r="BL105"/>
  <c r="BM105" s="1"/>
  <c r="BK100"/>
  <c r="BL100"/>
  <c r="BM100" s="1"/>
  <c r="BK103"/>
  <c r="BL103"/>
  <c r="BM103" s="1"/>
  <c r="BK111"/>
  <c r="BL111"/>
  <c r="BM111" s="1"/>
  <c r="BK75"/>
  <c r="BL75"/>
  <c r="BM75" s="1"/>
  <c r="BK27"/>
  <c r="BL27"/>
  <c r="BM27" s="1"/>
  <c r="BK89"/>
  <c r="BL89"/>
  <c r="BM89" s="1"/>
  <c r="BL25"/>
  <c r="BM25" s="1"/>
  <c r="BK25"/>
  <c r="BL13"/>
  <c r="BM13" s="1"/>
  <c r="BX10" s="1"/>
  <c r="BK13"/>
  <c r="BK65"/>
  <c r="BL65"/>
  <c r="BM65" s="1"/>
  <c r="BK49"/>
  <c r="BL49"/>
  <c r="BM49" s="1"/>
  <c r="BK86"/>
  <c r="BL86"/>
  <c r="BM86" s="1"/>
  <c r="BK72"/>
  <c r="BL72"/>
  <c r="BM72" s="1"/>
  <c r="BL106"/>
  <c r="BM106" s="1"/>
  <c r="BK106"/>
  <c r="BL22"/>
  <c r="BM22" s="1"/>
  <c r="BX13" s="1"/>
  <c r="BK22"/>
  <c r="BK119"/>
  <c r="BL119"/>
  <c r="BM119" s="1"/>
  <c r="BK36"/>
  <c r="BL36"/>
  <c r="BM36" s="1"/>
  <c r="BL107"/>
  <c r="BM107" s="1"/>
  <c r="BK107"/>
  <c r="BK52"/>
  <c r="BL52"/>
  <c r="BM52" s="1"/>
  <c r="BW23" s="1"/>
  <c r="BL68"/>
  <c r="BM68" s="1"/>
  <c r="BX28" s="1"/>
  <c r="BK68"/>
  <c r="BK48"/>
  <c r="BL48"/>
  <c r="BM48" s="1"/>
  <c r="BK50"/>
  <c r="BL50"/>
  <c r="BM50" s="1"/>
  <c r="BL88"/>
  <c r="BM88" s="1"/>
  <c r="BK88"/>
  <c r="BL29"/>
  <c r="BM29" s="1"/>
  <c r="BK29"/>
  <c r="BK16"/>
  <c r="BL16"/>
  <c r="BM16" s="1"/>
  <c r="BL62"/>
  <c r="BM62" s="1"/>
  <c r="BX26" s="1"/>
  <c r="BK62"/>
  <c r="BL28"/>
  <c r="BM28" s="1"/>
  <c r="BK28"/>
  <c r="BK58"/>
  <c r="BL58"/>
  <c r="BM58" s="1"/>
  <c r="BK93"/>
  <c r="BL93"/>
  <c r="BM93" s="1"/>
  <c r="BL26"/>
  <c r="BM26" s="1"/>
  <c r="BK26"/>
  <c r="BK108"/>
  <c r="BL108"/>
  <c r="BM108" s="1"/>
  <c r="BL40"/>
  <c r="BM40" s="1"/>
  <c r="BK40"/>
  <c r="BK57"/>
  <c r="BL57"/>
  <c r="BM57" s="1"/>
  <c r="BL9"/>
  <c r="BM9" s="1"/>
  <c r="BK9"/>
  <c r="BK15"/>
  <c r="BL15"/>
  <c r="BM15" s="1"/>
  <c r="BK82"/>
  <c r="BL82"/>
  <c r="BM82" s="1"/>
  <c r="BK64"/>
  <c r="BL64"/>
  <c r="BM64" s="1"/>
  <c r="BL116"/>
  <c r="BM116" s="1"/>
  <c r="BK116"/>
  <c r="BK115"/>
  <c r="BL115"/>
  <c r="BM115" s="1"/>
  <c r="BL31"/>
  <c r="BM31" s="1"/>
  <c r="BX16" s="1"/>
  <c r="BK31"/>
  <c r="BW48"/>
  <c r="BL38"/>
  <c r="BM38" s="1"/>
  <c r="BK38"/>
  <c r="BL45"/>
  <c r="BM45" s="1"/>
  <c r="BK45"/>
  <c r="BK24"/>
  <c r="BL24"/>
  <c r="BM24" s="1"/>
  <c r="BK99"/>
  <c r="BL99"/>
  <c r="BM99" s="1"/>
  <c r="BL97"/>
  <c r="BM97" s="1"/>
  <c r="BX38" s="1"/>
  <c r="BK97"/>
  <c r="BL34"/>
  <c r="BM34" s="1"/>
  <c r="BW17" s="1"/>
  <c r="BK34"/>
  <c r="BL41"/>
  <c r="BM41" s="1"/>
  <c r="BK41"/>
  <c r="BK109"/>
  <c r="BL109"/>
  <c r="BM109" s="1"/>
  <c r="BL95"/>
  <c r="BM95" s="1"/>
  <c r="BK95"/>
  <c r="BK76"/>
  <c r="BL76"/>
  <c r="BM76" s="1"/>
  <c r="BK102"/>
  <c r="BL102"/>
  <c r="BM102" s="1"/>
  <c r="BX40" s="1"/>
  <c r="BL94"/>
  <c r="BM94" s="1"/>
  <c r="BK94"/>
  <c r="BK83"/>
  <c r="BL83"/>
  <c r="BM83" s="1"/>
  <c r="BK84"/>
  <c r="BL84"/>
  <c r="BM84" s="1"/>
  <c r="BW16"/>
  <c r="BW20"/>
  <c r="BW13"/>
  <c r="BW28"/>
  <c r="BW32"/>
  <c r="BW36"/>
  <c r="BW33" l="1"/>
  <c r="BX39"/>
  <c r="BW27"/>
  <c r="BW26"/>
  <c r="BW38"/>
  <c r="BW10"/>
  <c r="BW12"/>
  <c r="BX33"/>
  <c r="BX47"/>
  <c r="BW21"/>
  <c r="BX21"/>
  <c r="BW24"/>
  <c r="BX24"/>
  <c r="BX29"/>
  <c r="BW34"/>
  <c r="BX34"/>
  <c r="BW14"/>
  <c r="BX14"/>
  <c r="BW44"/>
  <c r="BX44"/>
  <c r="BW25"/>
  <c r="BX25"/>
  <c r="BW11"/>
  <c r="BX11"/>
  <c r="BW30"/>
  <c r="BX30"/>
  <c r="BW43"/>
  <c r="BX43"/>
  <c r="BX42"/>
  <c r="BX37"/>
  <c r="BX22"/>
  <c r="BX18"/>
  <c r="BX15"/>
  <c r="BX31"/>
  <c r="BX41"/>
  <c r="BX45"/>
  <c r="BX35"/>
  <c r="BX19"/>
  <c r="BX27"/>
  <c r="BX46"/>
  <c r="BX17"/>
  <c r="BX23"/>
  <c r="BW9"/>
  <c r="BX9"/>
  <c r="BW47"/>
  <c r="BW40"/>
  <c r="BW39"/>
  <c r="BW42"/>
  <c r="BW37"/>
  <c r="BW22"/>
  <c r="BW18"/>
  <c r="BW15"/>
  <c r="BW31"/>
  <c r="BW41"/>
  <c r="BW45"/>
  <c r="BW35"/>
  <c r="BW19"/>
</calcChain>
</file>

<file path=xl/comments1.xml><?xml version="1.0" encoding="utf-8"?>
<comments xmlns="http://schemas.openxmlformats.org/spreadsheetml/2006/main">
  <authors>
    <author>cflmep</author>
  </authors>
  <commentList>
    <comment ref="K9" authorId="0">
      <text>
        <r>
          <rPr>
            <b/>
            <sz val="10"/>
            <color indexed="81"/>
            <rFont val="Tahoma"/>
            <family val="2"/>
          </rPr>
          <t>cflmep:</t>
        </r>
        <r>
          <rPr>
            <sz val="10"/>
            <color indexed="81"/>
            <rFont val="Tahoma"/>
            <family val="2"/>
          </rPr>
          <t xml:space="preserve">
Need to apply dilution factor</t>
        </r>
      </text>
    </comment>
    <comment ref="L9" authorId="0">
      <text>
        <r>
          <rPr>
            <b/>
            <sz val="10"/>
            <color indexed="81"/>
            <rFont val="Tahoma"/>
            <family val="2"/>
          </rPr>
          <t>cflmep:</t>
        </r>
        <r>
          <rPr>
            <sz val="10"/>
            <color indexed="81"/>
            <rFont val="Tahoma"/>
            <family val="2"/>
          </rPr>
          <t xml:space="preserve">
Need to apply dilution factor</t>
        </r>
      </text>
    </comment>
  </commentList>
</comments>
</file>

<file path=xl/comments2.xml><?xml version="1.0" encoding="utf-8"?>
<comments xmlns="http://schemas.openxmlformats.org/spreadsheetml/2006/main">
  <authors>
    <author>c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c:</t>
        </r>
        <r>
          <rPr>
            <sz val="8"/>
            <color indexed="81"/>
            <rFont val="Tahoma"/>
            <family val="2"/>
          </rPr>
          <t xml:space="preserve">
Bunsen CO2 at 20oC</t>
        </r>
      </text>
    </comment>
  </commentList>
</comments>
</file>

<file path=xl/comments3.xml><?xml version="1.0" encoding="utf-8"?>
<comments xmlns="http://schemas.openxmlformats.org/spreadsheetml/2006/main">
  <authors>
    <author>c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>c:</t>
        </r>
        <r>
          <rPr>
            <sz val="8"/>
            <color indexed="81"/>
            <rFont val="Tahoma"/>
            <family val="2"/>
          </rPr>
          <t xml:space="preserve">
Bunsen CO2 at 20oC</t>
        </r>
      </text>
    </comment>
  </commentList>
</comments>
</file>

<file path=xl/comments4.xml><?xml version="1.0" encoding="utf-8"?>
<comments xmlns="http://schemas.openxmlformats.org/spreadsheetml/2006/main">
  <authors>
    <author>cflmep</author>
  </authors>
  <commentList>
    <comment ref="P23" authorId="0">
      <text>
        <r>
          <rPr>
            <b/>
            <sz val="10"/>
            <color indexed="81"/>
            <rFont val="Tahoma"/>
            <family val="2"/>
          </rPr>
          <t>cflmep:</t>
        </r>
        <r>
          <rPr>
            <sz val="10"/>
            <color indexed="81"/>
            <rFont val="Tahoma"/>
            <family val="2"/>
          </rPr>
          <t xml:space="preserve">
Need to apply dilution factor</t>
        </r>
      </text>
    </comment>
  </commentList>
</comments>
</file>

<file path=xl/sharedStrings.xml><?xml version="1.0" encoding="utf-8"?>
<sst xmlns="http://schemas.openxmlformats.org/spreadsheetml/2006/main" count="1756" uniqueCount="209">
  <si>
    <t>Incubation temperature</t>
  </si>
  <si>
    <r>
      <t>Total 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O-N (ng/g soil) evolved </t>
    </r>
  </si>
  <si>
    <t>Jar</t>
  </si>
  <si>
    <t>rep</t>
  </si>
  <si>
    <r>
      <t>V</t>
    </r>
    <r>
      <rPr>
        <vertAlign val="subscript"/>
        <sz val="10"/>
        <color theme="1"/>
        <rFont val="Calibri"/>
        <family val="2"/>
        <scheme val="minor"/>
      </rPr>
      <t xml:space="preserve">soil
</t>
    </r>
    <r>
      <rPr>
        <sz val="10"/>
        <color theme="1"/>
        <rFont val="Calibri"/>
        <family val="2"/>
        <scheme val="minor"/>
      </rPr>
      <t>(mL)</t>
    </r>
  </si>
  <si>
    <t>Soil moisture in sample (mL)</t>
  </si>
  <si>
    <t>Solution 
added (mL)</t>
  </si>
  <si>
    <r>
      <t>V</t>
    </r>
    <r>
      <rPr>
        <vertAlign val="subscript"/>
        <sz val="10"/>
        <rFont val="Calibri"/>
        <family val="2"/>
        <scheme val="minor"/>
      </rPr>
      <t>water</t>
    </r>
    <r>
      <rPr>
        <sz val="10"/>
        <rFont val="Calibri"/>
        <family val="2"/>
        <scheme val="minor"/>
      </rPr>
      <t xml:space="preserve">
(mL)</t>
    </r>
  </si>
  <si>
    <r>
      <t>V</t>
    </r>
    <r>
      <rPr>
        <vertAlign val="subscript"/>
        <sz val="10"/>
        <color theme="1"/>
        <rFont val="Calibri"/>
        <family val="2"/>
        <scheme val="minor"/>
      </rPr>
      <t>flask</t>
    </r>
    <r>
      <rPr>
        <sz val="10"/>
        <color theme="1"/>
        <rFont val="Calibri"/>
        <family val="2"/>
        <scheme val="minor"/>
      </rPr>
      <t xml:space="preserve">
(mL)</t>
    </r>
  </si>
  <si>
    <r>
      <t>V</t>
    </r>
    <r>
      <rPr>
        <vertAlign val="subscript"/>
        <sz val="10"/>
        <rFont val="Calibri"/>
        <family val="2"/>
        <scheme val="minor"/>
      </rPr>
      <t>headspace</t>
    </r>
    <r>
      <rPr>
        <sz val="10"/>
        <rFont val="Calibri"/>
        <family val="2"/>
        <scheme val="minor"/>
      </rPr>
      <t xml:space="preserve">
(mL)</t>
    </r>
  </si>
  <si>
    <t>t
(mins)</t>
  </si>
  <si>
    <r>
      <t>C(N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O)
(uL 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 L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</si>
  <si>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r>
      <t>V(N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
(uL)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</si>
  <si>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</t>
    </r>
    <r>
      <rPr>
        <b/>
        <vertAlign val="subscript"/>
        <sz val="10"/>
        <color theme="1"/>
        <rFont val="Calibri"/>
        <family val="2"/>
        <scheme val="minor"/>
      </rPr>
      <t>60</t>
    </r>
    <r>
      <rPr>
        <b/>
        <sz val="10"/>
        <color theme="1"/>
        <rFont val="Calibri"/>
        <family val="2"/>
        <scheme val="minor"/>
      </rPr>
      <t xml:space="preserve">
(ngN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</si>
  <si>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</t>
    </r>
    <r>
      <rPr>
        <b/>
        <vertAlign val="subscript"/>
        <sz val="10"/>
        <color theme="1"/>
        <rFont val="Calibri"/>
        <family val="2"/>
        <scheme val="minor"/>
      </rPr>
      <t>120</t>
    </r>
    <r>
      <rPr>
        <b/>
        <sz val="10"/>
        <color theme="1"/>
        <rFont val="Calibri"/>
        <family val="2"/>
        <scheme val="minor"/>
      </rPr>
      <t xml:space="preserve">
(ngN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</si>
  <si>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</t>
    </r>
    <r>
      <rPr>
        <b/>
        <vertAlign val="subscript"/>
        <sz val="10"/>
        <color theme="1"/>
        <rFont val="Calibri"/>
        <family val="2"/>
        <scheme val="minor"/>
      </rPr>
      <t>180</t>
    </r>
    <r>
      <rPr>
        <b/>
        <sz val="10"/>
        <color theme="1"/>
        <rFont val="Calibri"/>
        <family val="2"/>
        <scheme val="minor"/>
      </rPr>
      <t xml:space="preserve">
(ngN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</si>
  <si>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</t>
    </r>
    <r>
      <rPr>
        <b/>
        <vertAlign val="subscript"/>
        <sz val="10"/>
        <color theme="1"/>
        <rFont val="Calibri"/>
        <family val="2"/>
        <scheme val="minor"/>
      </rPr>
      <t>240</t>
    </r>
    <r>
      <rPr>
        <b/>
        <sz val="10"/>
        <color theme="1"/>
        <rFont val="Calibri"/>
        <family val="2"/>
        <scheme val="minor"/>
      </rPr>
      <t xml:space="preserve">
(ngN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</si>
  <si>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t>R2</t>
  </si>
  <si>
    <t>Slope/min</t>
  </si>
  <si>
    <t>CO2 in solution is approximately constant from low pH to about pH 6.</t>
  </si>
  <si>
    <r>
      <t>Bunsen absorption coefficient (@ 12</t>
    </r>
    <r>
      <rPr>
        <b/>
        <sz val="10"/>
        <color indexed="10"/>
        <rFont val="Calibri"/>
        <family val="2"/>
      </rPr>
      <t>°C)</t>
    </r>
  </si>
  <si>
    <t>Pre-incubation</t>
  </si>
  <si>
    <t>OH added</t>
  </si>
  <si>
    <t>Measured CO2-C @240 hours (ngCO2-C g-1)</t>
  </si>
  <si>
    <t>Predicted CO2-C
(ngCO2-C g-1)</t>
  </si>
  <si>
    <t>Rate of CO2 evolved (measured)
ug C h-1</t>
  </si>
  <si>
    <t>Rate of CO2 evolved (predicted)
ug C h-1</t>
  </si>
  <si>
    <t>24/40</t>
  </si>
  <si>
    <t>40/48</t>
  </si>
  <si>
    <t>48/32</t>
  </si>
  <si>
    <r>
      <t>Rate of 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 evolved
ng 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O-N g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 xml:space="preserve"> h</t>
    </r>
    <r>
      <rPr>
        <vertAlign val="superscript"/>
        <sz val="10"/>
        <color theme="1"/>
        <rFont val="Calibri"/>
        <family val="2"/>
        <scheme val="minor"/>
      </rPr>
      <t>-1</t>
    </r>
  </si>
  <si>
    <t>Average of Rate of N2O evolved</t>
  </si>
  <si>
    <t>(N2O +N2)</t>
  </si>
  <si>
    <t>N2O/(N2O+N2)</t>
  </si>
  <si>
    <t>pH</t>
  </si>
  <si>
    <t>EC</t>
  </si>
  <si>
    <t>N2O evolved</t>
  </si>
  <si>
    <t>CO2 evolved</t>
  </si>
  <si>
    <t>NO3-</t>
  </si>
  <si>
    <t>NH4</t>
  </si>
  <si>
    <t>DON</t>
  </si>
  <si>
    <t>DOC</t>
  </si>
  <si>
    <t>Pre-DEA</t>
  </si>
  <si>
    <t>Post DEA</t>
  </si>
  <si>
    <t>Difference</t>
  </si>
  <si>
    <t>EC
(mS)</t>
  </si>
  <si>
    <t>Pre minus post</t>
  </si>
  <si>
    <t>Post minus pre</t>
  </si>
  <si>
    <t>Headspace CO2
(ug)</t>
    <phoneticPr fontId="46" type="noConversion"/>
  </si>
  <si>
    <t>calculated differently</t>
    <phoneticPr fontId="46" type="noConversion"/>
  </si>
  <si>
    <t>Headspace CO2-C (ng g-1[or ml...])</t>
  </si>
  <si>
    <t>Allows for 5ml extract</t>
    <phoneticPr fontId="46" type="noConversion"/>
  </si>
  <si>
    <t>Soil moisture
wet wt</t>
  </si>
  <si>
    <t>Soil moisture
Dry wt</t>
  </si>
  <si>
    <t>wet/dry</t>
  </si>
  <si>
    <t>MC%
(sampling)</t>
  </si>
  <si>
    <t>Wet
soil wt</t>
  </si>
  <si>
    <t>Dry
soil wt</t>
  </si>
  <si>
    <t>Soil water
(mL)</t>
  </si>
  <si>
    <t>#</t>
  </si>
  <si>
    <t>Soil</t>
  </si>
  <si>
    <t>Rep</t>
  </si>
  <si>
    <t>Wet soil wgt
(g)</t>
  </si>
  <si>
    <t>DWE</t>
  </si>
  <si>
    <t>KOH
(ml of 1M)</t>
  </si>
  <si>
    <t>KCl
(ml of 0.1M)</t>
  </si>
  <si>
    <t>Water
(ml)</t>
  </si>
  <si>
    <t>OH added
(meq/100 g soil)</t>
  </si>
  <si>
    <t>Solution
pH</t>
  </si>
  <si>
    <r>
      <t>Rate of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 evolved
(ng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O-N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 xml:space="preserve"> h</t>
    </r>
    <r>
      <rPr>
        <b/>
        <vertAlign val="superscript"/>
        <sz val="10"/>
        <color theme="1"/>
        <rFont val="Calibri"/>
        <family val="2"/>
        <scheme val="minor"/>
      </rPr>
      <t>-1)</t>
    </r>
  </si>
  <si>
    <r>
      <t>Rate of CO</t>
    </r>
    <r>
      <rPr>
        <b/>
        <vertAlign val="subscript"/>
        <sz val="10"/>
        <color theme="1"/>
        <rFont val="Calibri"/>
        <family val="2"/>
        <scheme val="minor"/>
      </rPr>
      <t xml:space="preserve">2 </t>
    </r>
    <r>
      <rPr>
        <b/>
        <sz val="10"/>
        <color theme="1"/>
        <rFont val="Calibri"/>
        <family val="2"/>
        <scheme val="minor"/>
      </rPr>
      <t>evolved
(ug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-C g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 xml:space="preserve"> h</t>
    </r>
    <r>
      <rPr>
        <b/>
        <vertAlign val="superscript"/>
        <sz val="10"/>
        <color theme="1"/>
        <rFont val="Calibri"/>
        <family val="2"/>
        <scheme val="minor"/>
      </rPr>
      <t>-1</t>
    </r>
    <r>
      <rPr>
        <b/>
        <sz val="10"/>
        <color theme="1"/>
        <rFont val="Calibri"/>
        <family val="2"/>
        <scheme val="minor"/>
      </rPr>
      <t>)</t>
    </r>
  </si>
  <si>
    <r>
      <t>NO</t>
    </r>
    <r>
      <rPr>
        <b/>
        <vertAlign val="subscript"/>
        <sz val="10"/>
        <color indexed="8"/>
        <rFont val="Calibri"/>
        <family val="2"/>
      </rPr>
      <t>3</t>
    </r>
    <r>
      <rPr>
        <b/>
        <vertAlign val="superscript"/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 xml:space="preserve">
remaining</t>
    </r>
  </si>
  <si>
    <t>NH4
remaining</t>
  </si>
  <si>
    <t>DOC
remaining</t>
  </si>
  <si>
    <t>MTT No Till</t>
  </si>
  <si>
    <t>a</t>
  </si>
  <si>
    <t>b</t>
  </si>
  <si>
    <t>c</t>
  </si>
  <si>
    <t>d</t>
  </si>
  <si>
    <t>Time</t>
  </si>
  <si>
    <t>Acetylene</t>
  </si>
  <si>
    <t>+</t>
  </si>
  <si>
    <t>-</t>
  </si>
  <si>
    <t>e</t>
  </si>
  <si>
    <t>f</t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</si>
  <si>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 evolved
(ppm)</t>
    </r>
  </si>
  <si>
    <r>
      <t>CO</t>
    </r>
    <r>
      <rPr>
        <b/>
        <vertAlign val="subscript"/>
        <sz val="10"/>
        <color theme="1"/>
        <rFont val="Calibri"/>
        <family val="2"/>
        <scheme val="minor"/>
      </rPr>
      <t xml:space="preserve">2 </t>
    </r>
    <r>
      <rPr>
        <b/>
        <sz val="10"/>
        <color theme="1"/>
        <rFont val="Calibri"/>
        <family val="2"/>
        <scheme val="minor"/>
      </rPr>
      <t>evolved
(ppm)</t>
    </r>
  </si>
  <si>
    <t>NH4
(ppm)</t>
  </si>
  <si>
    <r>
      <t>NO</t>
    </r>
    <r>
      <rPr>
        <b/>
        <vertAlign val="subscript"/>
        <sz val="10"/>
        <color indexed="8"/>
        <rFont val="Calibri"/>
        <family val="2"/>
      </rPr>
      <t>3</t>
    </r>
    <r>
      <rPr>
        <b/>
        <vertAlign val="superscript"/>
        <sz val="10"/>
        <color indexed="8"/>
        <rFont val="Calibri"/>
        <family val="2"/>
      </rPr>
      <t>-</t>
    </r>
    <r>
      <rPr>
        <b/>
        <sz val="10"/>
        <color indexed="8"/>
        <rFont val="Calibri"/>
        <family val="2"/>
      </rPr>
      <t xml:space="preserve">
(ppm)</t>
    </r>
  </si>
  <si>
    <t>DOC
(ppm)</t>
  </si>
  <si>
    <t>DON
(ppm)</t>
  </si>
  <si>
    <t>DON
remaining</t>
  </si>
  <si>
    <t>Tube+cap+slurry
(g)</t>
  </si>
  <si>
    <t>Tube+cap
(g)</t>
  </si>
  <si>
    <t>ASSAY</t>
  </si>
  <si>
    <r>
      <t>50ug NO</t>
    </r>
    <r>
      <rPr>
        <b/>
        <vertAlign val="subscript"/>
        <sz val="10"/>
        <color theme="1"/>
        <rFont val="Cambria"/>
        <family val="1"/>
        <scheme val="major"/>
      </rPr>
      <t>3</t>
    </r>
    <r>
      <rPr>
        <b/>
        <vertAlign val="superscript"/>
        <sz val="10"/>
        <color theme="1"/>
        <rFont val="Calibri"/>
        <family val="2"/>
        <scheme val="minor"/>
      </rPr>
      <t>-</t>
    </r>
    <r>
      <rPr>
        <b/>
        <sz val="10"/>
        <color theme="1"/>
        <rFont val="Calibri"/>
        <family val="2"/>
        <scheme val="minor"/>
      </rPr>
      <t>-N/g soil</t>
    </r>
  </si>
  <si>
    <r>
      <t>=1060ug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-N/21.2g soil (DWE)</t>
    </r>
  </si>
  <si>
    <r>
      <t>Add 1060ug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 in 5mL</t>
    </r>
  </si>
  <si>
    <r>
      <t>= concentration of 1060/5 = ug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-N/ml</t>
    </r>
  </si>
  <si>
    <r>
      <t>= 212ug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-N/mL</t>
    </r>
  </si>
  <si>
    <r>
      <t>=212mg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-N/L</t>
    </r>
  </si>
  <si>
    <r>
      <t>=0.212g NO</t>
    </r>
    <r>
      <rPr>
        <vertAlign val="subscript"/>
        <sz val="10"/>
        <color theme="1"/>
        <rFont val="Calibri"/>
        <family val="2"/>
        <scheme val="minor"/>
      </rPr>
      <t>3</t>
    </r>
    <r>
      <rPr>
        <vertAlign val="superscript"/>
        <sz val="10"/>
        <color theme="1"/>
        <rFont val="Calibri"/>
        <family val="2"/>
        <scheme val="minor"/>
      </rPr>
      <t>-</t>
    </r>
    <r>
      <rPr>
        <sz val="10"/>
        <color theme="1"/>
        <rFont val="Calibri"/>
        <family val="2"/>
        <scheme val="minor"/>
      </rPr>
      <t>-N/L</t>
    </r>
  </si>
  <si>
    <r>
      <t>MW (KNO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 = 101.1g/mol</t>
    </r>
  </si>
  <si>
    <t>MW (N) = 14.01g/mol</t>
  </si>
  <si>
    <t>= (101.1g/mol/14.01g/mol) x 0.212g/L</t>
  </si>
  <si>
    <r>
      <t>= 1.53g KNO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/L</t>
    </r>
  </si>
  <si>
    <t>average particle density</t>
  </si>
  <si>
    <t>Bunsen absorption coefficient</t>
  </si>
  <si>
    <t>Standard atmospheric pressure</t>
  </si>
  <si>
    <t>Mass of 1 mole N2O gas</t>
  </si>
  <si>
    <t>Universal gas constant</t>
  </si>
  <si>
    <t>OH added</t>
    <phoneticPr fontId="46" type="noConversion"/>
  </si>
  <si>
    <t>Predicted CO2-C
(ngCO2-C g-1)</t>
    <phoneticPr fontId="46" type="noConversion"/>
  </si>
  <si>
    <t>Measured CO2-C @240 hours (ngCO2-C g-1)</t>
    <phoneticPr fontId="46" type="noConversion"/>
  </si>
  <si>
    <r>
      <t>Rate of CO2 evolved</t>
    </r>
    <r>
      <rPr>
        <sz val="10"/>
        <color indexed="8"/>
        <rFont val="Calibri"/>
        <family val="2"/>
      </rPr>
      <t xml:space="preserve"> (measured)</t>
    </r>
    <r>
      <rPr>
        <sz val="10"/>
        <color theme="1"/>
        <rFont val="Calibri"/>
        <family val="2"/>
        <scheme val="minor"/>
      </rPr>
      <t xml:space="preserve">
ug C h</t>
    </r>
    <r>
      <rPr>
        <vertAlign val="superscript"/>
        <sz val="10"/>
        <color theme="1"/>
        <rFont val="Calibri"/>
        <family val="2"/>
        <scheme val="minor"/>
      </rPr>
      <t>-1</t>
    </r>
    <phoneticPr fontId="46" type="noConversion"/>
  </si>
  <si>
    <r>
      <t>Rate of CO2 evolved</t>
    </r>
    <r>
      <rPr>
        <sz val="10"/>
        <color indexed="8"/>
        <rFont val="Calibri"/>
        <family val="2"/>
      </rPr>
      <t xml:space="preserve"> (predicted)</t>
    </r>
    <r>
      <rPr>
        <sz val="10"/>
        <color theme="1"/>
        <rFont val="Calibri"/>
        <family val="2"/>
        <scheme val="minor"/>
      </rPr>
      <t xml:space="preserve">
ug C h</t>
    </r>
    <r>
      <rPr>
        <vertAlign val="superscript"/>
        <sz val="10"/>
        <color theme="1"/>
        <rFont val="Calibri"/>
        <family val="2"/>
        <scheme val="minor"/>
      </rPr>
      <t>-1</t>
    </r>
    <phoneticPr fontId="46" type="noConversion"/>
  </si>
  <si>
    <t>Pre-incubation</t>
    <phoneticPr fontId="46" type="noConversion"/>
  </si>
  <si>
    <t>Acetylene</t>
    <phoneticPr fontId="46" type="noConversion"/>
  </si>
  <si>
    <t>pH</t>
    <phoneticPr fontId="46" type="noConversion"/>
  </si>
  <si>
    <t>PV=nRT</t>
  </si>
  <si>
    <t>R</t>
  </si>
  <si>
    <t>V/n=RT/P</t>
  </si>
  <si>
    <t>T (20 degrees)</t>
  </si>
  <si>
    <t>P</t>
  </si>
  <si>
    <t>V/n</t>
  </si>
  <si>
    <t>pH for CO2 calculations</t>
    <phoneticPr fontId="46" type="noConversion"/>
  </si>
  <si>
    <t>pH for CO2</t>
    <phoneticPr fontId="46" type="noConversion"/>
  </si>
  <si>
    <t>CO2-C
(ngCO2-C g-1)</t>
    <phoneticPr fontId="46" type="noConversion"/>
  </si>
  <si>
    <t>Accounting for dissolved CO2 via acidification</t>
  </si>
  <si>
    <t>% difference</t>
    <phoneticPr fontId="46" type="noConversion"/>
  </si>
  <si>
    <t>Measured</t>
    <phoneticPr fontId="46" type="noConversion"/>
  </si>
  <si>
    <t>New values predicted based on measured</t>
    <phoneticPr fontId="46" type="noConversion"/>
  </si>
  <si>
    <t>Rate of CO2 evolved
ug C h-1</t>
    <phoneticPr fontId="46" type="noConversion"/>
  </si>
  <si>
    <t>Original pred. @ 240</t>
    <phoneticPr fontId="46" type="noConversion"/>
  </si>
  <si>
    <t>Original</t>
    <phoneticPr fontId="46" type="noConversion"/>
  </si>
  <si>
    <t>Higher pH increases the concentration of HCO3- in solution, increasing the total CO2 dissolved.</t>
  </si>
  <si>
    <t>Ka1</t>
  </si>
  <si>
    <t>H2CO3 to HCO3-</t>
  </si>
  <si>
    <t>Mass of 1 mole CO2 gas</t>
  </si>
  <si>
    <t>Ka2</t>
  </si>
  <si>
    <t>HCO3- to (CO3)2-</t>
  </si>
  <si>
    <t>Total CO2 = ([CO2aq]/[H+]^2) * ([H+]^2 + [H+]*Ka1 + Ka1*Ka2)</t>
  </si>
  <si>
    <t>Units of concentration for CO2 do not matter for this formula, as they are carried through the calculations.</t>
  </si>
  <si>
    <t xml:space="preserve">Total CO2-C (ng/g soil) evolved </t>
  </si>
  <si>
    <t>Weight
soil wt</t>
  </si>
  <si>
    <t>Moisture in soil
(mL)</t>
  </si>
  <si>
    <t>[H+]</t>
  </si>
  <si>
    <r>
      <t>C(CO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
(uL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L</t>
    </r>
    <r>
      <rPr>
        <vertAlign val="superscript"/>
        <sz val="10"/>
        <color theme="1"/>
        <rFont val="Calibri"/>
        <family val="2"/>
        <scheme val="minor"/>
      </rPr>
      <t>-1</t>
    </r>
    <r>
      <rPr>
        <sz val="10"/>
        <color theme="1"/>
        <rFont val="Calibri"/>
        <family val="2"/>
        <scheme val="minor"/>
      </rPr>
      <t>)</t>
    </r>
  </si>
  <si>
    <t>C(CO2aq)
(uL CO2 L-1)</t>
  </si>
  <si>
    <t>Total C(CO2aq,
 HCO3-aq)
(uL CO2 L-1)</t>
  </si>
  <si>
    <t>V(CO2)
(uL)</t>
  </si>
  <si>
    <t>CO2-C
(ngCO2-C g-1)</t>
  </si>
  <si>
    <r>
      <t>Rate of CO2 evolved
ug C h</t>
    </r>
    <r>
      <rPr>
        <vertAlign val="superscript"/>
        <sz val="10"/>
        <color theme="1"/>
        <rFont val="Calibri"/>
        <family val="2"/>
        <scheme val="minor"/>
      </rPr>
      <t>-1</t>
    </r>
  </si>
  <si>
    <t>mL unfiltered extract</t>
  </si>
  <si>
    <t>mL 2N HCl</t>
  </si>
  <si>
    <t>mL headspace in 50mL Schott bottle</t>
  </si>
  <si>
    <t>Rep1</t>
  </si>
  <si>
    <t>Rep2</t>
  </si>
  <si>
    <t>Rep3</t>
  </si>
  <si>
    <t>Mean</t>
  </si>
  <si>
    <t>Headspace
(mL)</t>
  </si>
  <si>
    <t>Headspace conc. (ppm)</t>
  </si>
  <si>
    <t>Headspace CO2
(mg)</t>
  </si>
  <si>
    <t>Std</t>
  </si>
  <si>
    <t>Lab Air</t>
  </si>
  <si>
    <t>Intercept</t>
  </si>
  <si>
    <t>Slope</t>
  </si>
  <si>
    <t>Tube+cap+dried slurry
(g)</t>
  </si>
  <si>
    <t>Soil weight</t>
  </si>
  <si>
    <t>N2O</t>
  </si>
  <si>
    <t>CO2</t>
  </si>
  <si>
    <t>QC 001</t>
  </si>
  <si>
    <t>QC 002</t>
  </si>
  <si>
    <t>QC 003</t>
  </si>
  <si>
    <t>QC 004</t>
  </si>
  <si>
    <t>QC 005</t>
  </si>
  <si>
    <t>QC 006</t>
  </si>
  <si>
    <t>QC 007</t>
  </si>
  <si>
    <t>QC 008</t>
  </si>
  <si>
    <t>QC 009</t>
  </si>
  <si>
    <t>QC 010</t>
  </si>
  <si>
    <t>QC 011</t>
  </si>
  <si>
    <t>QC 012</t>
  </si>
  <si>
    <t>Original</t>
  </si>
  <si>
    <t>Diluted</t>
  </si>
  <si>
    <t>Factor</t>
  </si>
  <si>
    <t>Analyte</t>
  </si>
  <si>
    <t>7mL N2 added to each vial</t>
  </si>
  <si>
    <t>Row Labels</t>
  </si>
  <si>
    <t>Column Labels</t>
  </si>
  <si>
    <t>16/24</t>
  </si>
  <si>
    <t>StdDev pH</t>
  </si>
  <si>
    <t>StdDev N2O</t>
  </si>
  <si>
    <t>StdDev of NO3-</t>
  </si>
  <si>
    <t>StdDev of NH4</t>
  </si>
  <si>
    <t>StdDev of DON</t>
  </si>
  <si>
    <t>StdDev of DOC</t>
  </si>
  <si>
    <t>Average</t>
  </si>
  <si>
    <t>SEM</t>
  </si>
  <si>
    <t>Grand Total</t>
  </si>
  <si>
    <t>Total</t>
  </si>
  <si>
    <t>Dissolved CO2-C (ng g-1)</t>
  </si>
  <si>
    <t>T1</t>
  </si>
  <si>
    <t>V N2O (ul)</t>
  </si>
  <si>
    <t>N2O-N ng g-1</t>
  </si>
  <si>
    <t>StdDev of N2O-N ng g-1</t>
  </si>
  <si>
    <t>StdDev of Total</t>
  </si>
  <si>
    <t>N2O-N240
(ngN2O-N g-1)</t>
  </si>
  <si>
    <t>Average of N2O-N240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</si>
</sst>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49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0"/>
      <name val="Calibri"/>
      <family val="2"/>
    </font>
    <font>
      <b/>
      <u/>
      <sz val="10"/>
      <color theme="1"/>
      <name val="Calibri"/>
      <family val="2"/>
      <scheme val="minor"/>
    </font>
    <font>
      <b/>
      <vertAlign val="subscript"/>
      <sz val="10"/>
      <color theme="1"/>
      <name val="Cambria"/>
      <family val="1"/>
      <scheme val="maj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rgb="FF444444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/>
      <sz val="10"/>
      <color indexed="8"/>
      <name val="Calibri"/>
      <family val="2"/>
    </font>
    <font>
      <sz val="8"/>
      <name val="Verdana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E4E68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/>
      <right/>
      <top style="thin">
        <color indexed="65"/>
      </top>
      <bottom style="thin">
        <color indexed="8"/>
      </bottom>
      <diagonal/>
    </border>
    <border>
      <left/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1" fillId="0" borderId="0"/>
    <xf numFmtId="0" fontId="29" fillId="0" borderId="0" applyNumberFormat="0" applyFill="0" applyBorder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25" applyNumberFormat="0" applyAlignment="0" applyProtection="0"/>
    <xf numFmtId="0" fontId="37" fillId="9" borderId="26" applyNumberFormat="0" applyAlignment="0" applyProtection="0"/>
    <xf numFmtId="0" fontId="38" fillId="9" borderId="25" applyNumberFormat="0" applyAlignment="0" applyProtection="0"/>
    <xf numFmtId="0" fontId="39" fillId="0" borderId="27" applyNumberFormat="0" applyFill="0" applyAlignment="0" applyProtection="0"/>
    <xf numFmtId="0" fontId="40" fillId="10" borderId="28" applyNumberFormat="0" applyAlignment="0" applyProtection="0"/>
    <xf numFmtId="0" fontId="41" fillId="0" borderId="0" applyNumberFormat="0" applyFill="0" applyBorder="0" applyAlignment="0" applyProtection="0"/>
    <xf numFmtId="0" fontId="1" fillId="11" borderId="2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</cellStyleXfs>
  <cellXfs count="346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Border="1"/>
    <xf numFmtId="164" fontId="5" fillId="0" borderId="0" xfId="0" applyNumberFormat="1" applyFont="1" applyBorder="1"/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165" fontId="2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3" fillId="0" borderId="0" xfId="0" applyFont="1"/>
    <xf numFmtId="0" fontId="5" fillId="0" borderId="0" xfId="0" applyFont="1" applyFill="1" applyBorder="1"/>
    <xf numFmtId="0" fontId="4" fillId="0" borderId="0" xfId="0" applyFont="1" applyBorder="1"/>
    <xf numFmtId="0" fontId="7" fillId="0" borderId="0" xfId="0" applyFont="1"/>
    <xf numFmtId="0" fontId="5" fillId="0" borderId="0" xfId="0" quotePrefix="1" applyFont="1"/>
    <xf numFmtId="0" fontId="5" fillId="0" borderId="0" xfId="0" applyFont="1"/>
    <xf numFmtId="0" fontId="7" fillId="0" borderId="0" xfId="0" applyFont="1" applyFill="1" applyBorder="1"/>
    <xf numFmtId="164" fontId="1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/>
    </xf>
    <xf numFmtId="0" fontId="5" fillId="3" borderId="11" xfId="0" applyFont="1" applyFill="1" applyBorder="1" applyAlignment="1"/>
    <xf numFmtId="0" fontId="5" fillId="4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164" fontId="12" fillId="0" borderId="0" xfId="0" applyNumberFormat="1" applyFont="1"/>
    <xf numFmtId="164" fontId="2" fillId="0" borderId="0" xfId="0" applyNumberFormat="1" applyFont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2" fontId="17" fillId="0" borderId="7" xfId="0" applyNumberFormat="1" applyFont="1" applyBorder="1" applyAlignment="1">
      <alignment horizontal="left"/>
    </xf>
    <xf numFmtId="0" fontId="4" fillId="0" borderId="12" xfId="0" applyFont="1" applyBorder="1"/>
    <xf numFmtId="0" fontId="4" fillId="0" borderId="13" xfId="0" applyFont="1" applyFill="1" applyBorder="1"/>
    <xf numFmtId="165" fontId="2" fillId="2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0" fillId="0" borderId="0" xfId="0" applyFont="1"/>
    <xf numFmtId="2" fontId="4" fillId="0" borderId="0" xfId="0" applyNumberFormat="1" applyFont="1"/>
    <xf numFmtId="0" fontId="18" fillId="0" borderId="0" xfId="0" applyFont="1" applyAlignment="1"/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1" fontId="6" fillId="0" borderId="0" xfId="0" applyNumberFormat="1" applyFont="1"/>
    <xf numFmtId="0" fontId="22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2" fontId="5" fillId="0" borderId="0" xfId="0" applyNumberFormat="1" applyFont="1" applyBorder="1" applyAlignment="1">
      <alignment horizontal="left"/>
    </xf>
    <xf numFmtId="11" fontId="4" fillId="0" borderId="0" xfId="0" applyNumberFormat="1" applyFont="1"/>
    <xf numFmtId="1" fontId="2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2" fontId="1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4" fillId="0" borderId="0" xfId="0" applyNumberFormat="1" applyFont="1"/>
    <xf numFmtId="0" fontId="20" fillId="0" borderId="0" xfId="0" applyFont="1" applyBorder="1"/>
    <xf numFmtId="0" fontId="12" fillId="0" borderId="0" xfId="0" applyFont="1" applyBorder="1"/>
    <xf numFmtId="0" fontId="4" fillId="0" borderId="1" xfId="0" applyFont="1" applyFill="1" applyBorder="1" applyAlignment="1">
      <alignment horizontal="center" wrapText="1"/>
    </xf>
    <xf numFmtId="1" fontId="4" fillId="0" borderId="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2" fontId="17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2" fillId="0" borderId="0" xfId="0" applyFont="1"/>
    <xf numFmtId="0" fontId="4" fillId="0" borderId="11" xfId="0" applyFont="1" applyBorder="1"/>
    <xf numFmtId="1" fontId="4" fillId="0" borderId="11" xfId="0" applyNumberFormat="1" applyFont="1" applyBorder="1"/>
    <xf numFmtId="164" fontId="12" fillId="0" borderId="11" xfId="0" applyNumberFormat="1" applyFont="1" applyBorder="1"/>
    <xf numFmtId="164" fontId="2" fillId="0" borderId="11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2" fontId="17" fillId="0" borderId="20" xfId="0" applyNumberFormat="1" applyFont="1" applyBorder="1" applyAlignment="1">
      <alignment horizontal="left"/>
    </xf>
    <xf numFmtId="0" fontId="12" fillId="0" borderId="11" xfId="0" applyFont="1" applyBorder="1"/>
    <xf numFmtId="0" fontId="4" fillId="0" borderId="21" xfId="0" applyFont="1" applyFill="1" applyBorder="1"/>
    <xf numFmtId="165" fontId="2" fillId="2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2" fontId="4" fillId="0" borderId="11" xfId="0" applyNumberFormat="1" applyFont="1" applyBorder="1"/>
    <xf numFmtId="11" fontId="4" fillId="0" borderId="11" xfId="0" applyNumberFormat="1" applyFont="1" applyBorder="1"/>
    <xf numFmtId="164" fontId="2" fillId="0" borderId="11" xfId="0" applyNumberFormat="1" applyFont="1" applyBorder="1" applyAlignment="1">
      <alignment horizontal="center"/>
    </xf>
    <xf numFmtId="2" fontId="0" fillId="0" borderId="0" xfId="0" applyNumberFormat="1"/>
    <xf numFmtId="0" fontId="5" fillId="0" borderId="0" xfId="0" applyFont="1"/>
    <xf numFmtId="0" fontId="5" fillId="0" borderId="0" xfId="0" applyFont="1"/>
    <xf numFmtId="165" fontId="28" fillId="0" borderId="2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left"/>
    </xf>
    <xf numFmtId="2" fontId="18" fillId="0" borderId="7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6" xfId="0" applyFont="1" applyBorder="1"/>
    <xf numFmtId="0" fontId="4" fillId="0" borderId="19" xfId="0" applyFont="1" applyBorder="1"/>
    <xf numFmtId="0" fontId="4" fillId="0" borderId="7" xfId="0" applyFont="1" applyBorder="1"/>
    <xf numFmtId="0" fontId="4" fillId="0" borderId="20" xfId="0" applyFont="1" applyBorder="1"/>
    <xf numFmtId="1" fontId="4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/>
    <xf numFmtId="166" fontId="4" fillId="0" borderId="0" xfId="0" applyNumberFormat="1" applyFont="1" applyFill="1" applyBorder="1" applyAlignment="1">
      <alignment horizontal="left"/>
    </xf>
    <xf numFmtId="0" fontId="6" fillId="0" borderId="31" xfId="0" applyFont="1" applyBorder="1" applyAlignment="1">
      <alignment horizontal="center" wrapText="1"/>
    </xf>
    <xf numFmtId="0" fontId="3" fillId="0" borderId="0" xfId="0" applyFont="1"/>
    <xf numFmtId="0" fontId="20" fillId="36" borderId="0" xfId="0" applyFont="1" applyFill="1"/>
    <xf numFmtId="164" fontId="12" fillId="0" borderId="2" xfId="0" applyNumberFormat="1" applyFont="1" applyBorder="1" applyAlignment="1">
      <alignment horizontal="center"/>
    </xf>
    <xf numFmtId="2" fontId="12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6" fillId="36" borderId="0" xfId="0" applyFont="1" applyFill="1"/>
    <xf numFmtId="0" fontId="4" fillId="36" borderId="0" xfId="0" applyFont="1" applyFill="1"/>
    <xf numFmtId="0" fontId="6" fillId="36" borderId="2" xfId="0" applyFont="1" applyFill="1" applyBorder="1" applyAlignment="1">
      <alignment horizontal="center" wrapText="1"/>
    </xf>
    <xf numFmtId="0" fontId="4" fillId="36" borderId="2" xfId="0" applyFont="1" applyFill="1" applyBorder="1" applyAlignment="1">
      <alignment horizontal="center"/>
    </xf>
    <xf numFmtId="1" fontId="4" fillId="36" borderId="2" xfId="0" applyNumberFormat="1" applyFont="1" applyFill="1" applyBorder="1" applyAlignment="1">
      <alignment horizontal="center"/>
    </xf>
    <xf numFmtId="2" fontId="4" fillId="36" borderId="0" xfId="0" applyNumberFormat="1" applyFont="1" applyFill="1"/>
    <xf numFmtId="0" fontId="4" fillId="36" borderId="15" xfId="0" applyFont="1" applyFill="1" applyBorder="1" applyAlignment="1">
      <alignment horizontal="center"/>
    </xf>
    <xf numFmtId="1" fontId="4" fillId="36" borderId="15" xfId="0" applyNumberFormat="1" applyFont="1" applyFill="1" applyBorder="1" applyAlignment="1">
      <alignment horizontal="center"/>
    </xf>
    <xf numFmtId="0" fontId="4" fillId="36" borderId="4" xfId="0" applyFont="1" applyFill="1" applyBorder="1" applyAlignment="1">
      <alignment horizontal="center"/>
    </xf>
    <xf numFmtId="1" fontId="4" fillId="36" borderId="4" xfId="0" applyNumberFormat="1" applyFont="1" applyFill="1" applyBorder="1" applyAlignment="1">
      <alignment horizontal="center"/>
    </xf>
    <xf numFmtId="11" fontId="4" fillId="0" borderId="7" xfId="0" applyNumberFormat="1" applyFont="1" applyBorder="1"/>
    <xf numFmtId="0" fontId="4" fillId="0" borderId="9" xfId="0" applyFont="1" applyBorder="1"/>
    <xf numFmtId="11" fontId="4" fillId="0" borderId="20" xfId="0" applyNumberFormat="1" applyFont="1" applyBorder="1"/>
    <xf numFmtId="2" fontId="17" fillId="0" borderId="0" xfId="0" applyNumberFormat="1" applyFont="1" applyBorder="1" applyAlignment="1">
      <alignment horizontal="left"/>
    </xf>
    <xf numFmtId="0" fontId="6" fillId="0" borderId="34" xfId="0" applyFont="1" applyFill="1" applyBorder="1" applyAlignment="1">
      <alignment horizontal="right" wrapText="1"/>
    </xf>
    <xf numFmtId="2" fontId="17" fillId="0" borderId="35" xfId="0" applyNumberFormat="1" applyFont="1" applyBorder="1" applyAlignment="1">
      <alignment horizontal="left"/>
    </xf>
    <xf numFmtId="2" fontId="17" fillId="0" borderId="36" xfId="0" applyNumberFormat="1" applyFont="1" applyBorder="1" applyAlignment="1">
      <alignment horizontal="left"/>
    </xf>
    <xf numFmtId="0" fontId="3" fillId="37" borderId="32" xfId="0" applyFont="1" applyFill="1" applyBorder="1"/>
    <xf numFmtId="0" fontId="3" fillId="37" borderId="13" xfId="0" applyFont="1" applyFill="1" applyBorder="1"/>
    <xf numFmtId="0" fontId="3" fillId="37" borderId="9" xfId="0" applyFont="1" applyFill="1" applyBorder="1" applyAlignment="1">
      <alignment horizontal="right" wrapText="1"/>
    </xf>
    <xf numFmtId="0" fontId="4" fillId="37" borderId="37" xfId="0" applyFont="1" applyFill="1" applyBorder="1"/>
    <xf numFmtId="0" fontId="4" fillId="37" borderId="31" xfId="0" applyFont="1" applyFill="1" applyBorder="1"/>
    <xf numFmtId="0" fontId="3" fillId="39" borderId="1" xfId="0" applyFont="1" applyFill="1" applyBorder="1" applyAlignment="1">
      <alignment horizontal="center"/>
    </xf>
    <xf numFmtId="2" fontId="20" fillId="0" borderId="0" xfId="0" applyNumberFormat="1" applyFont="1"/>
    <xf numFmtId="164" fontId="20" fillId="3" borderId="0" xfId="0" applyNumberFormat="1" applyFont="1" applyFill="1" applyAlignment="1">
      <alignment horizontal="center"/>
    </xf>
    <xf numFmtId="164" fontId="20" fillId="4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center"/>
    </xf>
    <xf numFmtId="2" fontId="12" fillId="0" borderId="0" xfId="0" applyNumberFormat="1" applyFont="1"/>
    <xf numFmtId="164" fontId="12" fillId="3" borderId="0" xfId="0" applyNumberFormat="1" applyFont="1" applyFill="1" applyAlignment="1">
      <alignment horizontal="center"/>
    </xf>
    <xf numFmtId="164" fontId="12" fillId="4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0" fontId="20" fillId="0" borderId="7" xfId="0" applyFont="1" applyBorder="1"/>
    <xf numFmtId="0" fontId="12" fillId="0" borderId="7" xfId="0" applyFont="1" applyBorder="1"/>
    <xf numFmtId="0" fontId="6" fillId="40" borderId="0" xfId="0" applyFont="1" applyFill="1"/>
    <xf numFmtId="0" fontId="4" fillId="40" borderId="0" xfId="0" applyFont="1" applyFill="1"/>
    <xf numFmtId="0" fontId="47" fillId="36" borderId="34" xfId="0" applyFont="1" applyFill="1" applyBorder="1" applyAlignment="1">
      <alignment horizontal="right" wrapText="1"/>
    </xf>
    <xf numFmtId="2" fontId="48" fillId="36" borderId="35" xfId="0" applyNumberFormat="1" applyFont="1" applyFill="1" applyBorder="1" applyAlignment="1">
      <alignment horizontal="right"/>
    </xf>
    <xf numFmtId="2" fontId="48" fillId="36" borderId="36" xfId="0" applyNumberFormat="1" applyFont="1" applyFill="1" applyBorder="1" applyAlignment="1">
      <alignment horizontal="right"/>
    </xf>
    <xf numFmtId="0" fontId="47" fillId="40" borderId="2" xfId="0" applyFont="1" applyFill="1" applyBorder="1" applyAlignment="1">
      <alignment horizontal="right"/>
    </xf>
    <xf numFmtId="0" fontId="47" fillId="40" borderId="2" xfId="0" applyFont="1" applyFill="1" applyBorder="1"/>
    <xf numFmtId="0" fontId="47" fillId="36" borderId="2" xfId="0" applyFont="1" applyFill="1" applyBorder="1" applyAlignment="1">
      <alignment wrapText="1"/>
    </xf>
    <xf numFmtId="0" fontId="47" fillId="36" borderId="17" xfId="0" applyFont="1" applyFill="1" applyBorder="1"/>
    <xf numFmtId="0" fontId="47" fillId="36" borderId="36" xfId="0" applyFont="1" applyFill="1" applyBorder="1"/>
    <xf numFmtId="0" fontId="47" fillId="36" borderId="4" xfId="0" applyFont="1" applyFill="1" applyBorder="1"/>
    <xf numFmtId="2" fontId="48" fillId="36" borderId="4" xfId="0" applyNumberFormat="1" applyFont="1" applyFill="1" applyBorder="1" applyAlignment="1">
      <alignment horizontal="right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wrapText="1"/>
    </xf>
    <xf numFmtId="0" fontId="4" fillId="0" borderId="0" xfId="0" applyFont="1" applyFill="1"/>
    <xf numFmtId="0" fontId="47" fillId="0" borderId="0" xfId="0" applyFont="1" applyFill="1" applyBorder="1"/>
    <xf numFmtId="0" fontId="47" fillId="0" borderId="0" xfId="0" applyFont="1" applyFill="1" applyBorder="1" applyAlignment="1">
      <alignment wrapText="1"/>
    </xf>
    <xf numFmtId="0" fontId="47" fillId="36" borderId="36" xfId="0" applyFont="1" applyFill="1" applyBorder="1" applyAlignment="1">
      <alignment horizontal="right" wrapText="1"/>
    </xf>
    <xf numFmtId="0" fontId="4" fillId="0" borderId="38" xfId="0" applyFont="1" applyBorder="1"/>
    <xf numFmtId="0" fontId="4" fillId="0" borderId="39" xfId="0" applyFont="1" applyBorder="1"/>
    <xf numFmtId="2" fontId="0" fillId="0" borderId="39" xfId="0" applyNumberFormat="1" applyBorder="1"/>
    <xf numFmtId="2" fontId="0" fillId="0" borderId="40" xfId="0" applyNumberFormat="1" applyBorder="1"/>
    <xf numFmtId="0" fontId="4" fillId="0" borderId="41" xfId="0" applyFont="1" applyBorder="1"/>
    <xf numFmtId="2" fontId="0" fillId="0" borderId="6" xfId="0" applyNumberFormat="1" applyBorder="1"/>
    <xf numFmtId="0" fontId="4" fillId="0" borderId="42" xfId="0" applyFont="1" applyBorder="1"/>
    <xf numFmtId="2" fontId="0" fillId="0" borderId="11" xfId="0" applyNumberFormat="1" applyBorder="1"/>
    <xf numFmtId="2" fontId="0" fillId="0" borderId="19" xfId="0" applyNumberFormat="1" applyBorder="1"/>
    <xf numFmtId="1" fontId="12" fillId="0" borderId="0" xfId="0" applyNumberFormat="1" applyFont="1"/>
    <xf numFmtId="0" fontId="3" fillId="0" borderId="45" xfId="0" pivotButton="1" applyFont="1" applyBorder="1" applyAlignment="1">
      <alignment wrapText="1"/>
    </xf>
    <xf numFmtId="0" fontId="3" fillId="0" borderId="49" xfId="0" applyFont="1" applyBorder="1"/>
    <xf numFmtId="0" fontId="3" fillId="0" borderId="46" xfId="0" applyFont="1" applyBorder="1"/>
    <xf numFmtId="0" fontId="3" fillId="0" borderId="45" xfId="0" applyFont="1" applyBorder="1"/>
    <xf numFmtId="0" fontId="3" fillId="0" borderId="50" xfId="0" applyFont="1" applyBorder="1"/>
    <xf numFmtId="0" fontId="3" fillId="0" borderId="47" xfId="0" applyFont="1" applyBorder="1"/>
    <xf numFmtId="0" fontId="3" fillId="0" borderId="45" xfId="0" applyFont="1" applyBorder="1" applyAlignment="1">
      <alignment horizontal="left"/>
    </xf>
    <xf numFmtId="2" fontId="3" fillId="0" borderId="45" xfId="0" applyNumberFormat="1" applyFont="1" applyBorder="1"/>
    <xf numFmtId="2" fontId="3" fillId="0" borderId="50" xfId="0" applyNumberFormat="1" applyFont="1" applyBorder="1"/>
    <xf numFmtId="2" fontId="3" fillId="0" borderId="47" xfId="0" applyNumberFormat="1" applyFont="1" applyBorder="1"/>
    <xf numFmtId="0" fontId="3" fillId="0" borderId="43" xfId="0" applyFont="1" applyBorder="1" applyAlignment="1">
      <alignment horizontal="left" indent="1"/>
    </xf>
    <xf numFmtId="2" fontId="3" fillId="0" borderId="43" xfId="0" applyNumberFormat="1" applyFont="1" applyBorder="1"/>
    <xf numFmtId="2" fontId="3" fillId="0" borderId="51" xfId="0" applyNumberFormat="1" applyFont="1" applyBorder="1"/>
    <xf numFmtId="2" fontId="3" fillId="0" borderId="48" xfId="0" applyNumberFormat="1" applyFont="1" applyBorder="1"/>
    <xf numFmtId="0" fontId="3" fillId="0" borderId="43" xfId="0" applyFont="1" applyBorder="1" applyAlignment="1">
      <alignment horizontal="left"/>
    </xf>
    <xf numFmtId="0" fontId="3" fillId="0" borderId="43" xfId="0" applyNumberFormat="1" applyFont="1" applyBorder="1"/>
    <xf numFmtId="0" fontId="3" fillId="0" borderId="51" xfId="0" applyNumberFormat="1" applyFont="1" applyBorder="1"/>
    <xf numFmtId="0" fontId="3" fillId="0" borderId="48" xfId="0" applyNumberFormat="1" applyFont="1" applyBorder="1"/>
    <xf numFmtId="0" fontId="3" fillId="0" borderId="44" xfId="0" applyFont="1" applyBorder="1" applyAlignment="1">
      <alignment horizontal="left" indent="1"/>
    </xf>
    <xf numFmtId="2" fontId="3" fillId="0" borderId="44" xfId="0" applyNumberFormat="1" applyFont="1" applyBorder="1"/>
    <xf numFmtId="2" fontId="3" fillId="0" borderId="52" xfId="0" applyNumberFormat="1" applyFont="1" applyBorder="1"/>
    <xf numFmtId="2" fontId="3" fillId="0" borderId="53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2" fontId="0" fillId="0" borderId="0" xfId="0" applyNumberFormat="1" applyBorder="1" applyAlignment="1">
      <alignment horizontal="left" inden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45" xfId="0" pivotButton="1" applyFont="1" applyBorder="1"/>
    <xf numFmtId="0" fontId="3" fillId="0" borderId="43" xfId="0" applyFont="1" applyBorder="1"/>
    <xf numFmtId="1" fontId="3" fillId="0" borderId="45" xfId="0" applyNumberFormat="1" applyFont="1" applyBorder="1" applyAlignment="1">
      <alignment horizontal="left"/>
    </xf>
    <xf numFmtId="165" fontId="3" fillId="0" borderId="45" xfId="0" applyNumberFormat="1" applyFont="1" applyBorder="1"/>
    <xf numFmtId="165" fontId="3" fillId="0" borderId="50" xfId="0" applyNumberFormat="1" applyFont="1" applyBorder="1"/>
    <xf numFmtId="165" fontId="3" fillId="0" borderId="43" xfId="0" applyNumberFormat="1" applyFont="1" applyBorder="1"/>
    <xf numFmtId="165" fontId="3" fillId="0" borderId="51" xfId="0" applyNumberFormat="1" applyFont="1" applyBorder="1"/>
    <xf numFmtId="1" fontId="3" fillId="0" borderId="43" xfId="0" applyNumberFormat="1" applyFont="1" applyBorder="1" applyAlignment="1">
      <alignment horizontal="left"/>
    </xf>
    <xf numFmtId="165" fontId="3" fillId="0" borderId="44" xfId="0" applyNumberFormat="1" applyFont="1" applyBorder="1"/>
    <xf numFmtId="165" fontId="3" fillId="0" borderId="52" xfId="0" applyNumberFormat="1" applyFont="1" applyBorder="1"/>
    <xf numFmtId="165" fontId="3" fillId="0" borderId="47" xfId="0" applyNumberFormat="1" applyFont="1" applyBorder="1"/>
    <xf numFmtId="165" fontId="3" fillId="0" borderId="48" xfId="0" applyNumberFormat="1" applyFont="1" applyBorder="1"/>
    <xf numFmtId="165" fontId="3" fillId="0" borderId="53" xfId="0" applyNumberFormat="1" applyFont="1" applyBorder="1"/>
    <xf numFmtId="0" fontId="3" fillId="0" borderId="45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46" xfId="0" applyFont="1" applyBorder="1" applyAlignment="1">
      <alignment wrapText="1"/>
    </xf>
    <xf numFmtId="0" fontId="18" fillId="0" borderId="0" xfId="0" applyFont="1" applyAlignment="1">
      <alignment horizontal="left"/>
    </xf>
    <xf numFmtId="0" fontId="0" fillId="0" borderId="54" xfId="0" applyNumberFormat="1" applyBorder="1"/>
    <xf numFmtId="0" fontId="0" fillId="0" borderId="43" xfId="0" applyBorder="1" applyAlignment="1">
      <alignment horizontal="left"/>
    </xf>
    <xf numFmtId="0" fontId="0" fillId="0" borderId="55" xfId="0" applyNumberFormat="1" applyBorder="1"/>
    <xf numFmtId="0" fontId="0" fillId="0" borderId="56" xfId="0" applyBorder="1" applyAlignment="1">
      <alignment horizontal="left"/>
    </xf>
    <xf numFmtId="0" fontId="0" fillId="0" borderId="57" xfId="0" applyBorder="1"/>
    <xf numFmtId="0" fontId="0" fillId="0" borderId="43" xfId="0" applyNumberFormat="1" applyBorder="1"/>
    <xf numFmtId="0" fontId="0" fillId="0" borderId="56" xfId="0" applyNumberFormat="1" applyBorder="1"/>
    <xf numFmtId="0" fontId="0" fillId="0" borderId="58" xfId="0" applyBorder="1"/>
    <xf numFmtId="0" fontId="0" fillId="0" borderId="59" xfId="0" applyBorder="1"/>
    <xf numFmtId="0" fontId="0" fillId="0" borderId="59" xfId="0" applyNumberFormat="1" applyBorder="1"/>
    <xf numFmtId="0" fontId="0" fillId="0" borderId="51" xfId="0" applyNumberFormat="1" applyBorder="1"/>
    <xf numFmtId="0" fontId="0" fillId="0" borderId="60" xfId="0" applyNumberFormat="1" applyBorder="1"/>
    <xf numFmtId="0" fontId="3" fillId="0" borderId="0" xfId="0" applyFont="1" applyAlignment="1">
      <alignment wrapText="1"/>
    </xf>
    <xf numFmtId="1" fontId="0" fillId="0" borderId="59" xfId="0" applyNumberFormat="1" applyBorder="1"/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indent="1"/>
    </xf>
    <xf numFmtId="165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61" xfId="0" applyBorder="1"/>
    <xf numFmtId="0" fontId="0" fillId="0" borderId="61" xfId="0" pivotButton="1" applyBorder="1"/>
    <xf numFmtId="0" fontId="0" fillId="0" borderId="61" xfId="0" applyNumberFormat="1" applyBorder="1"/>
    <xf numFmtId="0" fontId="3" fillId="0" borderId="61" xfId="0" applyFont="1" applyBorder="1"/>
    <xf numFmtId="0" fontId="3" fillId="0" borderId="58" xfId="0" applyFont="1" applyBorder="1"/>
    <xf numFmtId="0" fontId="3" fillId="0" borderId="57" xfId="0" applyFont="1" applyBorder="1"/>
    <xf numFmtId="0" fontId="3" fillId="0" borderId="59" xfId="0" applyFont="1" applyBorder="1"/>
    <xf numFmtId="0" fontId="3" fillId="0" borderId="62" xfId="0" applyFont="1" applyBorder="1"/>
    <xf numFmtId="1" fontId="3" fillId="0" borderId="61" xfId="0" applyNumberFormat="1" applyFont="1" applyBorder="1" applyAlignment="1">
      <alignment horizontal="left"/>
    </xf>
    <xf numFmtId="2" fontId="3" fillId="0" borderId="61" xfId="0" applyNumberFormat="1" applyFont="1" applyBorder="1"/>
    <xf numFmtId="2" fontId="3" fillId="0" borderId="59" xfId="0" applyNumberFormat="1" applyFont="1" applyBorder="1"/>
    <xf numFmtId="2" fontId="3" fillId="0" borderId="62" xfId="0" applyNumberFormat="1" applyFont="1" applyBorder="1"/>
    <xf numFmtId="1" fontId="3" fillId="0" borderId="44" xfId="0" applyNumberFormat="1" applyFont="1" applyBorder="1" applyAlignment="1">
      <alignment horizontal="left"/>
    </xf>
    <xf numFmtId="0" fontId="3" fillId="0" borderId="61" xfId="0" pivotButton="1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58" xfId="0" applyFont="1" applyBorder="1" applyAlignment="1">
      <alignment wrapText="1"/>
    </xf>
    <xf numFmtId="165" fontId="3" fillId="0" borderId="61" xfId="0" applyNumberFormat="1" applyFont="1" applyBorder="1"/>
    <xf numFmtId="165" fontId="3" fillId="0" borderId="59" xfId="0" applyNumberFormat="1" applyFont="1" applyBorder="1"/>
    <xf numFmtId="1" fontId="0" fillId="0" borderId="61" xfId="0" applyNumberFormat="1" applyBorder="1"/>
    <xf numFmtId="1" fontId="0" fillId="0" borderId="63" xfId="0" applyNumberFormat="1" applyBorder="1"/>
    <xf numFmtId="0" fontId="0" fillId="0" borderId="61" xfId="0" applyBorder="1" applyAlignment="1">
      <alignment horizontal="left"/>
    </xf>
    <xf numFmtId="0" fontId="0" fillId="0" borderId="63" xfId="0" applyNumberFormat="1" applyBorder="1"/>
    <xf numFmtId="0" fontId="0" fillId="0" borderId="63" xfId="0" applyBorder="1"/>
    <xf numFmtId="0" fontId="7" fillId="0" borderId="0" xfId="0" applyFont="1" applyFill="1" applyBorder="1" applyAlignment="1">
      <alignment horizontal="left" wrapText="1"/>
    </xf>
    <xf numFmtId="2" fontId="18" fillId="0" borderId="0" xfId="0" applyNumberFormat="1" applyFont="1" applyBorder="1" applyAlignment="1">
      <alignment horizontal="left"/>
    </xf>
    <xf numFmtId="0" fontId="0" fillId="0" borderId="43" xfId="0" applyBorder="1" applyAlignment="1">
      <alignment horizontal="left" indent="1"/>
    </xf>
    <xf numFmtId="2" fontId="0" fillId="0" borderId="43" xfId="0" applyNumberFormat="1" applyBorder="1"/>
    <xf numFmtId="2" fontId="0" fillId="0" borderId="51" xfId="0" applyNumberFormat="1" applyBorder="1"/>
    <xf numFmtId="0" fontId="18" fillId="0" borderId="0" xfId="0" applyFont="1" applyAlignment="1">
      <alignment horizontal="left"/>
    </xf>
    <xf numFmtId="0" fontId="5" fillId="38" borderId="3" xfId="0" applyFont="1" applyFill="1" applyBorder="1"/>
    <xf numFmtId="0" fontId="5" fillId="38" borderId="37" xfId="0" applyFont="1" applyFill="1" applyBorder="1"/>
    <xf numFmtId="0" fontId="5" fillId="38" borderId="31" xfId="0" applyFont="1" applyFill="1" applyBorder="1"/>
    <xf numFmtId="0" fontId="5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5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7">
    <dxf>
      <numFmt numFmtId="2" formatCode="0.00"/>
    </dxf>
    <dxf>
      <numFmt numFmtId="2" formatCode="0.00"/>
    </dxf>
    <dxf>
      <numFmt numFmtId="2" formatCode="0.00"/>
    </dxf>
    <dxf>
      <font>
        <sz val="10"/>
      </font>
    </dxf>
    <dxf>
      <alignment wrapText="1" readingOrder="0"/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alignment wrapText="1" readingOrder="0"/>
    </dxf>
    <dxf>
      <alignment wrapText="1" readingOrder="0"/>
    </dxf>
    <dxf>
      <alignment wrapText="1" readingOrder="0"/>
    </dxf>
    <dxf>
      <numFmt numFmtId="165" formatCode="0.0"/>
    </dxf>
    <dxf>
      <numFmt numFmtId="165" formatCode="0.0"/>
    </dxf>
    <dxf>
      <font>
        <sz val="10"/>
      </font>
    </dxf>
    <dxf>
      <numFmt numFmtId="2" formatCode="0.00"/>
    </dxf>
    <dxf>
      <alignment wrapText="1" readingOrder="0"/>
    </dxf>
    <dxf>
      <numFmt numFmtId="165" formatCode="0.0"/>
    </dxf>
    <dxf>
      <alignment wrapText="1" readingOrder="0"/>
    </dxf>
    <dxf>
      <font>
        <sz val="10"/>
      </font>
    </dxf>
    <dxf>
      <alignment wrapText="1" readingOrder="0"/>
    </dxf>
    <dxf>
      <alignment wrapText="1" readingOrder="0"/>
    </dxf>
    <dxf>
      <numFmt numFmtId="2" formatCode="0.00"/>
    </dxf>
    <dxf>
      <numFmt numFmtId="2" formatCode="0.00"/>
    </dxf>
    <dxf>
      <numFmt numFmtId="2" formatCode="0.00"/>
    </dxf>
    <dxf>
      <font>
        <sz val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6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'Pre DEA CO2'!$F$20</c:f>
              <c:strCache>
                <c:ptCount val="1"/>
                <c:pt idx="0">
                  <c:v>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CO2'!$G$19:$K$19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 DEA CO2'!$G$20:$K$20</c:f>
              <c:numCache>
                <c:formatCode>General</c:formatCode>
                <c:ptCount val="5"/>
                <c:pt idx="0">
                  <c:v>8187.4197511344864</c:v>
                </c:pt>
                <c:pt idx="1">
                  <c:v>14611.086071515274</c:v>
                </c:pt>
                <c:pt idx="2">
                  <c:v>25494.711469670059</c:v>
                </c:pt>
                <c:pt idx="3">
                  <c:v>19576.361524241929</c:v>
                </c:pt>
                <c:pt idx="4">
                  <c:v>21140.269764798824</c:v>
                </c:pt>
              </c:numCache>
            </c:numRef>
          </c:yVal>
        </c:ser>
        <c:ser>
          <c:idx val="1"/>
          <c:order val="1"/>
          <c:tx>
            <c:strRef>
              <c:f>'Pre DEA CO2'!$F$21</c:f>
              <c:strCache>
                <c:ptCount val="1"/>
                <c:pt idx="0">
                  <c:v>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CO2'!$G$19:$K$19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 DEA CO2'!$G$21:$K$21</c:f>
              <c:numCache>
                <c:formatCode>General</c:formatCode>
                <c:ptCount val="5"/>
                <c:pt idx="0">
                  <c:v>17452.301242818208</c:v>
                </c:pt>
                <c:pt idx="1">
                  <c:v>34393.041391898041</c:v>
                </c:pt>
                <c:pt idx="2">
                  <c:v>56641.758393054864</c:v>
                </c:pt>
                <c:pt idx="3">
                  <c:v>43653.35171011449</c:v>
                </c:pt>
                <c:pt idx="4">
                  <c:v>49329.1347949501</c:v>
                </c:pt>
              </c:numCache>
            </c:numRef>
          </c:yVal>
        </c:ser>
        <c:ser>
          <c:idx val="2"/>
          <c:order val="2"/>
          <c:tx>
            <c:strRef>
              <c:f>'Pre DEA CO2'!$F$22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CO2'!$G$19:$K$19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 DEA CO2'!$G$22:$K$22</c:f>
              <c:numCache>
                <c:formatCode>General</c:formatCode>
                <c:ptCount val="5"/>
                <c:pt idx="0">
                  <c:v>15394.128458529243</c:v>
                </c:pt>
                <c:pt idx="1">
                  <c:v>22974.517029968982</c:v>
                </c:pt>
                <c:pt idx="2">
                  <c:v>34063.397749347569</c:v>
                </c:pt>
                <c:pt idx="3">
                  <c:v>58629.961936996981</c:v>
                </c:pt>
                <c:pt idx="4">
                  <c:v>76753.564263630382</c:v>
                </c:pt>
              </c:numCache>
            </c:numRef>
          </c:yVal>
        </c:ser>
        <c:ser>
          <c:idx val="3"/>
          <c:order val="3"/>
          <c:tx>
            <c:strRef>
              <c:f>'Pre DEA CO2'!$F$23</c:f>
              <c:strCache>
                <c:ptCount val="1"/>
                <c:pt idx="0">
                  <c:v>20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CO2'!$G$19:$K$19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'Pre DEA CO2'!$G$23:$K$23</c:f>
              <c:numCache>
                <c:formatCode>General</c:formatCode>
                <c:ptCount val="5"/>
                <c:pt idx="0">
                  <c:v>13536.461556005212</c:v>
                </c:pt>
                <c:pt idx="1">
                  <c:v>11976.385410031558</c:v>
                </c:pt>
                <c:pt idx="2">
                  <c:v>8240.4037994969658</c:v>
                </c:pt>
                <c:pt idx="3">
                  <c:v>15745.040404840098</c:v>
                </c:pt>
                <c:pt idx="4">
                  <c:v>39168.032134769943</c:v>
                </c:pt>
              </c:numCache>
            </c:numRef>
          </c:yVal>
        </c:ser>
        <c:axId val="74179328"/>
        <c:axId val="74180864"/>
      </c:scatterChart>
      <c:valAx>
        <c:axId val="74179328"/>
        <c:scaling>
          <c:orientation val="minMax"/>
        </c:scaling>
        <c:axPos val="b"/>
        <c:numFmt formatCode="General" sourceLinked="1"/>
        <c:tickLblPos val="nextTo"/>
        <c:crossAx val="74180864"/>
        <c:crosses val="autoZero"/>
        <c:crossBetween val="midCat"/>
      </c:valAx>
      <c:valAx>
        <c:axId val="74180864"/>
        <c:scaling>
          <c:orientation val="minMax"/>
        </c:scaling>
        <c:axPos val="l"/>
        <c:majorGridlines/>
        <c:numFmt formatCode="General" sourceLinked="1"/>
        <c:tickLblPos val="nextTo"/>
        <c:crossAx val="7417932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NZ"/>
            </a:pPr>
            <a:r>
              <a:rPr lang="en-US"/>
              <a:t>pH7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+ acetylene</c:v>
          </c:tx>
          <c:spPr>
            <a:ln w="28575">
              <a:noFill/>
            </a:ln>
          </c:spPr>
          <c:xVal>
            <c:numRef>
              <c:f>'DEA summary'!$K$2:$O$2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summary'!$K$5:$O$5</c:f>
              <c:numCache>
                <c:formatCode>0.00</c:formatCode>
                <c:ptCount val="5"/>
                <c:pt idx="0">
                  <c:v>541.02723107531801</c:v>
                </c:pt>
                <c:pt idx="1">
                  <c:v>920.74874802015404</c:v>
                </c:pt>
                <c:pt idx="2">
                  <c:v>787.06709088212256</c:v>
                </c:pt>
                <c:pt idx="3">
                  <c:v>944.12349887042376</c:v>
                </c:pt>
                <c:pt idx="4">
                  <c:v>562.64650880115926</c:v>
                </c:pt>
              </c:numCache>
            </c:numRef>
          </c:yVal>
        </c:ser>
        <c:ser>
          <c:idx val="1"/>
          <c:order val="1"/>
          <c:tx>
            <c:v>-acetylene</c:v>
          </c:tx>
          <c:spPr>
            <a:ln w="28575">
              <a:noFill/>
            </a:ln>
          </c:spPr>
          <c:xVal>
            <c:numRef>
              <c:f>'DEA summary'!$K$2:$O$2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summary'!$K$10:$O$10</c:f>
              <c:numCache>
                <c:formatCode>0.00</c:formatCode>
                <c:ptCount val="5"/>
                <c:pt idx="0">
                  <c:v>53.881904080258153</c:v>
                </c:pt>
                <c:pt idx="1">
                  <c:v>56.08233495591935</c:v>
                </c:pt>
                <c:pt idx="2">
                  <c:v>63.805201106732689</c:v>
                </c:pt>
                <c:pt idx="3">
                  <c:v>82.512357083338472</c:v>
                </c:pt>
                <c:pt idx="4">
                  <c:v>50.971618372087427</c:v>
                </c:pt>
              </c:numCache>
            </c:numRef>
          </c:yVal>
        </c:ser>
        <c:axId val="80143488"/>
        <c:axId val="80145408"/>
      </c:scatterChart>
      <c:valAx>
        <c:axId val="80143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NZ"/>
                </a:pPr>
                <a:r>
                  <a:rPr lang="en-US"/>
                  <a:t>Time</a:t>
                </a:r>
              </a:p>
              <a:p>
                <a:pPr>
                  <a:defRPr lang="en-NZ"/>
                </a:pPr>
                <a:r>
                  <a:rPr lang="en-US"/>
                  <a:t>(h)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80145408"/>
        <c:crosses val="autoZero"/>
        <c:crossBetween val="midCat"/>
      </c:valAx>
      <c:valAx>
        <c:axId val="80145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NZ"/>
                </a:pPr>
                <a:r>
                  <a:rPr lang="en-US"/>
                  <a:t>Rate of N</a:t>
                </a:r>
                <a:r>
                  <a:rPr lang="en-US" baseline="-25000"/>
                  <a:t>2</a:t>
                </a:r>
                <a:r>
                  <a:rPr lang="en-US"/>
                  <a:t>O evolved
ng N</a:t>
                </a:r>
                <a:r>
                  <a:rPr lang="en-US" baseline="-25000"/>
                  <a:t>2</a:t>
                </a:r>
                <a:r>
                  <a:rPr lang="en-US"/>
                  <a:t>O-N g</a:t>
                </a:r>
                <a:r>
                  <a:rPr lang="en-US" baseline="30000"/>
                  <a:t>-1</a:t>
                </a:r>
                <a:r>
                  <a:rPr lang="en-US"/>
                  <a:t> h</a:t>
                </a:r>
                <a:r>
                  <a:rPr lang="en-US" baseline="30000"/>
                  <a:t>-1</a:t>
                </a:r>
              </a:p>
            </c:rich>
          </c:tx>
        </c:title>
        <c:numFmt formatCode="0.00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80143488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366" l="0.70000000000000162" r="0.70000000000000162" t="0.750000000000003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NZ"/>
            </a:pPr>
            <a:r>
              <a:rPr lang="en-US"/>
              <a:t>pH8.5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+ acetylene</c:v>
          </c:tx>
          <c:spPr>
            <a:ln w="28575">
              <a:noFill/>
            </a:ln>
          </c:spPr>
          <c:xVal>
            <c:numRef>
              <c:f>'DEA summary'!$K$2:$O$2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summary'!$K$6:$O$6</c:f>
              <c:numCache>
                <c:formatCode>0.00</c:formatCode>
                <c:ptCount val="5"/>
                <c:pt idx="0">
                  <c:v>34.175251380762411</c:v>
                </c:pt>
                <c:pt idx="1">
                  <c:v>3067.1995724174435</c:v>
                </c:pt>
                <c:pt idx="2">
                  <c:v>1914.8274470700951</c:v>
                </c:pt>
                <c:pt idx="3">
                  <c:v>1754.2157054115244</c:v>
                </c:pt>
                <c:pt idx="4">
                  <c:v>664.24578235008323</c:v>
                </c:pt>
              </c:numCache>
            </c:numRef>
          </c:yVal>
        </c:ser>
        <c:ser>
          <c:idx val="1"/>
          <c:order val="1"/>
          <c:tx>
            <c:v>- acetylene</c:v>
          </c:tx>
          <c:spPr>
            <a:ln w="28575">
              <a:noFill/>
            </a:ln>
          </c:spPr>
          <c:xVal>
            <c:numRef>
              <c:f>'DEA summary'!$K$2:$O$2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summary'!$K$11:$O$11</c:f>
              <c:numCache>
                <c:formatCode>0.00</c:formatCode>
                <c:ptCount val="5"/>
                <c:pt idx="0">
                  <c:v>12.704509025199265</c:v>
                </c:pt>
                <c:pt idx="1">
                  <c:v>20.191439987688394</c:v>
                </c:pt>
                <c:pt idx="2">
                  <c:v>10.41700111420581</c:v>
                </c:pt>
                <c:pt idx="3">
                  <c:v>24.709412191489871</c:v>
                </c:pt>
                <c:pt idx="4">
                  <c:v>21.222990365110146</c:v>
                </c:pt>
              </c:numCache>
            </c:numRef>
          </c:yVal>
        </c:ser>
        <c:axId val="73965568"/>
        <c:axId val="73967488"/>
      </c:scatterChart>
      <c:valAx>
        <c:axId val="73965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NZ"/>
                </a:pPr>
                <a:r>
                  <a:rPr lang="en-US"/>
                  <a:t>Time</a:t>
                </a:r>
              </a:p>
              <a:p>
                <a:pPr>
                  <a:defRPr lang="en-NZ"/>
                </a:pPr>
                <a:r>
                  <a:rPr lang="en-US"/>
                  <a:t>(h)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3967488"/>
        <c:crosses val="autoZero"/>
        <c:crossBetween val="midCat"/>
      </c:valAx>
      <c:valAx>
        <c:axId val="739674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NZ"/>
                </a:pPr>
                <a:r>
                  <a:rPr lang="en-US"/>
                  <a:t>Rate of N</a:t>
                </a:r>
                <a:r>
                  <a:rPr lang="en-US" baseline="-25000"/>
                  <a:t>2</a:t>
                </a:r>
                <a:r>
                  <a:rPr lang="en-US"/>
                  <a:t>O evolved
ng N</a:t>
                </a:r>
                <a:r>
                  <a:rPr lang="en-US" baseline="-25000"/>
                  <a:t>2</a:t>
                </a:r>
                <a:r>
                  <a:rPr lang="en-US"/>
                  <a:t>O-N g</a:t>
                </a:r>
                <a:r>
                  <a:rPr lang="en-US" baseline="30000"/>
                  <a:t>-1</a:t>
                </a:r>
                <a:r>
                  <a:rPr lang="en-US"/>
                  <a:t> h</a:t>
                </a:r>
                <a:r>
                  <a:rPr lang="en-US" baseline="30000"/>
                  <a:t>-1</a:t>
                </a:r>
              </a:p>
            </c:rich>
          </c:tx>
        </c:title>
        <c:numFmt formatCode="0.00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3965568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366" l="0.70000000000000162" r="0.70000000000000162" t="0.750000000000003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NZ"/>
            </a:pPr>
            <a:r>
              <a:rPr lang="en-US"/>
              <a:t>pH9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+ acetylene</c:v>
          </c:tx>
          <c:spPr>
            <a:ln w="28575">
              <a:noFill/>
            </a:ln>
          </c:spPr>
          <c:xVal>
            <c:numRef>
              <c:f>'DEA summary'!$K$2:$O$2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summary'!$K$7:$O$7</c:f>
              <c:numCache>
                <c:formatCode>0.00</c:formatCode>
                <c:ptCount val="5"/>
                <c:pt idx="0">
                  <c:v>0.20412911325077046</c:v>
                </c:pt>
                <c:pt idx="1">
                  <c:v>10.415512235905025</c:v>
                </c:pt>
                <c:pt idx="2">
                  <c:v>10.461537238410438</c:v>
                </c:pt>
                <c:pt idx="3">
                  <c:v>8.3118707394089348</c:v>
                </c:pt>
                <c:pt idx="4">
                  <c:v>64.80937309533472</c:v>
                </c:pt>
              </c:numCache>
            </c:numRef>
          </c:yVal>
        </c:ser>
        <c:ser>
          <c:idx val="1"/>
          <c:order val="1"/>
          <c:tx>
            <c:v>- acetylene</c:v>
          </c:tx>
          <c:spPr>
            <a:ln w="28575">
              <a:noFill/>
            </a:ln>
          </c:spPr>
          <c:xVal>
            <c:numRef>
              <c:f>'DEA summary'!$K$2:$O$2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summary'!$K$12:$O$12</c:f>
              <c:numCache>
                <c:formatCode>0.00</c:formatCode>
                <c:ptCount val="5"/>
                <c:pt idx="0">
                  <c:v>6.7466916241708572E-2</c:v>
                </c:pt>
                <c:pt idx="1">
                  <c:v>0.29433778750716183</c:v>
                </c:pt>
                <c:pt idx="2">
                  <c:v>0.46693909281236107</c:v>
                </c:pt>
                <c:pt idx="3">
                  <c:v>0.97182663782036671</c:v>
                </c:pt>
                <c:pt idx="4">
                  <c:v>27.897147512526221</c:v>
                </c:pt>
              </c:numCache>
            </c:numRef>
          </c:yVal>
        </c:ser>
        <c:axId val="80161408"/>
        <c:axId val="80179968"/>
      </c:scatterChart>
      <c:valAx>
        <c:axId val="80161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NZ"/>
                </a:pPr>
                <a:r>
                  <a:rPr lang="en-US"/>
                  <a:t>Time</a:t>
                </a:r>
              </a:p>
              <a:p>
                <a:pPr>
                  <a:defRPr lang="en-NZ"/>
                </a:pPr>
                <a:r>
                  <a:rPr lang="en-US"/>
                  <a:t>(h)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80179968"/>
        <c:crosses val="autoZero"/>
        <c:crossBetween val="midCat"/>
      </c:valAx>
      <c:valAx>
        <c:axId val="801799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NZ"/>
                </a:pPr>
                <a:r>
                  <a:rPr lang="en-US"/>
                  <a:t>Rate of N</a:t>
                </a:r>
                <a:r>
                  <a:rPr lang="en-US" baseline="-25000"/>
                  <a:t>2</a:t>
                </a:r>
                <a:r>
                  <a:rPr lang="en-US"/>
                  <a:t>O evolved
ng N</a:t>
                </a:r>
                <a:r>
                  <a:rPr lang="en-US" baseline="-25000"/>
                  <a:t>2</a:t>
                </a:r>
                <a:r>
                  <a:rPr lang="en-US"/>
                  <a:t>O-N g</a:t>
                </a:r>
                <a:r>
                  <a:rPr lang="en-US" baseline="30000"/>
                  <a:t>-1</a:t>
                </a:r>
                <a:r>
                  <a:rPr lang="en-US"/>
                  <a:t> h</a:t>
                </a:r>
                <a:r>
                  <a:rPr lang="en-US" baseline="30000"/>
                  <a:t>-1</a:t>
                </a:r>
              </a:p>
            </c:rich>
          </c:tx>
        </c:title>
        <c:numFmt formatCode="0.00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80161408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366" l="0.70000000000000162" r="0.700000000000001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NZ"/>
            </a:pPr>
            <a:r>
              <a:rPr lang="en-US"/>
              <a:t>N2O/(N2O+N2)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pH5.5</c:v>
          </c:tx>
          <c:spPr>
            <a:ln w="28575">
              <a:noFill/>
            </a:ln>
          </c:spPr>
          <c:xVal>
            <c:numRef>
              <c:f>'DEA summary'!$V$59:$Z$59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summary'!$V$60:$Z$60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0.97980237610310583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</c:ser>
        <c:ser>
          <c:idx val="1"/>
          <c:order val="1"/>
          <c:tx>
            <c:v>pH7</c:v>
          </c:tx>
          <c:spPr>
            <a:ln w="28575">
              <a:noFill/>
            </a:ln>
          </c:spPr>
          <c:xVal>
            <c:numRef>
              <c:f>'DEA summary'!$V$59:$Z$59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summary'!$V$61:$Z$61</c:f>
              <c:numCache>
                <c:formatCode>General</c:formatCode>
                <c:ptCount val="5"/>
                <c:pt idx="0">
                  <c:v>9.9591852286557259E-2</c:v>
                </c:pt>
                <c:pt idx="1">
                  <c:v>6.0909488149194613E-2</c:v>
                </c:pt>
                <c:pt idx="2">
                  <c:v>8.1067042245689142E-2</c:v>
                </c:pt>
                <c:pt idx="3">
                  <c:v>8.7395724375104109E-2</c:v>
                </c:pt>
                <c:pt idx="4">
                  <c:v>9.0592614678607963E-2</c:v>
                </c:pt>
              </c:numCache>
            </c:numRef>
          </c:yVal>
        </c:ser>
        <c:ser>
          <c:idx val="2"/>
          <c:order val="2"/>
          <c:tx>
            <c:v>pH8.5</c:v>
          </c:tx>
          <c:spPr>
            <a:ln w="28575">
              <a:noFill/>
            </a:ln>
          </c:spPr>
          <c:xVal>
            <c:numRef>
              <c:f>'DEA summary'!$V$59:$Z$59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summary'!$V$62:$Z$62</c:f>
              <c:numCache>
                <c:formatCode>General</c:formatCode>
                <c:ptCount val="5"/>
                <c:pt idx="0">
                  <c:v>0.37174588369965172</c:v>
                </c:pt>
                <c:pt idx="1">
                  <c:v>6.5830212579790865E-3</c:v>
                </c:pt>
                <c:pt idx="2">
                  <c:v>5.4401774583631608E-3</c:v>
                </c:pt>
                <c:pt idx="3">
                  <c:v>1.4085731940071332E-2</c:v>
                </c:pt>
                <c:pt idx="4">
                  <c:v>3.1950508274247211E-2</c:v>
                </c:pt>
              </c:numCache>
            </c:numRef>
          </c:yVal>
        </c:ser>
        <c:ser>
          <c:idx val="3"/>
          <c:order val="3"/>
          <c:tx>
            <c:v>pH9</c:v>
          </c:tx>
          <c:spPr>
            <a:ln w="28575">
              <a:noFill/>
            </a:ln>
          </c:spPr>
          <c:xVal>
            <c:numRef>
              <c:f>'DEA summary'!$V$59:$Z$59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summary'!$V$63:$Z$63</c:f>
              <c:numCache>
                <c:formatCode>General</c:formatCode>
                <c:ptCount val="5"/>
                <c:pt idx="0">
                  <c:v>0.3305109945724703</c:v>
                </c:pt>
                <c:pt idx="1">
                  <c:v>2.8259559476345449E-2</c:v>
                </c:pt>
                <c:pt idx="2">
                  <c:v>4.4633889090214568E-2</c:v>
                </c:pt>
                <c:pt idx="3">
                  <c:v>0.11692032615626001</c:v>
                </c:pt>
                <c:pt idx="4">
                  <c:v>0.43044927269223016</c:v>
                </c:pt>
              </c:numCache>
            </c:numRef>
          </c:yVal>
        </c:ser>
        <c:axId val="80215040"/>
        <c:axId val="80221312"/>
      </c:scatterChart>
      <c:valAx>
        <c:axId val="80215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NZ"/>
                </a:pPr>
                <a:r>
                  <a:rPr lang="en-US"/>
                  <a:t>Time</a:t>
                </a:r>
              </a:p>
              <a:p>
                <a:pPr>
                  <a:defRPr lang="en-NZ"/>
                </a:pPr>
                <a:r>
                  <a:rPr lang="en-US"/>
                  <a:t>(h)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80221312"/>
        <c:crosses val="autoZero"/>
        <c:crossBetween val="midCat"/>
      </c:valAx>
      <c:valAx>
        <c:axId val="802213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80215040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366" l="0.70000000000000162" r="0.70000000000000162" t="0.750000000000003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'Pre DEA CO2'!$F$13</c:f>
              <c:strCache>
                <c:ptCount val="1"/>
                <c:pt idx="0">
                  <c:v>16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CO2'!$G$12:$J$12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'Pre DEA CO2'!$G$13:$J$13</c:f>
              <c:numCache>
                <c:formatCode>General</c:formatCode>
                <c:ptCount val="4"/>
                <c:pt idx="0">
                  <c:v>8187.4197511344864</c:v>
                </c:pt>
                <c:pt idx="1">
                  <c:v>17452.301242818208</c:v>
                </c:pt>
                <c:pt idx="2">
                  <c:v>15394.128458529243</c:v>
                </c:pt>
                <c:pt idx="3">
                  <c:v>13536.461556005212</c:v>
                </c:pt>
              </c:numCache>
            </c:numRef>
          </c:yVal>
        </c:ser>
        <c:ser>
          <c:idx val="1"/>
          <c:order val="1"/>
          <c:tx>
            <c:strRef>
              <c:f>'Pre DEA CO2'!$F$14</c:f>
              <c:strCache>
                <c:ptCount val="1"/>
                <c:pt idx="0">
                  <c:v>24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CO2'!$G$12:$J$12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'Pre DEA CO2'!$G$14:$J$14</c:f>
              <c:numCache>
                <c:formatCode>General</c:formatCode>
                <c:ptCount val="4"/>
                <c:pt idx="0">
                  <c:v>14611.086071515274</c:v>
                </c:pt>
                <c:pt idx="1">
                  <c:v>34393.041391898041</c:v>
                </c:pt>
                <c:pt idx="2">
                  <c:v>22974.517029968982</c:v>
                </c:pt>
                <c:pt idx="3">
                  <c:v>11976.385410031558</c:v>
                </c:pt>
              </c:numCache>
            </c:numRef>
          </c:yVal>
        </c:ser>
        <c:ser>
          <c:idx val="2"/>
          <c:order val="2"/>
          <c:tx>
            <c:strRef>
              <c:f>'Pre DEA CO2'!$F$15</c:f>
              <c:strCache>
                <c:ptCount val="1"/>
                <c:pt idx="0">
                  <c:v>32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CO2'!$G$12:$J$12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'Pre DEA CO2'!$G$15:$J$15</c:f>
              <c:numCache>
                <c:formatCode>General</c:formatCode>
                <c:ptCount val="4"/>
                <c:pt idx="0">
                  <c:v>25494.711469670059</c:v>
                </c:pt>
                <c:pt idx="1">
                  <c:v>56641.758393054864</c:v>
                </c:pt>
                <c:pt idx="2">
                  <c:v>34063.397749347569</c:v>
                </c:pt>
                <c:pt idx="3">
                  <c:v>8240.4037994969658</c:v>
                </c:pt>
              </c:numCache>
            </c:numRef>
          </c:yVal>
        </c:ser>
        <c:ser>
          <c:idx val="3"/>
          <c:order val="3"/>
          <c:tx>
            <c:strRef>
              <c:f>'Pre DEA CO2'!$F$16</c:f>
              <c:strCache>
                <c:ptCount val="1"/>
                <c:pt idx="0">
                  <c:v>40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CO2'!$G$12:$J$12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'Pre DEA CO2'!$G$16:$J$16</c:f>
              <c:numCache>
                <c:formatCode>General</c:formatCode>
                <c:ptCount val="4"/>
                <c:pt idx="0">
                  <c:v>19576.361524241929</c:v>
                </c:pt>
                <c:pt idx="1">
                  <c:v>43653.35171011449</c:v>
                </c:pt>
                <c:pt idx="2">
                  <c:v>58629.961936996981</c:v>
                </c:pt>
                <c:pt idx="3">
                  <c:v>15745.040404840098</c:v>
                </c:pt>
              </c:numCache>
            </c:numRef>
          </c:yVal>
        </c:ser>
        <c:ser>
          <c:idx val="4"/>
          <c:order val="4"/>
          <c:tx>
            <c:strRef>
              <c:f>'Pre DEA CO2'!$F$17</c:f>
              <c:strCache>
                <c:ptCount val="1"/>
                <c:pt idx="0">
                  <c:v>48</c:v>
                </c:pt>
              </c:strCache>
            </c:strRef>
          </c:tx>
          <c:spPr>
            <a:ln w="28575">
              <a:noFill/>
            </a:ln>
          </c:spPr>
          <c:xVal>
            <c:numRef>
              <c:f>'Pre DEA CO2'!$G$12:$J$12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16</c:v>
                </c:pt>
                <c:pt idx="3">
                  <c:v>20</c:v>
                </c:pt>
              </c:numCache>
            </c:numRef>
          </c:xVal>
          <c:yVal>
            <c:numRef>
              <c:f>'Pre DEA CO2'!$G$17:$J$17</c:f>
              <c:numCache>
                <c:formatCode>General</c:formatCode>
                <c:ptCount val="4"/>
                <c:pt idx="0">
                  <c:v>21140.269764798824</c:v>
                </c:pt>
                <c:pt idx="1">
                  <c:v>49329.1347949501</c:v>
                </c:pt>
                <c:pt idx="2">
                  <c:v>76753.564263630382</c:v>
                </c:pt>
                <c:pt idx="3">
                  <c:v>39168.032134769943</c:v>
                </c:pt>
              </c:numCache>
            </c:numRef>
          </c:yVal>
        </c:ser>
        <c:axId val="74347264"/>
        <c:axId val="74348800"/>
      </c:scatterChart>
      <c:valAx>
        <c:axId val="74347264"/>
        <c:scaling>
          <c:orientation val="minMax"/>
        </c:scaling>
        <c:axPos val="b"/>
        <c:numFmt formatCode="General" sourceLinked="1"/>
        <c:tickLblPos val="nextTo"/>
        <c:crossAx val="74348800"/>
        <c:crosses val="autoZero"/>
        <c:crossBetween val="midCat"/>
      </c:valAx>
      <c:valAx>
        <c:axId val="74348800"/>
        <c:scaling>
          <c:orientation val="minMax"/>
        </c:scaling>
        <c:axPos val="l"/>
        <c:majorGridlines/>
        <c:numFmt formatCode="General" sourceLinked="1"/>
        <c:tickLblPos val="nextTo"/>
        <c:crossAx val="743472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902993401128513"/>
          <c:y val="3.2662311734359815E-2"/>
          <c:w val="0.86222496892741896"/>
          <c:h val="0.92666496302566559"/>
        </c:manualLayout>
      </c:layout>
      <c:scatterChart>
        <c:scatterStyle val="lineMarker"/>
        <c:ser>
          <c:idx val="0"/>
          <c:order val="0"/>
          <c:tx>
            <c:v>16 hours +</c:v>
          </c:tx>
          <c:xVal>
            <c:numRef>
              <c:f>'CO2 - predicted from measured'!$CA$9:$CA$12</c:f>
              <c:numCache>
                <c:formatCode>General</c:formatCode>
                <c:ptCount val="4"/>
                <c:pt idx="0" formatCode="0.00">
                  <c:v>4.79</c:v>
                </c:pt>
                <c:pt idx="1">
                  <c:v>6.52</c:v>
                </c:pt>
                <c:pt idx="2">
                  <c:v>8.2100000000000009</c:v>
                </c:pt>
                <c:pt idx="3">
                  <c:v>8.85</c:v>
                </c:pt>
              </c:numCache>
            </c:numRef>
          </c:xVal>
          <c:yVal>
            <c:numRef>
              <c:f>'CO2 - predicted from measured'!$BS$9:$BS$12</c:f>
              <c:numCache>
                <c:formatCode>0.00</c:formatCode>
                <c:ptCount val="4"/>
                <c:pt idx="0">
                  <c:v>7587.9230401531795</c:v>
                </c:pt>
                <c:pt idx="1">
                  <c:v>19118.493498662949</c:v>
                </c:pt>
                <c:pt idx="2">
                  <c:v>25788.436351952812</c:v>
                </c:pt>
                <c:pt idx="3">
                  <c:v>16290.541199392494</c:v>
                </c:pt>
              </c:numCache>
            </c:numRef>
          </c:yVal>
        </c:ser>
        <c:ser>
          <c:idx val="1"/>
          <c:order val="1"/>
          <c:tx>
            <c:v>16 Hours -</c:v>
          </c:tx>
          <c:xVal>
            <c:numRef>
              <c:f>'CO2 - predicted from measured'!$CA$13:$CA$16</c:f>
              <c:numCache>
                <c:formatCode>General</c:formatCode>
                <c:ptCount val="4"/>
                <c:pt idx="0">
                  <c:v>4.74</c:v>
                </c:pt>
                <c:pt idx="1">
                  <c:v>6.62</c:v>
                </c:pt>
                <c:pt idx="2">
                  <c:v>8.1900000000000013</c:v>
                </c:pt>
                <c:pt idx="3">
                  <c:v>8.7100000000000009</c:v>
                </c:pt>
              </c:numCache>
            </c:numRef>
          </c:xVal>
          <c:yVal>
            <c:numRef>
              <c:f>'CO2 - predicted from measured'!$BS$13:$BS$16</c:f>
              <c:numCache>
                <c:formatCode>0.00</c:formatCode>
                <c:ptCount val="4"/>
                <c:pt idx="0">
                  <c:v>6435.4693452212668</c:v>
                </c:pt>
                <c:pt idx="1">
                  <c:v>16712.986596748222</c:v>
                </c:pt>
                <c:pt idx="2">
                  <c:v>36590.726719702485</c:v>
                </c:pt>
                <c:pt idx="3">
                  <c:v>20762.561760926983</c:v>
                </c:pt>
              </c:numCache>
            </c:numRef>
          </c:yVal>
        </c:ser>
        <c:ser>
          <c:idx val="2"/>
          <c:order val="2"/>
          <c:tx>
            <c:v>24 hours +</c:v>
          </c:tx>
          <c:xVal>
            <c:numRef>
              <c:f>'CO2 - predicted from measured'!$CA$17:$CA$20</c:f>
              <c:numCache>
                <c:formatCode>General</c:formatCode>
                <c:ptCount val="4"/>
                <c:pt idx="0">
                  <c:v>4.8100000000000005</c:v>
                </c:pt>
                <c:pt idx="1">
                  <c:v>6.67</c:v>
                </c:pt>
                <c:pt idx="2">
                  <c:v>8.3099999999999987</c:v>
                </c:pt>
                <c:pt idx="3">
                  <c:v>8.9699999999999989</c:v>
                </c:pt>
              </c:numCache>
            </c:numRef>
          </c:xVal>
          <c:yVal>
            <c:numRef>
              <c:f>'CO2 - predicted from measured'!$BS$17:$BS$20</c:f>
              <c:numCache>
                <c:formatCode>0.00</c:formatCode>
                <c:ptCount val="4"/>
                <c:pt idx="0">
                  <c:v>7493.3468138039834</c:v>
                </c:pt>
                <c:pt idx="1">
                  <c:v>22161.470499484571</c:v>
                </c:pt>
                <c:pt idx="2">
                  <c:v>39078.956220951375</c:v>
                </c:pt>
                <c:pt idx="3">
                  <c:v>13169.171041200303</c:v>
                </c:pt>
              </c:numCache>
            </c:numRef>
          </c:yVal>
        </c:ser>
        <c:ser>
          <c:idx val="3"/>
          <c:order val="3"/>
          <c:tx>
            <c:v>24 Hours -</c:v>
          </c:tx>
          <c:xVal>
            <c:numRef>
              <c:f>'CO2 - predicted from measured'!$CA$21:$CA$24</c:f>
              <c:numCache>
                <c:formatCode>General</c:formatCode>
                <c:ptCount val="4"/>
                <c:pt idx="0">
                  <c:v>4.7149999999999999</c:v>
                </c:pt>
                <c:pt idx="1">
                  <c:v>6.68</c:v>
                </c:pt>
                <c:pt idx="2">
                  <c:v>8.23</c:v>
                </c:pt>
                <c:pt idx="3">
                  <c:v>8.7949999999999999</c:v>
                </c:pt>
              </c:numCache>
            </c:numRef>
          </c:xVal>
          <c:yVal>
            <c:numRef>
              <c:f>'CO2 - predicted from measured'!$BS$21:$BS$24</c:f>
              <c:numCache>
                <c:formatCode>0.00</c:formatCode>
                <c:ptCount val="4"/>
                <c:pt idx="0">
                  <c:v>7925.6147520913664</c:v>
                </c:pt>
                <c:pt idx="1">
                  <c:v>20421.537583411937</c:v>
                </c:pt>
                <c:pt idx="2">
                  <c:v>33859.556043590746</c:v>
                </c:pt>
                <c:pt idx="3">
                  <c:v>15327.474965482972</c:v>
                </c:pt>
              </c:numCache>
            </c:numRef>
          </c:yVal>
        </c:ser>
        <c:ser>
          <c:idx val="4"/>
          <c:order val="4"/>
          <c:tx>
            <c:v>40 hours +</c:v>
          </c:tx>
          <c:xVal>
            <c:numRef>
              <c:f>'CO2 - predicted from measured'!$CA$33:$CA$36</c:f>
              <c:numCache>
                <c:formatCode>General</c:formatCode>
                <c:ptCount val="4"/>
                <c:pt idx="0">
                  <c:v>4.58</c:v>
                </c:pt>
                <c:pt idx="1">
                  <c:v>6.6400000000000006</c:v>
                </c:pt>
                <c:pt idx="2">
                  <c:v>8.4049999999999994</c:v>
                </c:pt>
                <c:pt idx="3">
                  <c:v>8.7149999999999999</c:v>
                </c:pt>
              </c:numCache>
            </c:numRef>
          </c:xVal>
          <c:yVal>
            <c:numRef>
              <c:f>'CO2 - predicted from measured'!$BS$33:$BS$36</c:f>
              <c:numCache>
                <c:formatCode>0.00</c:formatCode>
                <c:ptCount val="4"/>
                <c:pt idx="0">
                  <c:v>6462.838691427427</c:v>
                </c:pt>
                <c:pt idx="1">
                  <c:v>18300.816919901677</c:v>
                </c:pt>
                <c:pt idx="2">
                  <c:v>72228.006270915736</c:v>
                </c:pt>
                <c:pt idx="3">
                  <c:v>25987.510273798296</c:v>
                </c:pt>
              </c:numCache>
            </c:numRef>
          </c:yVal>
        </c:ser>
        <c:ser>
          <c:idx val="5"/>
          <c:order val="5"/>
          <c:tx>
            <c:v>40 hours -</c:v>
          </c:tx>
          <c:xVal>
            <c:numRef>
              <c:f>'CO2 - predicted from measured'!$CA$37:$CA$40</c:f>
              <c:numCache>
                <c:formatCode>General</c:formatCode>
                <c:ptCount val="4"/>
                <c:pt idx="0">
                  <c:v>4.5950000000000006</c:v>
                </c:pt>
                <c:pt idx="1">
                  <c:v>6.68</c:v>
                </c:pt>
                <c:pt idx="2">
                  <c:v>8.3150000000000013</c:v>
                </c:pt>
                <c:pt idx="3">
                  <c:v>8.8049999999999997</c:v>
                </c:pt>
              </c:numCache>
            </c:numRef>
          </c:xVal>
          <c:yVal>
            <c:numRef>
              <c:f>'CO2 - predicted from measured'!$BS$37:$BS$40</c:f>
              <c:numCache>
                <c:formatCode>0.00</c:formatCode>
                <c:ptCount val="4"/>
                <c:pt idx="0">
                  <c:v>6360.3942157529191</c:v>
                </c:pt>
                <c:pt idx="1">
                  <c:v>21505.975920922156</c:v>
                </c:pt>
                <c:pt idx="2">
                  <c:v>86854.698779251543</c:v>
                </c:pt>
                <c:pt idx="3">
                  <c:v>29549.818104418951</c:v>
                </c:pt>
              </c:numCache>
            </c:numRef>
          </c:yVal>
        </c:ser>
        <c:ser>
          <c:idx val="6"/>
          <c:order val="6"/>
          <c:tx>
            <c:v>32 hours +</c:v>
          </c:tx>
          <c:xVal>
            <c:numRef>
              <c:f>'CO2 - predicted from measured'!$CA$25:$CA$28</c:f>
              <c:numCache>
                <c:formatCode>General</c:formatCode>
                <c:ptCount val="4"/>
                <c:pt idx="0">
                  <c:v>4.63</c:v>
                </c:pt>
                <c:pt idx="1">
                  <c:v>6.6349999999999998</c:v>
                </c:pt>
                <c:pt idx="2">
                  <c:v>8.254999999999999</c:v>
                </c:pt>
                <c:pt idx="3">
                  <c:v>8.75</c:v>
                </c:pt>
              </c:numCache>
            </c:numRef>
          </c:xVal>
          <c:yVal>
            <c:numRef>
              <c:f>'CO2 - predicted from measured'!$BS$25:$BS$28</c:f>
              <c:numCache>
                <c:formatCode>0.00</c:formatCode>
                <c:ptCount val="4"/>
                <c:pt idx="0">
                  <c:v>7667.5670845043796</c:v>
                </c:pt>
                <c:pt idx="1">
                  <c:v>23855.891340192971</c:v>
                </c:pt>
                <c:pt idx="2">
                  <c:v>41334.554029910425</c:v>
                </c:pt>
                <c:pt idx="3">
                  <c:v>8881.0823653142634</c:v>
                </c:pt>
              </c:numCache>
            </c:numRef>
          </c:yVal>
        </c:ser>
        <c:ser>
          <c:idx val="7"/>
          <c:order val="7"/>
          <c:tx>
            <c:v>32 hours -</c:v>
          </c:tx>
          <c:xVal>
            <c:numRef>
              <c:f>'CO2 - predicted from measured'!$CA$29:$CA$32</c:f>
              <c:numCache>
                <c:formatCode>General</c:formatCode>
                <c:ptCount val="4"/>
                <c:pt idx="0">
                  <c:v>4.6899999999999995</c:v>
                </c:pt>
                <c:pt idx="1">
                  <c:v>6.63</c:v>
                </c:pt>
                <c:pt idx="2">
                  <c:v>8.2650000000000006</c:v>
                </c:pt>
                <c:pt idx="3">
                  <c:v>8.7650000000000006</c:v>
                </c:pt>
              </c:numCache>
            </c:numRef>
          </c:xVal>
          <c:yVal>
            <c:numRef>
              <c:f>'CO2 - predicted from measured'!$BS$29:$BS$32</c:f>
              <c:numCache>
                <c:formatCode>0.00</c:formatCode>
                <c:ptCount val="4"/>
                <c:pt idx="0">
                  <c:v>7679.9764542947933</c:v>
                </c:pt>
                <c:pt idx="1">
                  <c:v>25137.907784175699</c:v>
                </c:pt>
                <c:pt idx="2">
                  <c:v>42948.751298609764</c:v>
                </c:pt>
                <c:pt idx="3">
                  <c:v>11918.208827204711</c:v>
                </c:pt>
              </c:numCache>
            </c:numRef>
          </c:yVal>
        </c:ser>
        <c:ser>
          <c:idx val="8"/>
          <c:order val="8"/>
          <c:tx>
            <c:v>48 hours +</c:v>
          </c:tx>
          <c:xVal>
            <c:numRef>
              <c:f>'CO2 - predicted from measured'!$CA$41:$CA$44</c:f>
              <c:numCache>
                <c:formatCode>General</c:formatCode>
                <c:ptCount val="4"/>
                <c:pt idx="0">
                  <c:v>4.41</c:v>
                </c:pt>
                <c:pt idx="1">
                  <c:v>6.7200000000000006</c:v>
                </c:pt>
                <c:pt idx="2">
                  <c:v>8.4499999999999993</c:v>
                </c:pt>
                <c:pt idx="3">
                  <c:v>8.7399999999999984</c:v>
                </c:pt>
              </c:numCache>
            </c:numRef>
          </c:xVal>
          <c:yVal>
            <c:numRef>
              <c:f>'CO2 - predicted from measured'!$BS$41:$BS$44</c:f>
              <c:numCache>
                <c:formatCode>0.00</c:formatCode>
                <c:ptCount val="4"/>
                <c:pt idx="0">
                  <c:v>6654.0742658236059</c:v>
                </c:pt>
                <c:pt idx="1">
                  <c:v>20362.908315576959</c:v>
                </c:pt>
                <c:pt idx="2">
                  <c:v>86675.922391753425</c:v>
                </c:pt>
                <c:pt idx="3">
                  <c:v>58549.21003304296</c:v>
                </c:pt>
              </c:numCache>
            </c:numRef>
          </c:yVal>
        </c:ser>
        <c:ser>
          <c:idx val="9"/>
          <c:order val="9"/>
          <c:tx>
            <c:v>48 hours -</c:v>
          </c:tx>
          <c:xVal>
            <c:numRef>
              <c:f>'CO2 - predicted from measured'!$CA$45:$CA$48</c:f>
              <c:numCache>
                <c:formatCode>General</c:formatCode>
                <c:ptCount val="4"/>
                <c:pt idx="0">
                  <c:v>4.5600000000000005</c:v>
                </c:pt>
                <c:pt idx="1">
                  <c:v>6.73</c:v>
                </c:pt>
                <c:pt idx="2">
                  <c:v>8.375</c:v>
                </c:pt>
                <c:pt idx="3">
                  <c:v>8.7200000000000006</c:v>
                </c:pt>
              </c:numCache>
            </c:numRef>
          </c:xVal>
          <c:yVal>
            <c:numRef>
              <c:f>'CO2 - predicted from measured'!$BS$45:$BS$48</c:f>
              <c:numCache>
                <c:formatCode>0.00</c:formatCode>
                <c:ptCount val="4"/>
                <c:pt idx="0">
                  <c:v>7418.085875978948</c:v>
                </c:pt>
                <c:pt idx="1">
                  <c:v>20058.141114563863</c:v>
                </c:pt>
                <c:pt idx="2">
                  <c:v>119784.83410239498</c:v>
                </c:pt>
                <c:pt idx="3">
                  <c:v>92000.524098472437</c:v>
                </c:pt>
              </c:numCache>
            </c:numRef>
          </c:yVal>
        </c:ser>
        <c:axId val="75016448"/>
        <c:axId val="75022336"/>
      </c:scatterChart>
      <c:valAx>
        <c:axId val="75016448"/>
        <c:scaling>
          <c:orientation val="minMax"/>
          <c:max val="9"/>
          <c:min val="4"/>
        </c:scaling>
        <c:axPos val="b"/>
        <c:numFmt formatCode="0.00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5022336"/>
        <c:crosses val="autoZero"/>
        <c:crossBetween val="midCat"/>
      </c:valAx>
      <c:valAx>
        <c:axId val="75022336"/>
        <c:scaling>
          <c:orientation val="minMax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5016448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0</c:v>
          </c:tx>
          <c:xVal>
            <c:numRef>
              <c:f>'CO2 - predicted from measured'!$CE$21:$CI$21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measured'!$CE$22:$CI$22</c:f>
              <c:numCache>
                <c:formatCode>General</c:formatCode>
                <c:ptCount val="5"/>
                <c:pt idx="0">
                  <c:v>7587.9230401531795</c:v>
                </c:pt>
                <c:pt idx="1">
                  <c:v>7493.3468138039834</c:v>
                </c:pt>
                <c:pt idx="2">
                  <c:v>7667.5670845043796</c:v>
                </c:pt>
                <c:pt idx="3">
                  <c:v>6462.838691427427</c:v>
                </c:pt>
                <c:pt idx="4">
                  <c:v>6654.0742658236059</c:v>
                </c:pt>
              </c:numCache>
            </c:numRef>
          </c:yVal>
        </c:ser>
        <c:ser>
          <c:idx val="4"/>
          <c:order val="1"/>
          <c:xVal>
            <c:numRef>
              <c:f>'CO2 - predicted from measured'!$CE$21:$CI$21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measured'!$CE$26:$CI$26</c:f>
              <c:numCache>
                <c:formatCode>General</c:formatCode>
                <c:ptCount val="5"/>
                <c:pt idx="0">
                  <c:v>6435.4693452212668</c:v>
                </c:pt>
                <c:pt idx="1">
                  <c:v>7925.6147520913664</c:v>
                </c:pt>
                <c:pt idx="2">
                  <c:v>7679.9764542947933</c:v>
                </c:pt>
                <c:pt idx="3">
                  <c:v>6360.3942157529191</c:v>
                </c:pt>
                <c:pt idx="4">
                  <c:v>7418.085875978948</c:v>
                </c:pt>
              </c:numCache>
            </c:numRef>
          </c:yVal>
        </c:ser>
        <c:axId val="74797056"/>
        <c:axId val="74798592"/>
      </c:scatterChart>
      <c:valAx>
        <c:axId val="74797056"/>
        <c:scaling>
          <c:orientation val="minMax"/>
          <c:max val="50"/>
          <c:min val="10"/>
        </c:scaling>
        <c:axPos val="b"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4798592"/>
        <c:crosses val="autoZero"/>
        <c:crossBetween val="midCat"/>
      </c:valAx>
      <c:valAx>
        <c:axId val="74798592"/>
        <c:scaling>
          <c:orientation val="minMax"/>
          <c:max val="1400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4797056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xVal>
            <c:numRef>
              <c:f>'CO2 - predicted from measured'!$CE$43:$CI$43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measured'!$CE$44:$CI$44</c:f>
              <c:numCache>
                <c:formatCode>General</c:formatCode>
                <c:ptCount val="5"/>
                <c:pt idx="0">
                  <c:v>1.4574610952046827</c:v>
                </c:pt>
                <c:pt idx="1">
                  <c:v>1.1208029305584724</c:v>
                </c:pt>
                <c:pt idx="2">
                  <c:v>1.2737854187817568</c:v>
                </c:pt>
                <c:pt idx="3">
                  <c:v>0.80099725044284875</c:v>
                </c:pt>
                <c:pt idx="4">
                  <c:v>0.9993915017525099</c:v>
                </c:pt>
              </c:numCache>
            </c:numRef>
          </c:yVal>
        </c:ser>
        <c:ser>
          <c:idx val="1"/>
          <c:order val="1"/>
          <c:xVal>
            <c:numRef>
              <c:f>'CO2 - predicted from measured'!$CE$43:$CI$43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measured'!$CE$45:$CI$45</c:f>
              <c:numCache>
                <c:formatCode>General</c:formatCode>
                <c:ptCount val="5"/>
                <c:pt idx="0">
                  <c:v>3.2023392840909217</c:v>
                </c:pt>
                <c:pt idx="1">
                  <c:v>2.2868612364742877</c:v>
                </c:pt>
                <c:pt idx="2">
                  <c:v>2.5896891824054062</c:v>
                </c:pt>
                <c:pt idx="3">
                  <c:v>1.7222263349022882</c:v>
                </c:pt>
                <c:pt idx="4">
                  <c:v>1.5259444051685851</c:v>
                </c:pt>
              </c:numCache>
            </c:numRef>
          </c:yVal>
        </c:ser>
        <c:ser>
          <c:idx val="2"/>
          <c:order val="2"/>
          <c:xVal>
            <c:numRef>
              <c:f>'CO2 - predicted from measured'!$CE$43:$CI$43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measured'!$CE$46:$CI$46</c:f>
              <c:numCache>
                <c:formatCode>General</c:formatCode>
                <c:ptCount val="5"/>
                <c:pt idx="0">
                  <c:v>2.4500296449034797</c:v>
                </c:pt>
                <c:pt idx="1">
                  <c:v>3.5561568303603726</c:v>
                </c:pt>
                <c:pt idx="2">
                  <c:v>2.1135183767618155</c:v>
                </c:pt>
                <c:pt idx="3">
                  <c:v>3.4803150947584078</c:v>
                </c:pt>
                <c:pt idx="4">
                  <c:v>3.6188027836922423</c:v>
                </c:pt>
              </c:numCache>
            </c:numRef>
          </c:yVal>
        </c:ser>
        <c:ser>
          <c:idx val="3"/>
          <c:order val="3"/>
          <c:xVal>
            <c:numRef>
              <c:f>'CO2 - predicted from measured'!$CE$43:$CI$43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measured'!$CE$47:$CI$47</c:f>
              <c:numCache>
                <c:formatCode>General</c:formatCode>
                <c:ptCount val="5"/>
                <c:pt idx="0">
                  <c:v>-5.5749951352783433E-2</c:v>
                </c:pt>
                <c:pt idx="1">
                  <c:v>-0.4806398691592883</c:v>
                </c:pt>
                <c:pt idx="2">
                  <c:v>0.29978518551570466</c:v>
                </c:pt>
                <c:pt idx="3">
                  <c:v>-2.0414342184498988</c:v>
                </c:pt>
                <c:pt idx="4">
                  <c:v>-0.13451944096938906</c:v>
                </c:pt>
              </c:numCache>
            </c:numRef>
          </c:yVal>
        </c:ser>
        <c:ser>
          <c:idx val="4"/>
          <c:order val="4"/>
          <c:xVal>
            <c:numRef>
              <c:f>'CO2 - predicted from measured'!$CE$43:$CI$43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measured'!$CE$48:$CI$48</c:f>
              <c:numCache>
                <c:formatCode>General</c:formatCode>
                <c:ptCount val="5"/>
                <c:pt idx="0">
                  <c:v>1.2698060078102686</c:v>
                </c:pt>
                <c:pt idx="1">
                  <c:v>1.2176412129883658</c:v>
                </c:pt>
                <c:pt idx="2">
                  <c:v>1.1537240168436929</c:v>
                </c:pt>
                <c:pt idx="3">
                  <c:v>0.60765313565449419</c:v>
                </c:pt>
                <c:pt idx="4">
                  <c:v>1.0481134927113009</c:v>
                </c:pt>
              </c:numCache>
            </c:numRef>
          </c:yVal>
        </c:ser>
        <c:ser>
          <c:idx val="5"/>
          <c:order val="5"/>
          <c:xVal>
            <c:numRef>
              <c:f>'CO2 - predicted from measured'!$CE$43:$CI$43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measured'!$CE$49:$CI$49</c:f>
              <c:numCache>
                <c:formatCode>General</c:formatCode>
                <c:ptCount val="5"/>
                <c:pt idx="0">
                  <c:v>2.6762699456657608</c:v>
                </c:pt>
                <c:pt idx="1">
                  <c:v>2.1754686153130325</c:v>
                </c:pt>
                <c:pt idx="2">
                  <c:v>2.4436416676953487</c:v>
                </c:pt>
                <c:pt idx="3">
                  <c:v>1.8740266605728639</c:v>
                </c:pt>
                <c:pt idx="4">
                  <c:v>1.7389539281330713</c:v>
                </c:pt>
              </c:numCache>
            </c:numRef>
          </c:yVal>
        </c:ser>
        <c:ser>
          <c:idx val="6"/>
          <c:order val="6"/>
          <c:xVal>
            <c:numRef>
              <c:f>'CO2 - predicted from measured'!$CE$43:$CI$43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measured'!$CE$50:$CI$50</c:f>
              <c:numCache>
                <c:formatCode>General</c:formatCode>
                <c:ptCount val="5"/>
                <c:pt idx="0">
                  <c:v>6.0145038946412654</c:v>
                </c:pt>
                <c:pt idx="1">
                  <c:v>2.735267572410192</c:v>
                </c:pt>
                <c:pt idx="2">
                  <c:v>2.8838443997471743</c:v>
                </c:pt>
                <c:pt idx="3">
                  <c:v>5.0128724365613699</c:v>
                </c:pt>
                <c:pt idx="4">
                  <c:v>6.1486294361128158</c:v>
                </c:pt>
              </c:numCache>
            </c:numRef>
          </c:yVal>
        </c:ser>
        <c:ser>
          <c:idx val="7"/>
          <c:order val="7"/>
          <c:xVal>
            <c:numRef>
              <c:f>'CO2 - predicted from measured'!$CE$43:$CI$43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measured'!$CE$51:$CI$51</c:f>
              <c:numCache>
                <c:formatCode>General</c:formatCode>
                <c:ptCount val="5"/>
                <c:pt idx="0">
                  <c:v>-0.32135871583613701</c:v>
                </c:pt>
                <c:pt idx="1">
                  <c:v>-0.86417845761617462</c:v>
                </c:pt>
                <c:pt idx="2">
                  <c:v>0.34982910970040271</c:v>
                </c:pt>
                <c:pt idx="3">
                  <c:v>-3.0283628995040552</c:v>
                </c:pt>
                <c:pt idx="4">
                  <c:v>6.8271170170317346</c:v>
                </c:pt>
              </c:numCache>
            </c:numRef>
          </c:yVal>
        </c:ser>
        <c:axId val="74848512"/>
        <c:axId val="74862592"/>
      </c:scatterChart>
      <c:valAx>
        <c:axId val="74848512"/>
        <c:scaling>
          <c:orientation val="minMax"/>
          <c:max val="50"/>
          <c:min val="10"/>
        </c:scaling>
        <c:axPos val="b"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4862592"/>
        <c:crosses val="autoZero"/>
        <c:crossBetween val="midCat"/>
      </c:valAx>
      <c:valAx>
        <c:axId val="748625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4848512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0"/>
          <c:tx>
            <c:v>6</c:v>
          </c:tx>
          <c:xVal>
            <c:numRef>
              <c:f>'CO2 - predicted from measured'!$CE$21:$CI$21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measured'!$CE$23:$CI$23</c:f>
              <c:numCache>
                <c:formatCode>General</c:formatCode>
                <c:ptCount val="5"/>
                <c:pt idx="0">
                  <c:v>19118.493498662949</c:v>
                </c:pt>
                <c:pt idx="1">
                  <c:v>22161.470499484571</c:v>
                </c:pt>
                <c:pt idx="2">
                  <c:v>23855.891340192971</c:v>
                </c:pt>
                <c:pt idx="3">
                  <c:v>18300.816919901677</c:v>
                </c:pt>
                <c:pt idx="4">
                  <c:v>20362.908315576959</c:v>
                </c:pt>
              </c:numCache>
            </c:numRef>
          </c:yVal>
        </c:ser>
        <c:ser>
          <c:idx val="5"/>
          <c:order val="1"/>
          <c:xVal>
            <c:numRef>
              <c:f>'CO2 - predicted from measured'!$CE$21:$CI$21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measured'!$CE$27:$CI$27</c:f>
              <c:numCache>
                <c:formatCode>General</c:formatCode>
                <c:ptCount val="5"/>
                <c:pt idx="0">
                  <c:v>16712.986596748222</c:v>
                </c:pt>
                <c:pt idx="1">
                  <c:v>20421.537583411937</c:v>
                </c:pt>
                <c:pt idx="2">
                  <c:v>25137.907784175699</c:v>
                </c:pt>
                <c:pt idx="3">
                  <c:v>21505.975920922156</c:v>
                </c:pt>
                <c:pt idx="4">
                  <c:v>20058.141114563863</c:v>
                </c:pt>
              </c:numCache>
            </c:numRef>
          </c:yVal>
        </c:ser>
        <c:axId val="74878976"/>
        <c:axId val="74880512"/>
      </c:scatterChart>
      <c:valAx>
        <c:axId val="74878976"/>
        <c:scaling>
          <c:orientation val="minMax"/>
          <c:max val="50"/>
          <c:min val="10"/>
        </c:scaling>
        <c:axPos val="b"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4880512"/>
        <c:crosses val="autoZero"/>
        <c:crossBetween val="midCat"/>
      </c:valAx>
      <c:valAx>
        <c:axId val="74880512"/>
        <c:scaling>
          <c:orientation val="minMax"/>
          <c:max val="1400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4878976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2"/>
          <c:order val="0"/>
          <c:tx>
            <c:v>16</c:v>
          </c:tx>
          <c:xVal>
            <c:numRef>
              <c:f>'CO2 - predicted from measured'!$CE$21:$CI$21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measured'!$CE$24:$CI$24</c:f>
              <c:numCache>
                <c:formatCode>General</c:formatCode>
                <c:ptCount val="5"/>
                <c:pt idx="0">
                  <c:v>25788.436351952812</c:v>
                </c:pt>
                <c:pt idx="1">
                  <c:v>39078.956220951375</c:v>
                </c:pt>
                <c:pt idx="2">
                  <c:v>41334.554029910425</c:v>
                </c:pt>
                <c:pt idx="3">
                  <c:v>72228.006270915736</c:v>
                </c:pt>
                <c:pt idx="4">
                  <c:v>86675.922391753425</c:v>
                </c:pt>
              </c:numCache>
            </c:numRef>
          </c:yVal>
        </c:ser>
        <c:ser>
          <c:idx val="6"/>
          <c:order val="1"/>
          <c:xVal>
            <c:numRef>
              <c:f>'CO2 - predicted from measured'!$CE$21:$CI$21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measured'!$CE$28:$CI$28</c:f>
              <c:numCache>
                <c:formatCode>General</c:formatCode>
                <c:ptCount val="5"/>
                <c:pt idx="0">
                  <c:v>36590.726719702485</c:v>
                </c:pt>
                <c:pt idx="1">
                  <c:v>33859.556043590746</c:v>
                </c:pt>
                <c:pt idx="2">
                  <c:v>42948.751298609764</c:v>
                </c:pt>
                <c:pt idx="3">
                  <c:v>86854.698779251543</c:v>
                </c:pt>
                <c:pt idx="4">
                  <c:v>119784.83410239498</c:v>
                </c:pt>
              </c:numCache>
            </c:numRef>
          </c:yVal>
        </c:ser>
        <c:axId val="75105792"/>
        <c:axId val="75107328"/>
      </c:scatterChart>
      <c:valAx>
        <c:axId val="75105792"/>
        <c:scaling>
          <c:orientation val="minMax"/>
          <c:max val="50"/>
          <c:min val="10"/>
        </c:scaling>
        <c:axPos val="b"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5107328"/>
        <c:crosses val="autoZero"/>
        <c:crossBetween val="midCat"/>
      </c:valAx>
      <c:valAx>
        <c:axId val="751073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5105792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3"/>
          <c:order val="0"/>
          <c:tx>
            <c:v>20</c:v>
          </c:tx>
          <c:xVal>
            <c:numRef>
              <c:f>'CO2 - predicted from measured'!$CE$21:$CI$21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measured'!$CE$25:$CI$25</c:f>
              <c:numCache>
                <c:formatCode>General</c:formatCode>
                <c:ptCount val="5"/>
                <c:pt idx="0">
                  <c:v>16290.541199392494</c:v>
                </c:pt>
                <c:pt idx="1">
                  <c:v>13169.171041200303</c:v>
                </c:pt>
                <c:pt idx="2">
                  <c:v>8881.0823653142634</c:v>
                </c:pt>
                <c:pt idx="3">
                  <c:v>25987.510273798296</c:v>
                </c:pt>
                <c:pt idx="4">
                  <c:v>58549.21003304296</c:v>
                </c:pt>
              </c:numCache>
            </c:numRef>
          </c:yVal>
        </c:ser>
        <c:ser>
          <c:idx val="7"/>
          <c:order val="1"/>
          <c:xVal>
            <c:numRef>
              <c:f>'CO2 - predicted from measured'!$CE$21:$CI$21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'CO2 - predicted from measured'!$CE$29:$CI$29</c:f>
              <c:numCache>
                <c:formatCode>General</c:formatCode>
                <c:ptCount val="5"/>
                <c:pt idx="0">
                  <c:v>20762.561760926983</c:v>
                </c:pt>
                <c:pt idx="1">
                  <c:v>15327.474965482972</c:v>
                </c:pt>
                <c:pt idx="2">
                  <c:v>11918.208827204711</c:v>
                </c:pt>
                <c:pt idx="3">
                  <c:v>29549.818104418951</c:v>
                </c:pt>
                <c:pt idx="4">
                  <c:v>92000.524098472437</c:v>
                </c:pt>
              </c:numCache>
            </c:numRef>
          </c:yVal>
        </c:ser>
        <c:axId val="75140096"/>
        <c:axId val="75145984"/>
      </c:scatterChart>
      <c:valAx>
        <c:axId val="75140096"/>
        <c:scaling>
          <c:orientation val="minMax"/>
          <c:max val="50"/>
          <c:min val="10"/>
        </c:scaling>
        <c:axPos val="b"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5145984"/>
        <c:crosses val="autoZero"/>
        <c:crossBetween val="midCat"/>
      </c:valAx>
      <c:valAx>
        <c:axId val="75145984"/>
        <c:scaling>
          <c:orientation val="minMax"/>
          <c:max val="1400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75140096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NZ"/>
            </a:pPr>
            <a:r>
              <a:rPr lang="en-US"/>
              <a:t>pH5.5</a:t>
            </a:r>
          </a:p>
        </c:rich>
      </c:tx>
    </c:title>
    <c:plotArea>
      <c:layout/>
      <c:scatterChart>
        <c:scatterStyle val="lineMarker"/>
        <c:ser>
          <c:idx val="0"/>
          <c:order val="0"/>
          <c:tx>
            <c:v>+ acetylene</c:v>
          </c:tx>
          <c:spPr>
            <a:ln w="28575">
              <a:noFill/>
            </a:ln>
          </c:spPr>
          <c:xVal>
            <c:numRef>
              <c:f>'DEA summary'!$K$2:$O$2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summary'!$K$4:$O$4</c:f>
              <c:numCache>
                <c:formatCode>0.00</c:formatCode>
                <c:ptCount val="5"/>
                <c:pt idx="0">
                  <c:v>79.864936192814596</c:v>
                </c:pt>
                <c:pt idx="1">
                  <c:v>121.40933764708491</c:v>
                </c:pt>
                <c:pt idx="2">
                  <c:v>115.03000645596956</c:v>
                </c:pt>
                <c:pt idx="3">
                  <c:v>90.557543023029723</c:v>
                </c:pt>
                <c:pt idx="4">
                  <c:v>84.838225153838039</c:v>
                </c:pt>
              </c:numCache>
            </c:numRef>
          </c:yVal>
        </c:ser>
        <c:ser>
          <c:idx val="1"/>
          <c:order val="1"/>
          <c:tx>
            <c:v>- acetylene</c:v>
          </c:tx>
          <c:spPr>
            <a:ln w="28575">
              <a:noFill/>
            </a:ln>
          </c:spPr>
          <c:xVal>
            <c:numRef>
              <c:f>'DEA summary'!$K$2:$O$2</c:f>
              <c:numCache>
                <c:formatCode>General</c:formatCode>
                <c:ptCount val="5"/>
                <c:pt idx="0">
                  <c:v>16</c:v>
                </c:pt>
                <c:pt idx="1">
                  <c:v>24</c:v>
                </c:pt>
                <c:pt idx="2">
                  <c:v>32</c:v>
                </c:pt>
                <c:pt idx="3">
                  <c:v>40</c:v>
                </c:pt>
                <c:pt idx="4">
                  <c:v>48</c:v>
                </c:pt>
              </c:numCache>
            </c:numRef>
          </c:xVal>
          <c:yVal>
            <c:numRef>
              <c:f>'DEA summary'!$K$9:$O$9</c:f>
              <c:numCache>
                <c:formatCode>0.00</c:formatCode>
                <c:ptCount val="5"/>
                <c:pt idx="0">
                  <c:v>85.827498212717771</c:v>
                </c:pt>
                <c:pt idx="1">
                  <c:v>123.85012441536578</c:v>
                </c:pt>
                <c:pt idx="2">
                  <c:v>112.70667364871457</c:v>
                </c:pt>
                <c:pt idx="3">
                  <c:v>95.108212382905904</c:v>
                </c:pt>
                <c:pt idx="4">
                  <c:v>100.33729443518753</c:v>
                </c:pt>
              </c:numCache>
            </c:numRef>
          </c:yVal>
        </c:ser>
        <c:axId val="80099584"/>
        <c:axId val="80114048"/>
      </c:scatterChart>
      <c:valAx>
        <c:axId val="80099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NZ"/>
                </a:pPr>
                <a:r>
                  <a:rPr lang="en-US"/>
                  <a:t>Time</a:t>
                </a:r>
              </a:p>
              <a:p>
                <a:pPr>
                  <a:defRPr lang="en-NZ"/>
                </a:pPr>
                <a:r>
                  <a:rPr lang="en-US"/>
                  <a:t>(h)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80114048"/>
        <c:crosses val="autoZero"/>
        <c:crossBetween val="midCat"/>
      </c:valAx>
      <c:valAx>
        <c:axId val="801140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NZ"/>
                </a:pPr>
                <a:r>
                  <a:rPr lang="en-US"/>
                  <a:t>Rate of N</a:t>
                </a:r>
                <a:r>
                  <a:rPr lang="en-US" baseline="-25000"/>
                  <a:t>2</a:t>
                </a:r>
                <a:r>
                  <a:rPr lang="en-US"/>
                  <a:t>O evolved
ng N</a:t>
                </a:r>
                <a:r>
                  <a:rPr lang="en-US" baseline="-25000"/>
                  <a:t>2</a:t>
                </a:r>
                <a:r>
                  <a:rPr lang="en-US"/>
                  <a:t>O-N g</a:t>
                </a:r>
                <a:r>
                  <a:rPr lang="en-US" baseline="30000"/>
                  <a:t>-1</a:t>
                </a:r>
                <a:r>
                  <a:rPr lang="en-US"/>
                  <a:t> h</a:t>
                </a:r>
                <a:r>
                  <a:rPr lang="en-US" baseline="30000"/>
                  <a:t>-1</a:t>
                </a:r>
              </a:p>
            </c:rich>
          </c:tx>
        </c:title>
        <c:numFmt formatCode="0.00" sourceLinked="1"/>
        <c:tickLblPos val="nextTo"/>
        <c:txPr>
          <a:bodyPr/>
          <a:lstStyle/>
          <a:p>
            <a:pPr>
              <a:defRPr lang="en-NZ"/>
            </a:pPr>
            <a:endParaRPr lang="en-US"/>
          </a:p>
        </c:txPr>
        <c:crossAx val="80099584"/>
        <c:crosses val="autoZero"/>
        <c:crossBetween val="midCat"/>
      </c:valAx>
    </c:plotArea>
    <c:legend>
      <c:legendPos val="r"/>
      <c:txPr>
        <a:bodyPr/>
        <a:lstStyle/>
        <a:p>
          <a:pPr>
            <a:defRPr lang="en-NZ"/>
          </a:pPr>
          <a:endParaRPr lang="en-US"/>
        </a:p>
      </c:txPr>
    </c:legend>
    <c:plotVisOnly val="1"/>
  </c:chart>
  <c:printSettings>
    <c:headerFooter/>
    <c:pageMargins b="0.75000000000000366" l="0.70000000000000162" r="0.700000000000001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20</xdr:row>
      <xdr:rowOff>161925</xdr:rowOff>
    </xdr:from>
    <xdr:to>
      <xdr:col>19</xdr:col>
      <xdr:colOff>571500</xdr:colOff>
      <xdr:row>35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304800</xdr:colOff>
      <xdr:row>5</xdr:row>
      <xdr:rowOff>57150</xdr:rowOff>
    </xdr:from>
    <xdr:to>
      <xdr:col>20</xdr:col>
      <xdr:colOff>0</xdr:colOff>
      <xdr:row>19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447675</xdr:colOff>
      <xdr:row>49</xdr:row>
      <xdr:rowOff>174625</xdr:rowOff>
    </xdr:from>
    <xdr:to>
      <xdr:col>79</xdr:col>
      <xdr:colOff>101600</xdr:colOff>
      <xdr:row>82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87</xdr:col>
      <xdr:colOff>676275</xdr:colOff>
      <xdr:row>16</xdr:row>
      <xdr:rowOff>19050</xdr:rowOff>
    </xdr:from>
    <xdr:to>
      <xdr:col>93</xdr:col>
      <xdr:colOff>523875</xdr:colOff>
      <xdr:row>30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91</xdr:col>
      <xdr:colOff>485775</xdr:colOff>
      <xdr:row>45</xdr:row>
      <xdr:rowOff>152400</xdr:rowOff>
    </xdr:from>
    <xdr:to>
      <xdr:col>97</xdr:col>
      <xdr:colOff>333375</xdr:colOff>
      <xdr:row>60</xdr:row>
      <xdr:rowOff>19050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93</xdr:col>
      <xdr:colOff>552450</xdr:colOff>
      <xdr:row>16</xdr:row>
      <xdr:rowOff>19050</xdr:rowOff>
    </xdr:from>
    <xdr:to>
      <xdr:col>100</xdr:col>
      <xdr:colOff>257175</xdr:colOff>
      <xdr:row>30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87</xdr:col>
      <xdr:colOff>676275</xdr:colOff>
      <xdr:row>30</xdr:row>
      <xdr:rowOff>104775</xdr:rowOff>
    </xdr:from>
    <xdr:to>
      <xdr:col>93</xdr:col>
      <xdr:colOff>523875</xdr:colOff>
      <xdr:row>44</xdr:row>
      <xdr:rowOff>161925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93</xdr:col>
      <xdr:colOff>561975</xdr:colOff>
      <xdr:row>30</xdr:row>
      <xdr:rowOff>114300</xdr:rowOff>
    </xdr:from>
    <xdr:to>
      <xdr:col>100</xdr:col>
      <xdr:colOff>266700</xdr:colOff>
      <xdr:row>44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13</xdr:row>
      <xdr:rowOff>0</xdr:rowOff>
    </xdr:from>
    <xdr:to>
      <xdr:col>16</xdr:col>
      <xdr:colOff>400050</xdr:colOff>
      <xdr:row>29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523875</xdr:colOff>
      <xdr:row>13</xdr:row>
      <xdr:rowOff>9525</xdr:rowOff>
    </xdr:from>
    <xdr:to>
      <xdr:col>26</xdr:col>
      <xdr:colOff>419100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30</xdr:row>
      <xdr:rowOff>9525</xdr:rowOff>
    </xdr:from>
    <xdr:to>
      <xdr:col>16</xdr:col>
      <xdr:colOff>400050</xdr:colOff>
      <xdr:row>47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523875</xdr:colOff>
      <xdr:row>30</xdr:row>
      <xdr:rowOff>19050</xdr:rowOff>
    </xdr:from>
    <xdr:to>
      <xdr:col>26</xdr:col>
      <xdr:colOff>419100</xdr:colOff>
      <xdr:row>47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64</xdr:row>
      <xdr:rowOff>9524</xdr:rowOff>
    </xdr:from>
    <xdr:to>
      <xdr:col>26</xdr:col>
      <xdr:colOff>0</xdr:colOff>
      <xdr:row>89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le Peterson" refreshedDate="41815.603062037037" createdVersion="3" refreshedVersion="3" minRefreshableVersion="3" recordCount="240">
  <cacheSource type="worksheet">
    <worksheetSource ref="D9:P249" sheet="Pre-DEA characterisation"/>
  </cacheSource>
  <cacheFields count="13"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 count="2">
        <s v="+"/>
        <s v="-"/>
      </sharedItems>
    </cacheField>
    <cacheField name="Wet soil wgt_x000a_(g)" numFmtId="0">
      <sharedItems containsSemiMixedTypes="0" containsString="0" containsNumber="1" minValue="31.989000000000001" maxValue="32.015000000000001"/>
    </cacheField>
    <cacheField name="DWE" numFmtId="2">
      <sharedItems containsSemiMixedTypes="0" containsString="0" containsNumber="1" minValue="24.993768697596348" maxValue="25.01408311774507"/>
    </cacheField>
    <cacheField name="OH added_x000a_(meq/100 g soil)" numFmtId="1">
      <sharedItems containsSemiMixedTypes="0" containsString="0" containsNumber="1" containsInteger="1" minValue="0" maxValue="20" count="4">
        <n v="0"/>
        <n v="6"/>
        <n v="16"/>
        <n v="20"/>
      </sharedItems>
    </cacheField>
    <cacheField name="Solution_x000a_pH" numFmtId="0">
      <sharedItems containsString="0" containsBlank="1" containsNumber="1" minValue="4.3899999999999997" maxValue="9.09" count="64">
        <m/>
        <n v="4.75"/>
        <n v="4.83"/>
        <n v="6.5"/>
        <n v="6.54"/>
        <n v="8.23"/>
        <n v="8.19"/>
        <n v="9.09"/>
        <n v="8.61"/>
        <n v="4.76"/>
        <n v="4.72"/>
        <n v="6.59"/>
        <n v="6.65"/>
        <n v="8.16"/>
        <n v="8.2200000000000006"/>
        <n v="8.6199999999999992"/>
        <n v="8.8000000000000007"/>
        <n v="4.8"/>
        <n v="4.82"/>
        <n v="6.67"/>
        <n v="8.27"/>
        <n v="8.35"/>
        <n v="8.94"/>
        <n v="9"/>
        <n v="4.71"/>
        <n v="6.69"/>
        <n v="8.1999999999999993"/>
        <n v="8.26"/>
        <n v="8.65"/>
        <n v="4.62"/>
        <n v="4.6399999999999997"/>
        <n v="6.61"/>
        <n v="6.66"/>
        <n v="8.32"/>
        <n v="8.76"/>
        <n v="8.74"/>
        <n v="4.74"/>
        <n v="6.63"/>
        <n v="8.24"/>
        <n v="8.2899999999999991"/>
        <n v="8.7899999999999991"/>
        <n v="4.59"/>
        <n v="4.57"/>
        <n v="8.36"/>
        <n v="8.4499999999999993"/>
        <n v="8.67"/>
        <n v="4.6100000000000003"/>
        <n v="4.58"/>
        <n v="6.73"/>
        <n v="8.3800000000000008"/>
        <n v="8.25"/>
        <n v="8.86"/>
        <n v="8.75"/>
        <n v="4.3899999999999997"/>
        <n v="4.43"/>
        <n v="6.7"/>
        <n v="6.74"/>
        <n v="8.42"/>
        <n v="8.48"/>
        <n v="8.69"/>
        <n v="4.4800000000000004"/>
        <n v="8.4"/>
        <n v="8.7100000000000009"/>
        <n v="8.73"/>
      </sharedItems>
    </cacheField>
    <cacheField name="EC_x000a_(mS)" numFmtId="0">
      <sharedItems containsString="0" containsBlank="1" containsNumber="1" minValue="4.38" maxValue="6.7"/>
    </cacheField>
    <cacheField name="N2O evolved_x000a_(ppm)" numFmtId="165">
      <sharedItems containsSemiMixedTypes="0" containsString="0" containsNumber="1" minValue="0" maxValue="720.38384000000008"/>
    </cacheField>
    <cacheField name="CO2 evolved_x000a_(ppm)" numFmtId="165">
      <sharedItems containsSemiMixedTypes="0" containsString="0" containsNumber="1" minValue="60.3" maxValue="20236.432000000001"/>
    </cacheField>
    <cacheField name="NO3-_x000a_(ppm)" numFmtId="165">
      <sharedItems containsString="0" containsBlank="1" containsNumber="1" minValue="3.5130000000000002E-2" maxValue="19.84"/>
    </cacheField>
    <cacheField name="NH4_x000a_(ppm)" numFmtId="165">
      <sharedItems containsString="0" containsBlank="1" containsNumber="1" minValue="1.6575000000000002" maxValue="51.11"/>
    </cacheField>
    <cacheField name="DON_x000a_(ppm)" numFmtId="165">
      <sharedItems containsString="0" containsBlank="1" containsNumber="1" minValue="2.5599999999999996" maxValue="631.83000000000004"/>
    </cacheField>
    <cacheField name="DOC_x000a_(ppm)" numFmtId="165">
      <sharedItems containsString="0" containsBlank="1" containsNumber="1" minValue="30.76" maxValue="8225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elle Peterson" refreshedDate="41814.588151851851" createdVersion="3" refreshedVersion="3" minRefreshableVersion="3" recordCount="120">
  <cacheSource type="worksheet">
    <worksheetSource ref="A2:P122" sheet="Post-DEA characterisation"/>
  </cacheSource>
  <cacheFields count="16">
    <cacheField name="#" numFmtId="0">
      <sharedItems containsSemiMixedTypes="0" containsString="0" containsNumber="1" containsInteger="1" minValue="1" maxValue="237"/>
    </cacheField>
    <cacheField name="Soil" numFmtId="0">
      <sharedItems/>
    </cacheField>
    <cacheField name="Rep" numFmtId="0">
      <sharedItems/>
    </cacheField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 count="2">
        <s v="+"/>
        <s v="-"/>
      </sharedItems>
    </cacheField>
    <cacheField name="Wet soil wgt_x000a_(g)" numFmtId="0">
      <sharedItems containsSemiMixedTypes="0" containsString="0" containsNumber="1" minValue="31.991" maxValue="32.014000000000003"/>
    </cacheField>
    <cacheField name="DWE" numFmtId="2">
      <sharedItems containsSemiMixedTypes="0" containsString="0" containsNumber="1" minValue="24.995331345300094" maxValue="25.013301793893199"/>
    </cacheField>
    <cacheField name="OH added_x000a_(meq/100 g soil)" numFmtId="1">
      <sharedItems containsSemiMixedTypes="0" containsString="0" containsNumber="1" minValue="0" maxValue="20.002485114348229" count="50">
        <n v="0"/>
        <n v="6"/>
        <n v="16"/>
        <n v="20"/>
        <n v="19.993111292906235" u="1"/>
        <n v="5.9981207822977121" u="1"/>
        <n v="19.994985354267858" u="1"/>
        <n v="15.993989347079705" u="1"/>
        <n v="15.999487624560107" u="1"/>
        <n v="19.999359530700133" u="1"/>
        <n v="16.000487717548268" u="1"/>
        <n v="5.9990579300982079" u="1"/>
        <n v="5.9999953707848501" u="1"/>
        <n v="20.002485114348229" u="1"/>
        <n v="15.998987624946851" u="1"/>
        <n v="5.9971839272461223" u="1"/>
        <n v="5.9996203593550685" u="1"/>
        <n v="15.996987938964294" u="1"/>
        <n v="15.999987655426267" u="1"/>
        <n v="15.998487656583571" u="1"/>
        <n v="19.996859766994024" u="1"/>
        <n v="19.998109570729465" u="1"/>
        <n v="19.999984569282837" u="1"/>
        <n v="5.9992453948002522" u="1"/>
        <n v="16.000987810929029" u="1"/>
        <n v="19.989364223881516" u="1"/>
        <n v="19.992486683849631" u="1"/>
        <n v="5.997558634145669" u="1"/>
        <n v="15.997987719467337" u="1"/>
        <n v="20.000609646935334" u="1"/>
        <n v="6.0001828940805995" u="1"/>
        <n v="19.991862113818897" u="1"/>
        <n v="15.996488095571626" u="1"/>
        <n v="19.993735940992373" u="1"/>
        <n v="16.002988497098379" u="1"/>
        <n v="5.9994328712188389" u="1"/>
        <n v="5.9998078592100397" u="1"/>
        <n v="6.0007455343044693" u="1"/>
        <n v="16.001487935571493" u="1"/>
        <n v="15.995988283414286" u="1"/>
        <n v="5.9969965913536027" u="1"/>
        <n v="19.994360628111693" u="1"/>
        <n v="15.995488502489355" u="1"/>
        <n v="20.001234763661284" u="1"/>
        <n v="6.0005579758393095" u="1"/>
        <n v="19.996234923705366" u="1"/>
        <n v="20.001859919464366" u="1"/>
        <n v="19.995610119464533" u="1"/>
        <n v="5.9986830358393597" u="1"/>
        <n v="6.0009331044949628" u="1"/>
      </sharedItems>
    </cacheField>
    <cacheField name="Solution_x000a_pH" numFmtId="2">
      <sharedItems containsSemiMixedTypes="0" containsString="0" containsNumber="1" minValue="4.3499999999999996" maxValue="9.1999999999999993"/>
    </cacheField>
    <cacheField name="EC_x000a_(uS)" numFmtId="0">
      <sharedItems containsString="0" containsBlank="1" containsNumber="1" containsInteger="1" minValue="4460" maxValue="5840" count="21">
        <n v="4540"/>
        <n v="4460"/>
        <m/>
        <n v="4520"/>
        <n v="4560"/>
        <n v="4620"/>
        <n v="5160"/>
        <n v="5240"/>
        <n v="5300"/>
        <n v="5400"/>
        <n v="5340"/>
        <n v="5440"/>
        <n v="5720"/>
        <n v="5760"/>
        <n v="5840"/>
        <n v="5780"/>
        <n v="5800"/>
        <n v="5640"/>
        <n v="5740"/>
        <n v="5680"/>
        <n v="5700"/>
      </sharedItems>
    </cacheField>
    <cacheField name="Rate of N2O evolved_x000a_(ng N2O-N g-1 h-1)" numFmtId="165">
      <sharedItems containsSemiMixedTypes="0" containsString="0" containsNumber="1" minValue="0" maxValue="3258.6172895245709"/>
    </cacheField>
    <cacheField name="Rate of CO2 evolved_x000a_(ug CO2-C g-1 h-1)" numFmtId="165">
      <sharedItems containsSemiMixedTypes="0" containsString="0" containsNumber="1" minValue="-0.64978050264544485" maxValue="23.462073715303106"/>
    </cacheField>
    <cacheField name="NO3-_x000a_remaining" numFmtId="165">
      <sharedItems containsSemiMixedTypes="0" containsString="0" containsNumber="1" minValue="10.49" maxValue="49.68"/>
    </cacheField>
    <cacheField name="NH4_x000a_remaining" numFmtId="165">
      <sharedItems containsSemiMixedTypes="0" containsString="0" containsNumber="1" minValue="1.7449999999999999" maxValue="47.76"/>
    </cacheField>
    <cacheField name="DON_x000a_remaining" numFmtId="165">
      <sharedItems containsSemiMixedTypes="0" containsString="0" containsNumber="1" minValue="1.0765000000000029" maxValue="534.24"/>
    </cacheField>
    <cacheField name="DOC_x000a_remaining" numFmtId="165">
      <sharedItems containsSemiMixedTypes="0" containsString="0" containsNumber="1" minValue="28.71" maxValue="655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flmep" refreshedDate="41682.446645949072" createdVersion="3" refreshedVersion="3" minRefreshableVersion="3" recordCount="120">
  <cacheSource type="worksheet">
    <worksheetSource ref="A2:G122" sheet="DEA summary"/>
  </cacheSource>
  <cacheFields count="7">
    <cacheField name="Jar" numFmtId="0">
      <sharedItems containsSemiMixedTypes="0" containsString="0" containsNumber="1" containsInteger="1" minValue="1" maxValue="237"/>
    </cacheField>
    <cacheField name="Rep" numFmtId="0">
      <sharedItems/>
    </cacheField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 count="2">
        <s v="+"/>
        <s v="-"/>
      </sharedItems>
    </cacheField>
    <cacheField name="OH added_x000a_(meq/100 g soil)" numFmtId="0">
      <sharedItems containsSemiMixedTypes="0" containsString="0" containsNumber="1" containsInteger="1" minValue="0" maxValue="20" count="4">
        <n v="0"/>
        <n v="6"/>
        <n v="16"/>
        <n v="20"/>
      </sharedItems>
    </cacheField>
    <cacheField name="pH" numFmtId="2">
      <sharedItems containsSemiMixedTypes="0" containsString="0" containsNumber="1" minValue="0" maxValue="4.9400000000000004" count="24">
        <n v="4.7300000000000004"/>
        <n v="4.7699999999999996"/>
        <n v="4.9400000000000004"/>
        <n v="0"/>
        <n v="4.6100000000000003"/>
        <n v="4.6900000000000004"/>
        <n v="4.63"/>
        <n v="4.62"/>
        <n v="4.8499999999999996"/>
        <n v="4.6500000000000004"/>
        <n v="4.57"/>
        <n v="4.78"/>
        <n v="4.79"/>
        <n v="4.76"/>
        <n v="4.5999999999999996"/>
        <n v="4.72"/>
        <n v="4.8099999999999996"/>
        <n v="4.59"/>
        <n v="4.46"/>
        <n v="4.49"/>
        <n v="4.3499999999999996"/>
        <n v="4.54"/>
        <n v="4.6399999999999997"/>
        <n v="4.4800000000000004"/>
      </sharedItems>
    </cacheField>
    <cacheField name="Rate of N2O evolved_x000a_ng N2O-N g-1 h-1" numFmtId="2">
      <sharedItems containsSemiMixedTypes="0" containsString="0" containsNumber="1" minValue="0" maxValue="3258.6172895245709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cflcra" refreshedDate="42030.657424305558" createdVersion="3" refreshedVersion="3" minRefreshableVersion="3" recordCount="120">
  <cacheSource type="worksheet">
    <worksheetSource ref="A1:D121" sheet="Pre DEA CO2"/>
  </cacheSource>
  <cacheFields count="4"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/>
    </cacheField>
    <cacheField name="OH added_x000a_(meq/100 g soil)" numFmtId="0">
      <sharedItems containsSemiMixedTypes="0" containsString="0" containsNumber="1" containsInteger="1" minValue="0" maxValue="20" count="4">
        <n v="0"/>
        <n v="6"/>
        <n v="16"/>
        <n v="20"/>
      </sharedItems>
    </cacheField>
    <cacheField name="Total" numFmtId="0">
      <sharedItems containsSemiMixedTypes="0" containsString="0" containsNumber="1" minValue="4631.3039105547514" maxValue="97753.572713105299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cflcra" refreshedDate="42030.662847106483" createdVersion="3" refreshedVersion="3" minRefreshableVersion="3" recordCount="240">
  <cacheSource type="worksheet">
    <worksheetSource ref="D9:R249" sheet="Pre-DEA characterisation"/>
  </cacheSource>
  <cacheFields count="15"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/>
    </cacheField>
    <cacheField name="Wet soil wgt_x000a_(g)" numFmtId="0">
      <sharedItems containsSemiMixedTypes="0" containsString="0" containsNumber="1" minValue="31.989000000000001" maxValue="32.015000000000001"/>
    </cacheField>
    <cacheField name="DWE" numFmtId="2">
      <sharedItems containsSemiMixedTypes="0" containsString="0" containsNumber="1" minValue="24.993768697596348" maxValue="25.01408311774507"/>
    </cacheField>
    <cacheField name="OH added_x000a_(meq/100 g soil)" numFmtId="1">
      <sharedItems containsSemiMixedTypes="0" containsString="0" containsNumber="1" containsInteger="1" minValue="0" maxValue="20" count="4">
        <n v="0"/>
        <n v="6"/>
        <n v="16"/>
        <n v="20"/>
      </sharedItems>
    </cacheField>
    <cacheField name="Solution_x000a_pH" numFmtId="0">
      <sharedItems containsString="0" containsBlank="1" containsNumber="1" minValue="4.3899999999999997" maxValue="9.09"/>
    </cacheField>
    <cacheField name="EC_x000a_(mS)" numFmtId="0">
      <sharedItems containsString="0" containsBlank="1" containsNumber="1" minValue="4.38" maxValue="6.7"/>
    </cacheField>
    <cacheField name="N2O evolved_x000a_(ppm)" numFmtId="165">
      <sharedItems containsSemiMixedTypes="0" containsString="0" containsNumber="1" minValue="0" maxValue="720.38384000000008"/>
    </cacheField>
    <cacheField name="CO2 evolved_x000a_(ppm)" numFmtId="165">
      <sharedItems containsSemiMixedTypes="0" containsString="0" containsNumber="1" minValue="60.3" maxValue="20236.432000000001"/>
    </cacheField>
    <cacheField name="NO3-_x000a_(ppm)" numFmtId="165">
      <sharedItems containsString="0" containsBlank="1" containsNumber="1" minValue="3.5130000000000002E-2" maxValue="19.84"/>
    </cacheField>
    <cacheField name="NH4_x000a_(ppm)" numFmtId="165">
      <sharedItems containsString="0" containsBlank="1" containsNumber="1" minValue="1.6575000000000002" maxValue="51.11"/>
    </cacheField>
    <cacheField name="DON_x000a_(ppm)" numFmtId="165">
      <sharedItems containsString="0" containsBlank="1" containsNumber="1" minValue="2.5599999999999996" maxValue="631.83000000000004"/>
    </cacheField>
    <cacheField name="DOC_x000a_(ppm)" numFmtId="165">
      <sharedItems containsString="0" containsBlank="1" containsNumber="1" minValue="30.76" maxValue="8225"/>
    </cacheField>
    <cacheField name="V N2O (ul)" numFmtId="165">
      <sharedItems containsSemiMixedTypes="0" containsString="0" containsNumber="1" minValue="0" maxValue="201.32791936238081"/>
    </cacheField>
    <cacheField name="N2O-N ng g-1" numFmtId="0">
      <sharedItems containsSemiMixedTypes="0" containsString="0" containsNumber="1" minValue="0" maxValue="7327.6411634295509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cflcra" refreshedDate="42096.545604976855" createdVersion="3" refreshedVersion="3" minRefreshableVersion="3" recordCount="120">
  <cacheSource type="worksheet">
    <worksheetSource ref="B2:H122" sheet="DEA summary"/>
  </cacheSource>
  <cacheFields count="7">
    <cacheField name="Rep" numFmtId="0">
      <sharedItems/>
    </cacheField>
    <cacheField name="Time" numFmtId="0">
      <sharedItems containsSemiMixedTypes="0" containsString="0" containsNumber="1" containsInteger="1" minValue="16" maxValue="48" count="5">
        <n v="16"/>
        <n v="24"/>
        <n v="32"/>
        <n v="40"/>
        <n v="48"/>
      </sharedItems>
    </cacheField>
    <cacheField name="Acetylene" numFmtId="0">
      <sharedItems count="2">
        <s v="+"/>
        <s v="-"/>
      </sharedItems>
    </cacheField>
    <cacheField name="OH added_x000a_(meq/100 g soil)" numFmtId="0">
      <sharedItems containsSemiMixedTypes="0" containsString="0" containsNumber="1" containsInteger="1" minValue="0" maxValue="20" count="4">
        <n v="0"/>
        <n v="6"/>
        <n v="16"/>
        <n v="20"/>
      </sharedItems>
    </cacheField>
    <cacheField name="pH" numFmtId="2">
      <sharedItems containsSemiMixedTypes="0" containsString="0" containsNumber="1" minValue="4.3499999999999996" maxValue="9.1999999999999993"/>
    </cacheField>
    <cacheField name="Rate of N2O evolved_x000a_ng N2O-N g-1 h-1" numFmtId="2">
      <sharedItems containsSemiMixedTypes="0" containsString="0" containsNumber="1" minValue="0" maxValue="3258.6172895245709"/>
    </cacheField>
    <cacheField name="N2O-N240_x000a_(ngN2O-N g-1)" numFmtId="2">
      <sharedItems containsSemiMixedTypes="0" containsString="0" containsNumber="1" minValue="0" maxValue="10481.321483637019" count="120">
        <n v="425.81572315481549"/>
        <n v="412.17853988344268"/>
        <n v="423.17527524259145"/>
        <n v="1762.8165927717876"/>
        <n v="1633.1189280360613"/>
        <n v="2505.7196341583917"/>
        <n v="81.654385047428107"/>
        <n v="139.69072330532745"/>
        <n v="125.02570538916503"/>
        <n v="0.26444964082196254"/>
        <n v="0.62047998320512165"/>
        <n v="0.69184043588945854"/>
        <n v="419.79768625854166"/>
        <n v="436.83216375701721"/>
        <n v="427.14774992296856"/>
        <n v="189.41531690274522"/>
        <n v="224.60234637802827"/>
        <n v="235.10854516799051"/>
        <n v="33.98046666910512"/>
        <n v="62.04793739072425"/>
        <n v="46.187146883558917"/>
        <n v="0.37634444576382242"/>
        <n v="0.27459393469220456"/>
        <n v="0"/>
        <n v="724.58184471214588"/>
        <n v="740.76792692128811"/>
        <n v="740.13206337694794"/>
        <n v="3937.2960194012994"/>
        <n v="3476.8587693244986"/>
        <n v="3364.1464225015575"/>
        <n v="554.02556586909861"/>
        <n v="10481.321483637019"/>
        <n v="10359.434867055796"/>
        <n v="83.147695080240908"/>
        <n v="7.6598669416610656"/>
        <n v="3.6929662687051814"/>
        <n v="687.26804172520087"/>
        <n v="751.04589141435736"/>
        <n v="0.25431994040936418"/>
        <n v="285.45713645619475"/>
        <n v="229.93788239174995"/>
        <n v="274.05863598224323"/>
        <n v="156.64588182760824"/>
        <n v="165.57307444401326"/>
        <n v="144.75891008101007"/>
        <n v="2.1976824353531543"/>
        <n v="0.94576191571737112"/>
        <n v="0.39676497101791203"/>
        <n v="705.71528472130115"/>
        <n v="744.47500767921338"/>
        <n v="705.44365512315869"/>
        <n v="2871.8154412141234"/>
        <n v="2871.7604756634191"/>
        <n v="2848.0170996074398"/>
        <n v="7222.4120693032064"/>
        <n v="6039.8274958791962"/>
        <n v="464.11009718699728"/>
        <n v="98.667014003648731"/>
        <n v="4.588230818694317"/>
        <n v="2.4111888025682378"/>
        <n v="699.30579549928439"/>
        <n v="682.67865314406674"/>
        <n v="717.48226840848963"/>
        <n v="286.68978242466801"/>
        <n v="354.8054436363829"/>
        <n v="212.69428384872543"/>
        <n v="79.487649777077792"/>
        <n v="70.457783129891823"/>
        <n v="89.867720959079676"/>
        <n v="2.1468101567570161"/>
        <n v="0.68124436983172254"/>
        <n v="2.3297225221308167"/>
        <n v="618.12910581282028"/>
        <n v="604.24578561175485"/>
        <n v="695.03143536941491"/>
        <n v="2496.3028622672409"/>
        <n v="2599.7566920212894"/>
        <n v="5533.1155663982308"/>
        <n v="6310.2613556764973"/>
        <n v="6139.2405357646685"/>
        <n v="77.893093781907282"/>
        <n v="33.710737598557934"/>
        <n v="37.264628250930379"/>
        <n v="19.246305781703498"/>
        <n v="629.88816088015051"/>
        <n v="590.70383919002177"/>
        <n v="606.7548058918444"/>
        <n v="223.5266103643547"/>
        <n v="880.71942272890703"/>
        <n v="232.68757715215605"/>
        <n v="84.565614110281615"/>
        <n v="75.135906162406641"/>
        <n v="148.50052940900324"/>
        <n v="4.3141098584440272"/>
        <n v="2.12556045743225"/>
        <n v="4.8923183552063074"/>
        <n v="500.81108259151029"/>
        <n v="559.17452650385496"/>
        <n v="559.73607703738242"/>
        <n v="2592.9655062081965"/>
        <n v="2601.8354986497829"/>
        <n v="1887.3489689683568"/>
        <n v="1756.8613433396458"/>
        <n v="2293.6571293557931"/>
        <n v="2465.2188632971511"/>
        <n v="538.49166912661315"/>
        <n v="130.37290009216775"/>
        <n v="1189.1341192574564"/>
        <n v="574.54527905682073"/>
        <n v="749.22247010255091"/>
        <n v="575.43860461173085"/>
        <n v="222.88017910411327"/>
        <n v="219.11188785909178"/>
        <n v="224.01624089249862"/>
        <n v="45.052489924739653"/>
        <n v="138.10923204583895"/>
        <n v="48.100122640325338"/>
        <n v="215.37073769197769"/>
        <n v="30.344748414508871"/>
        <n v="40.10247528862159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x v="0"/>
    <n v="32.000999999999998"/>
    <n v="25.003144583818834"/>
    <x v="0"/>
    <x v="0"/>
    <m/>
    <n v="174.36099999999999"/>
    <n v="1097.1189999999999"/>
    <m/>
    <m/>
    <m/>
    <m/>
  </r>
  <r>
    <x v="0"/>
    <x v="0"/>
    <n v="32.003"/>
    <n v="25.004707231522584"/>
    <x v="0"/>
    <x v="0"/>
    <m/>
    <n v="162.79"/>
    <n v="1055.395"/>
    <m/>
    <m/>
    <m/>
    <m/>
  </r>
  <r>
    <x v="0"/>
    <x v="0"/>
    <n v="31.997"/>
    <n v="25.000019288411337"/>
    <x v="0"/>
    <x v="0"/>
    <m/>
    <n v="170.678"/>
    <n v="1000.239"/>
    <m/>
    <m/>
    <m/>
    <m/>
  </r>
  <r>
    <x v="0"/>
    <x v="0"/>
    <n v="31.997"/>
    <n v="25.000019288411337"/>
    <x v="0"/>
    <x v="1"/>
    <n v="4.96"/>
    <n v="165.922"/>
    <n v="1003.3819999999999"/>
    <n v="6.8400000000000007"/>
    <n v="1.9750000000000001"/>
    <n v="2.5599999999999996"/>
    <n v="37.21"/>
  </r>
  <r>
    <x v="0"/>
    <x v="0"/>
    <n v="32.008000000000003"/>
    <n v="25.008613850781956"/>
    <x v="0"/>
    <x v="2"/>
    <n v="5"/>
    <n v="156.63900000000001"/>
    <n v="925.07799999999997"/>
    <n v="5.2200000000000006"/>
    <n v="1.8074999999999999"/>
    <n v="3.6274999999999995"/>
    <n v="41.39"/>
  </r>
  <r>
    <x v="0"/>
    <x v="0"/>
    <n v="31.997"/>
    <n v="25.000019288411337"/>
    <x v="0"/>
    <x v="0"/>
    <m/>
    <n v="165.90600000000001"/>
    <n v="1091.9749999999999"/>
    <m/>
    <m/>
    <m/>
    <m/>
  </r>
  <r>
    <x v="0"/>
    <x v="0"/>
    <n v="31.997"/>
    <n v="25.000019288411337"/>
    <x v="1"/>
    <x v="0"/>
    <m/>
    <n v="148.60400000000001"/>
    <n v="1994.4760000000001"/>
    <m/>
    <m/>
    <m/>
    <m/>
  </r>
  <r>
    <x v="0"/>
    <x v="0"/>
    <n v="32.003999999999998"/>
    <n v="25.005488555374455"/>
    <x v="1"/>
    <x v="0"/>
    <m/>
    <n v="136.786"/>
    <n v="1791.2840000000001"/>
    <m/>
    <m/>
    <m/>
    <m/>
  </r>
  <r>
    <x v="0"/>
    <x v="0"/>
    <n v="32.01"/>
    <n v="25.010176498485698"/>
    <x v="1"/>
    <x v="0"/>
    <m/>
    <n v="70.864000000000004"/>
    <n v="2023.34"/>
    <m/>
    <m/>
    <m/>
    <m/>
  </r>
  <r>
    <x v="0"/>
    <x v="0"/>
    <n v="31.998999999999999"/>
    <n v="25.001581936115088"/>
    <x v="1"/>
    <x v="3"/>
    <n v="4.4400000000000004"/>
    <n v="78.820999999999998"/>
    <n v="1878.4480000000001"/>
    <n v="0.31609999999999999"/>
    <n v="5.1749999999999998"/>
    <n v="17.053900000000002"/>
    <n v="233.79999999999998"/>
  </r>
  <r>
    <x v="0"/>
    <x v="0"/>
    <n v="32.003"/>
    <n v="25.004707231522584"/>
    <x v="1"/>
    <x v="4"/>
    <n v="4.5"/>
    <n v="115.596"/>
    <n v="1865.3019999999999"/>
    <n v="0.22474999999999998"/>
    <n v="5.4450000000000003"/>
    <n v="18.61525"/>
    <n v="221.4"/>
  </r>
  <r>
    <x v="0"/>
    <x v="0"/>
    <n v="32.008000000000003"/>
    <n v="25.008613850781956"/>
    <x v="1"/>
    <x v="0"/>
    <m/>
    <n v="60.183"/>
    <n v="1886.7360000000001"/>
    <m/>
    <m/>
    <m/>
    <m/>
  </r>
  <r>
    <x v="0"/>
    <x v="0"/>
    <n v="32"/>
    <n v="25.002363259966963"/>
    <x v="2"/>
    <x v="0"/>
    <m/>
    <n v="1.3540000000000001"/>
    <n v="92.308000000000007"/>
    <m/>
    <m/>
    <m/>
    <m/>
  </r>
  <r>
    <x v="0"/>
    <x v="0"/>
    <n v="31.995000000000001"/>
    <n v="24.998456640707591"/>
    <x v="2"/>
    <x v="0"/>
    <m/>
    <n v="1.1659999999999999"/>
    <n v="95.450999999999993"/>
    <m/>
    <m/>
    <m/>
    <m/>
  </r>
  <r>
    <x v="0"/>
    <x v="0"/>
    <n v="32.000999999999998"/>
    <n v="25.003144583818834"/>
    <x v="2"/>
    <x v="0"/>
    <m/>
    <n v="1.1519999999999999"/>
    <n v="81.733999999999995"/>
    <m/>
    <m/>
    <m/>
    <m/>
  </r>
  <r>
    <x v="0"/>
    <x v="0"/>
    <n v="31.997"/>
    <n v="25.000019288411337"/>
    <x v="2"/>
    <x v="5"/>
    <n v="5.52"/>
    <n v="1.0880000000000001"/>
    <n v="125.744"/>
    <n v="13.08"/>
    <n v="20.91"/>
    <n v="269.20999999999998"/>
    <n v="4967"/>
  </r>
  <r>
    <x v="0"/>
    <x v="0"/>
    <n v="31.995000000000001"/>
    <n v="24.998456640707591"/>
    <x v="2"/>
    <x v="6"/>
    <n v="5.34"/>
    <n v="1.1299999999999999"/>
    <n v="85.448999999999998"/>
    <n v="13.21"/>
    <n v="21.85"/>
    <n v="329.74"/>
    <n v="4904"/>
  </r>
  <r>
    <x v="0"/>
    <x v="0"/>
    <n v="32"/>
    <n v="25.002363259966963"/>
    <x v="2"/>
    <x v="0"/>
    <m/>
    <n v="1.06"/>
    <n v="76.304000000000002"/>
    <m/>
    <m/>
    <m/>
    <m/>
  </r>
  <r>
    <x v="0"/>
    <x v="0"/>
    <n v="32.003999999999998"/>
    <n v="25.005488555374455"/>
    <x v="3"/>
    <x v="0"/>
    <m/>
    <n v="0.27300000000000002"/>
    <n v="60.3"/>
    <m/>
    <m/>
    <m/>
    <m/>
  </r>
  <r>
    <x v="0"/>
    <x v="0"/>
    <n v="32.002000000000002"/>
    <n v="25.003925907670713"/>
    <x v="3"/>
    <x v="0"/>
    <m/>
    <n v="0.29499999999999998"/>
    <n v="61.442999999999998"/>
    <m/>
    <m/>
    <m/>
    <m/>
  </r>
  <r>
    <x v="0"/>
    <x v="0"/>
    <n v="31.995000000000001"/>
    <n v="24.998456640707591"/>
    <x v="3"/>
    <x v="0"/>
    <m/>
    <n v="0.2"/>
    <n v="60.3"/>
    <m/>
    <m/>
    <m/>
    <m/>
  </r>
  <r>
    <x v="0"/>
    <x v="0"/>
    <n v="32.005000000000003"/>
    <n v="25.006269879226334"/>
    <x v="3"/>
    <x v="7"/>
    <n v="5.66"/>
    <n v="0.214"/>
    <n v="62.585999999999999"/>
    <n v="18.899999999999999"/>
    <n v="30.05"/>
    <n v="394.15000000000003"/>
    <n v="6550"/>
  </r>
  <r>
    <x v="0"/>
    <x v="0"/>
    <n v="31.992000000000001"/>
    <n v="24.996112669151969"/>
    <x v="3"/>
    <x v="8"/>
    <n v="5.64"/>
    <n v="0.13800000000000001"/>
    <n v="62.585999999999999"/>
    <n v="17.71"/>
    <n v="29.15"/>
    <n v="428.14000000000004"/>
    <n v="6091"/>
  </r>
  <r>
    <x v="0"/>
    <x v="0"/>
    <n v="31.995000000000001"/>
    <n v="24.998456640707591"/>
    <x v="3"/>
    <x v="0"/>
    <m/>
    <n v="0.17299999999999999"/>
    <n v="60.872"/>
    <m/>
    <m/>
    <m/>
    <m/>
  </r>
  <r>
    <x v="0"/>
    <x v="1"/>
    <n v="31.997"/>
    <n v="25.000019288411337"/>
    <x v="0"/>
    <x v="0"/>
    <m/>
    <n v="160.72200000000001"/>
    <n v="954.22799999999995"/>
    <m/>
    <m/>
    <m/>
    <m/>
  </r>
  <r>
    <x v="0"/>
    <x v="1"/>
    <n v="32.006"/>
    <n v="25.007051203078206"/>
    <x v="0"/>
    <x v="0"/>
    <m/>
    <n v="164.714"/>
    <n v="983.09199999999998"/>
    <m/>
    <m/>
    <m/>
    <m/>
  </r>
  <r>
    <x v="0"/>
    <x v="1"/>
    <n v="31.992999999999999"/>
    <n v="24.996893993003841"/>
    <x v="0"/>
    <x v="0"/>
    <m/>
    <n v="159.08699999999999"/>
    <n v="940.22400000000005"/>
    <m/>
    <m/>
    <m/>
    <m/>
  </r>
  <r>
    <x v="0"/>
    <x v="1"/>
    <n v="32.003"/>
    <n v="25.004707231522584"/>
    <x v="0"/>
    <x v="9"/>
    <n v="4.9800000000000004"/>
    <n v="148.226"/>
    <n v="876.78099999999995"/>
    <n v="4.9649999999999999"/>
    <n v="1.6575000000000002"/>
    <n v="4.3025000000000002"/>
    <n v="30.76"/>
  </r>
  <r>
    <x v="0"/>
    <x v="1"/>
    <n v="32.003"/>
    <n v="25.004707231522584"/>
    <x v="0"/>
    <x v="10"/>
    <n v="5.0199999999999996"/>
    <n v="152.54"/>
    <n v="918.79100000000005"/>
    <n v="4.4450000000000003"/>
    <n v="1.9045000000000001"/>
    <n v="3.490499999999999"/>
    <n v="37.299999999999997"/>
  </r>
  <r>
    <x v="0"/>
    <x v="1"/>
    <n v="31.994"/>
    <n v="24.997675316855716"/>
    <x v="0"/>
    <x v="0"/>
    <m/>
    <n v="167.345"/>
    <n v="1293.451"/>
    <m/>
    <m/>
    <m/>
    <m/>
  </r>
  <r>
    <x v="0"/>
    <x v="1"/>
    <n v="32.000999999999998"/>
    <n v="25.003144583818834"/>
    <x v="1"/>
    <x v="0"/>
    <m/>
    <n v="67.084999999999994"/>
    <n v="1743.559"/>
    <m/>
    <m/>
    <m/>
    <m/>
  </r>
  <r>
    <x v="0"/>
    <x v="1"/>
    <n v="31.998000000000001"/>
    <n v="25.000800612263212"/>
    <x v="1"/>
    <x v="0"/>
    <m/>
    <n v="66.491"/>
    <n v="1468.0640000000001"/>
    <m/>
    <m/>
    <m/>
    <m/>
  </r>
  <r>
    <x v="0"/>
    <x v="1"/>
    <n v="32.000999999999998"/>
    <n v="25.003144583818834"/>
    <x v="1"/>
    <x v="0"/>
    <m/>
    <n v="75.721000000000004"/>
    <n v="1903.3109999999999"/>
    <m/>
    <m/>
    <m/>
    <m/>
  </r>
  <r>
    <x v="0"/>
    <x v="1"/>
    <n v="32"/>
    <n v="25.002363259966963"/>
    <x v="1"/>
    <x v="11"/>
    <n v="4.38"/>
    <n v="65.471999999999994"/>
    <n v="1847.0119999999999"/>
    <n v="0.22544999999999998"/>
    <n v="4.99"/>
    <n v="20.134550000000001"/>
    <n v="216.6"/>
  </r>
  <r>
    <x v="0"/>
    <x v="1"/>
    <n v="32.008000000000003"/>
    <n v="25.008613850781956"/>
    <x v="1"/>
    <x v="12"/>
    <n v="4.46"/>
    <n v="51.396999999999998"/>
    <n v="2008.479"/>
    <n v="0.18059999999999998"/>
    <n v="5.1149999999999993"/>
    <n v="17.554400000000005"/>
    <n v="235.79999999999998"/>
  </r>
  <r>
    <x v="0"/>
    <x v="1"/>
    <n v="31.997"/>
    <n v="25.000019288411337"/>
    <x v="1"/>
    <x v="0"/>
    <m/>
    <n v="65.066000000000003"/>
    <n v="1776.7090000000001"/>
    <m/>
    <m/>
    <m/>
    <m/>
  </r>
  <r>
    <x v="0"/>
    <x v="1"/>
    <n v="31.995999999999999"/>
    <n v="24.999237964559462"/>
    <x v="2"/>
    <x v="0"/>
    <m/>
    <n v="1.417"/>
    <n v="99.738"/>
    <m/>
    <m/>
    <m/>
    <m/>
  </r>
  <r>
    <x v="0"/>
    <x v="1"/>
    <n v="31.997"/>
    <n v="25.000019288411337"/>
    <x v="2"/>
    <x v="0"/>
    <m/>
    <n v="0.248"/>
    <n v="127.745"/>
    <m/>
    <m/>
    <m/>
    <m/>
  </r>
  <r>
    <x v="0"/>
    <x v="1"/>
    <n v="32.003999999999998"/>
    <n v="25.005488555374455"/>
    <x v="2"/>
    <x v="0"/>
    <m/>
    <n v="1.3180000000000001"/>
    <n v="88.021000000000001"/>
    <m/>
    <m/>
    <m/>
    <m/>
  </r>
  <r>
    <x v="0"/>
    <x v="1"/>
    <n v="32.01"/>
    <n v="25.010176498485698"/>
    <x v="2"/>
    <x v="13"/>
    <n v="5.3"/>
    <n v="0.999"/>
    <n v="79.447999999999993"/>
    <n v="12.97"/>
    <n v="20.07"/>
    <n v="374.15999999999997"/>
    <n v="4760"/>
  </r>
  <r>
    <x v="0"/>
    <x v="1"/>
    <n v="31.998000000000001"/>
    <n v="25.000800612263212"/>
    <x v="2"/>
    <x v="14"/>
    <n v="5.32"/>
    <n v="1.0189999999999999"/>
    <n v="95.165999999999997"/>
    <n v="12.62"/>
    <n v="20.94"/>
    <n v="380.04"/>
    <n v="4755"/>
  </r>
  <r>
    <x v="0"/>
    <x v="1"/>
    <n v="31.992999999999999"/>
    <n v="24.996893993003841"/>
    <x v="2"/>
    <x v="0"/>
    <m/>
    <n v="1.006"/>
    <n v="106.883"/>
    <m/>
    <m/>
    <m/>
    <m/>
  </r>
  <r>
    <x v="0"/>
    <x v="1"/>
    <n v="32.003"/>
    <n v="25.004707231522584"/>
    <x v="3"/>
    <x v="0"/>
    <m/>
    <n v="1.6639999999999999"/>
    <n v="93.165000000000006"/>
    <m/>
    <m/>
    <m/>
    <m/>
  </r>
  <r>
    <x v="0"/>
    <x v="1"/>
    <n v="32.006999999999998"/>
    <n v="25.007832526930077"/>
    <x v="3"/>
    <x v="0"/>
    <m/>
    <n v="0.156"/>
    <n v="62.301000000000002"/>
    <m/>
    <m/>
    <m/>
    <m/>
  </r>
  <r>
    <x v="0"/>
    <x v="1"/>
    <n v="32"/>
    <n v="25.002363259966963"/>
    <x v="3"/>
    <x v="0"/>
    <m/>
    <n v="0.13200000000000001"/>
    <n v="64.015000000000001"/>
    <m/>
    <m/>
    <m/>
    <m/>
  </r>
  <r>
    <x v="0"/>
    <x v="1"/>
    <n v="31.998999999999999"/>
    <n v="25.001581936115088"/>
    <x v="3"/>
    <x v="15"/>
    <n v="5.94"/>
    <n v="0.13"/>
    <n v="60.3"/>
    <n v="18.48"/>
    <n v="30.29"/>
    <n v="478.02999999999992"/>
    <n v="5269"/>
  </r>
  <r>
    <x v="0"/>
    <x v="1"/>
    <n v="31.998000000000001"/>
    <n v="25.000800612263212"/>
    <x v="3"/>
    <x v="16"/>
    <n v="6.06"/>
    <n v="0.158"/>
    <n v="102.024"/>
    <n v="17.95"/>
    <n v="32.5"/>
    <n v="462.05"/>
    <n v="4770"/>
  </r>
  <r>
    <x v="0"/>
    <x v="1"/>
    <n v="31.998000000000001"/>
    <n v="25.000800612263212"/>
    <x v="3"/>
    <x v="0"/>
    <m/>
    <n v="0.21299999999999999"/>
    <n v="63.728999999999999"/>
    <m/>
    <m/>
    <m/>
    <m/>
  </r>
  <r>
    <x v="1"/>
    <x v="0"/>
    <n v="32.003999999999998"/>
    <n v="25.005488555374455"/>
    <x v="0"/>
    <x v="0"/>
    <m/>
    <n v="376.58800000000002"/>
    <n v="3789.703"/>
    <m/>
    <m/>
    <m/>
    <m/>
  </r>
  <r>
    <x v="1"/>
    <x v="0"/>
    <n v="32.003"/>
    <n v="25.004707231522584"/>
    <x v="0"/>
    <x v="0"/>
    <m/>
    <n v="357.09500000000003"/>
    <n v="4496.1559999999999"/>
    <m/>
    <m/>
    <m/>
    <m/>
  </r>
  <r>
    <x v="1"/>
    <x v="0"/>
    <n v="31.998999999999999"/>
    <n v="25.001581936115088"/>
    <x v="0"/>
    <x v="0"/>
    <m/>
    <n v="397.58800000000002"/>
    <n v="2751.6660000000002"/>
    <m/>
    <m/>
    <m/>
    <m/>
  </r>
  <r>
    <x v="1"/>
    <x v="0"/>
    <n v="32.000999999999998"/>
    <n v="25.003144583818834"/>
    <x v="0"/>
    <x v="17"/>
    <n v="5.76"/>
    <n v="368.238"/>
    <n v="3197.6680000000001"/>
    <n v="3.9420000000000002"/>
    <n v="2.2595000000000001"/>
    <n v="5.5384999999999991"/>
    <n v="41.550000000000004"/>
  </r>
  <r>
    <x v="1"/>
    <x v="0"/>
    <n v="32.003"/>
    <n v="25.004707231522584"/>
    <x v="0"/>
    <x v="18"/>
    <n v="5.9"/>
    <n v="368.63799999999998"/>
    <n v="3143.0940000000001"/>
    <n v="3.6919999999999997"/>
    <n v="2.6284999999999998"/>
    <n v="5.5695000000000014"/>
    <n v="37.83"/>
  </r>
  <r>
    <x v="1"/>
    <x v="0"/>
    <n v="31.998000000000001"/>
    <n v="25.000800612263212"/>
    <x v="0"/>
    <x v="0"/>
    <m/>
    <n v="392.29500000000002"/>
    <n v="3421.61"/>
    <m/>
    <m/>
    <m/>
    <m/>
  </r>
  <r>
    <x v="1"/>
    <x v="0"/>
    <n v="31.998000000000001"/>
    <n v="25.000800612263212"/>
    <x v="1"/>
    <x v="0"/>
    <m/>
    <n v="4.6029999999999998"/>
    <n v="85.436999999999998"/>
    <m/>
    <m/>
    <m/>
    <m/>
  </r>
  <r>
    <x v="1"/>
    <x v="0"/>
    <n v="31.998999999999999"/>
    <n v="25.001581936115088"/>
    <x v="1"/>
    <x v="0"/>
    <m/>
    <n v="0.60099999999999998"/>
    <n v="6203.3860000000004"/>
    <m/>
    <m/>
    <m/>
    <m/>
  </r>
  <r>
    <x v="1"/>
    <x v="0"/>
    <n v="32"/>
    <n v="25.002363259966963"/>
    <x v="1"/>
    <x v="0"/>
    <m/>
    <n v="0.63900000000000001"/>
    <n v="5674.2049999999999"/>
    <m/>
    <m/>
    <m/>
    <m/>
  </r>
  <r>
    <x v="1"/>
    <x v="0"/>
    <n v="32.006"/>
    <n v="25.007051203078206"/>
    <x v="1"/>
    <x v="19"/>
    <n v="5.0999999999999996"/>
    <n v="0.52800000000000002"/>
    <n v="5937.6660000000002"/>
    <n v="0.21575"/>
    <n v="7.9649999999999999"/>
    <n v="14.739249999999998"/>
    <n v="221.9"/>
  </r>
  <r>
    <x v="1"/>
    <x v="0"/>
    <n v="31.994"/>
    <n v="24.997675316855716"/>
    <x v="1"/>
    <x v="19"/>
    <n v="5.24"/>
    <n v="0.44700000000000001"/>
    <n v="6519.1629999999996"/>
    <n v="0.18614999999999998"/>
    <n v="8.7850000000000001"/>
    <n v="20.673850000000002"/>
    <n v="241.70000000000002"/>
  </r>
  <r>
    <x v="1"/>
    <x v="0"/>
    <n v="31.997"/>
    <n v="25.000019288411337"/>
    <x v="1"/>
    <x v="0"/>
    <m/>
    <n v="0.40600000000000003"/>
    <n v="6414.9080000000004"/>
    <m/>
    <m/>
    <m/>
    <m/>
  </r>
  <r>
    <x v="1"/>
    <x v="0"/>
    <n v="31.995999999999999"/>
    <n v="24.999237964559462"/>
    <x v="2"/>
    <x v="0"/>
    <m/>
    <n v="14.614000000000001"/>
    <n v="612.73599999999999"/>
    <m/>
    <m/>
    <m/>
    <m/>
  </r>
  <r>
    <x v="1"/>
    <x v="0"/>
    <n v="32.003"/>
    <n v="25.004707231522584"/>
    <x v="2"/>
    <x v="0"/>
    <m/>
    <n v="11.233000000000001"/>
    <n v="744.46600000000001"/>
    <m/>
    <m/>
    <m/>
    <m/>
  </r>
  <r>
    <x v="1"/>
    <x v="0"/>
    <n v="32.005000000000003"/>
    <n v="25.006269879226334"/>
    <x v="2"/>
    <x v="0"/>
    <m/>
    <n v="13.46"/>
    <n v="739.197"/>
    <m/>
    <m/>
    <m/>
    <m/>
  </r>
  <r>
    <x v="1"/>
    <x v="0"/>
    <n v="31.998000000000001"/>
    <n v="25.000800612263212"/>
    <x v="2"/>
    <x v="20"/>
    <n v="5.86"/>
    <n v="11.448"/>
    <n v="729.78800000000001"/>
    <n v="3.35"/>
    <n v="28.38"/>
    <n v="331.07"/>
    <n v="4627"/>
  </r>
  <r>
    <x v="1"/>
    <x v="0"/>
    <n v="31.997"/>
    <n v="25.000019288411337"/>
    <x v="2"/>
    <x v="21"/>
    <n v="5.9"/>
    <n v="6.2"/>
    <n v="735.43399999999997"/>
    <n v="3.0449999999999999"/>
    <n v="26.36"/>
    <n v="328.19499999999999"/>
    <n v="4536"/>
  </r>
  <r>
    <x v="1"/>
    <x v="0"/>
    <n v="32.006"/>
    <n v="25.007051203078206"/>
    <x v="2"/>
    <x v="0"/>
    <m/>
    <n v="14.455"/>
    <n v="611.23"/>
    <m/>
    <m/>
    <m/>
    <m/>
  </r>
  <r>
    <x v="1"/>
    <x v="0"/>
    <n v="31.997"/>
    <n v="25.000019288411337"/>
    <x v="3"/>
    <x v="0"/>
    <m/>
    <n v="0.45900000000000002"/>
    <n v="242.761"/>
    <m/>
    <m/>
    <m/>
    <m/>
  </r>
  <r>
    <x v="1"/>
    <x v="0"/>
    <n v="32"/>
    <n v="25.002363259966963"/>
    <x v="3"/>
    <x v="0"/>
    <m/>
    <n v="0.41599999999999998"/>
    <n v="96.352000000000004"/>
    <m/>
    <m/>
    <m/>
    <m/>
  </r>
  <r>
    <x v="1"/>
    <x v="0"/>
    <n v="31.997"/>
    <n v="25.000019288411337"/>
    <x v="3"/>
    <x v="0"/>
    <m/>
    <n v="0.47299999999999998"/>
    <n v="77.156999999999996"/>
    <m/>
    <m/>
    <m/>
    <m/>
  </r>
  <r>
    <x v="1"/>
    <x v="0"/>
    <n v="31.998000000000001"/>
    <n v="25.000800612263212"/>
    <x v="3"/>
    <x v="22"/>
    <n v="5.84"/>
    <n v="0.42899999999999999"/>
    <n v="205.5"/>
    <n v="18.2"/>
    <n v="31.23"/>
    <n v="554.86999999999989"/>
    <n v="4828"/>
  </r>
  <r>
    <x v="1"/>
    <x v="0"/>
    <n v="32.002000000000002"/>
    <n v="25.003925907670713"/>
    <x v="3"/>
    <x v="23"/>
    <n v="5.98"/>
    <n v="0.44"/>
    <n v="93.340999999999994"/>
    <n v="19.079999999999998"/>
    <n v="31.88"/>
    <n v="519.74"/>
    <n v="3796"/>
  </r>
  <r>
    <x v="1"/>
    <x v="0"/>
    <n v="31.997"/>
    <n v="25.000019288411337"/>
    <x v="3"/>
    <x v="0"/>
    <m/>
    <n v="0.39"/>
    <n v="101.244"/>
    <m/>
    <m/>
    <m/>
    <m/>
  </r>
  <r>
    <x v="1"/>
    <x v="1"/>
    <n v="32.002000000000002"/>
    <n v="25.003925907670713"/>
    <x v="0"/>
    <x v="0"/>
    <m/>
    <n v="386.63600000000002"/>
    <n v="3303.8049999999998"/>
    <m/>
    <m/>
    <m/>
    <m/>
  </r>
  <r>
    <x v="1"/>
    <x v="1"/>
    <n v="31.992000000000001"/>
    <n v="24.996112669151969"/>
    <x v="0"/>
    <x v="0"/>
    <m/>
    <n v="409.21800000000002"/>
    <n v="3177.72"/>
    <m/>
    <m/>
    <m/>
    <m/>
  </r>
  <r>
    <x v="1"/>
    <x v="1"/>
    <n v="31.998999999999999"/>
    <n v="25.001581936115088"/>
    <x v="0"/>
    <x v="0"/>
    <m/>
    <n v="373.68900000000002"/>
    <n v="3277.8359999999998"/>
    <m/>
    <m/>
    <m/>
    <m/>
  </r>
  <r>
    <x v="1"/>
    <x v="1"/>
    <n v="32.008000000000003"/>
    <n v="25.008613850781956"/>
    <x v="0"/>
    <x v="24"/>
    <n v="5.88"/>
    <n v="1.7210000000000001"/>
    <n v="88.070999999999998"/>
    <n v="3.8624999999999998"/>
    <n v="2.7679999999999998"/>
    <n v="6.1544999999999996"/>
    <n v="43.67"/>
  </r>
  <r>
    <x v="1"/>
    <x v="1"/>
    <n v="32.003"/>
    <n v="25.004707231522584"/>
    <x v="0"/>
    <x v="10"/>
    <n v="6.04"/>
    <n v="405.82"/>
    <n v="3435.16"/>
    <n v="4.1115000000000004"/>
    <n v="2.4285000000000001"/>
    <n v="5.0399999999999983"/>
    <n v="34.92"/>
  </r>
  <r>
    <x v="1"/>
    <x v="1"/>
    <n v="31.998999999999999"/>
    <n v="25.001581936115088"/>
    <x v="0"/>
    <x v="0"/>
    <m/>
    <n v="395.77800000000002"/>
    <n v="3364.4009999999998"/>
    <m/>
    <m/>
    <m/>
    <m/>
  </r>
  <r>
    <x v="1"/>
    <x v="1"/>
    <n v="31.997"/>
    <n v="25.000019288411337"/>
    <x v="1"/>
    <x v="0"/>
    <m/>
    <n v="2.46"/>
    <n v="6981.35"/>
    <m/>
    <m/>
    <m/>
    <m/>
  </r>
  <r>
    <x v="1"/>
    <x v="1"/>
    <n v="31.995999999999999"/>
    <n v="24.999237964559462"/>
    <x v="1"/>
    <x v="0"/>
    <m/>
    <n v="0.56899999999999995"/>
    <n v="6849.6189999999997"/>
    <m/>
    <m/>
    <m/>
    <m/>
  </r>
  <r>
    <x v="1"/>
    <x v="1"/>
    <n v="32.01"/>
    <n v="25.010176498485698"/>
    <x v="1"/>
    <x v="0"/>
    <m/>
    <n v="0.48699999999999999"/>
    <n v="6810.1"/>
    <m/>
    <m/>
    <m/>
    <m/>
  </r>
  <r>
    <x v="1"/>
    <x v="1"/>
    <n v="32.003"/>
    <n v="25.004707231522584"/>
    <x v="1"/>
    <x v="19"/>
    <n v="5.2"/>
    <n v="0.372"/>
    <n v="7250.8329999999996"/>
    <n v="0.1958"/>
    <n v="7.9649999999999999"/>
    <n v="12.389418340611355"/>
    <n v="220.2"/>
  </r>
  <r>
    <x v="1"/>
    <x v="1"/>
    <n v="31.995999999999999"/>
    <n v="24.999237964559462"/>
    <x v="1"/>
    <x v="25"/>
    <n v="5.34"/>
    <n v="0.38700000000000001"/>
    <n v="7971.9639999999999"/>
    <n v="0.17165"/>
    <n v="8.0850000000000009"/>
    <n v="15.485708078602624"/>
    <n v="247.89999999999998"/>
  </r>
  <r>
    <x v="1"/>
    <x v="1"/>
    <n v="32.003999999999998"/>
    <n v="25.005488555374455"/>
    <x v="1"/>
    <x v="0"/>
    <m/>
    <n v="0.46500000000000002"/>
    <n v="7037.8059999999996"/>
    <m/>
    <m/>
    <m/>
    <m/>
  </r>
  <r>
    <x v="1"/>
    <x v="1"/>
    <n v="31.995999999999999"/>
    <n v="24.999237964559462"/>
    <x v="2"/>
    <x v="0"/>
    <m/>
    <n v="12.884"/>
    <n v="505.46899999999999"/>
    <m/>
    <m/>
    <m/>
    <m/>
  </r>
  <r>
    <x v="1"/>
    <x v="1"/>
    <n v="31.997"/>
    <n v="25.000019288411337"/>
    <x v="2"/>
    <x v="0"/>
    <m/>
    <n v="12.266999999999999"/>
    <n v="464.82100000000003"/>
    <m/>
    <m/>
    <m/>
    <m/>
  </r>
  <r>
    <x v="1"/>
    <x v="1"/>
    <n v="31.998999999999999"/>
    <n v="25.001581936115088"/>
    <x v="2"/>
    <x v="0"/>
    <m/>
    <n v="13.260999999999999"/>
    <n v="500.2"/>
    <m/>
    <m/>
    <m/>
    <m/>
  </r>
  <r>
    <x v="1"/>
    <x v="1"/>
    <n v="32.009"/>
    <n v="25.009395174633827"/>
    <x v="2"/>
    <x v="26"/>
    <n v="6.18"/>
    <n v="12.497"/>
    <n v="546.87"/>
    <n v="3.0739999999999998"/>
    <n v="26.01"/>
    <n v="291.11599999999999"/>
    <n v="4661"/>
  </r>
  <r>
    <x v="1"/>
    <x v="1"/>
    <n v="32.002000000000002"/>
    <n v="25.003925907670713"/>
    <x v="2"/>
    <x v="27"/>
    <n v="6.14"/>
    <n v="11.282999999999999"/>
    <n v="737.31500000000005"/>
    <n v="3.5760000000000001"/>
    <n v="28.75"/>
    <n v="343.07399999999996"/>
    <n v="5245"/>
  </r>
  <r>
    <x v="1"/>
    <x v="1"/>
    <n v="31.995000000000001"/>
    <n v="24.998456640707591"/>
    <x v="2"/>
    <x v="0"/>
    <m/>
    <n v="13.974"/>
    <n v="585.63699999999994"/>
    <m/>
    <m/>
    <m/>
    <m/>
  </r>
  <r>
    <x v="1"/>
    <x v="1"/>
    <n v="31.994"/>
    <n v="24.997675316855716"/>
    <x v="3"/>
    <x v="0"/>
    <m/>
    <n v="0.82199999999999995"/>
    <n v="84.308000000000007"/>
    <m/>
    <m/>
    <m/>
    <m/>
  </r>
  <r>
    <x v="1"/>
    <x v="1"/>
    <n v="32.009"/>
    <n v="25.009395174633827"/>
    <x v="3"/>
    <x v="0"/>
    <m/>
    <n v="0.57899999999999996"/>
    <n v="83.555000000000007"/>
    <m/>
    <m/>
    <m/>
    <m/>
  </r>
  <r>
    <x v="1"/>
    <x v="1"/>
    <n v="31.997"/>
    <n v="25.000019288411337"/>
    <x v="3"/>
    <x v="0"/>
    <m/>
    <n v="0.36"/>
    <n v="84.308000000000007"/>
    <m/>
    <m/>
    <m/>
    <m/>
  </r>
  <r>
    <x v="1"/>
    <x v="1"/>
    <n v="32.009"/>
    <n v="25.009395174633827"/>
    <x v="3"/>
    <x v="22"/>
    <n v="6.06"/>
    <n v="0.37"/>
    <n v="87.319000000000003"/>
    <n v="18.36"/>
    <n v="30.56"/>
    <n v="428.68"/>
    <n v="8225"/>
  </r>
  <r>
    <x v="1"/>
    <x v="1"/>
    <n v="32.000999999999998"/>
    <n v="25.003144583818834"/>
    <x v="3"/>
    <x v="28"/>
    <n v="6.02"/>
    <n v="0"/>
    <n v="61.348999999999997"/>
    <n v="18.21"/>
    <n v="30.28"/>
    <n v="459.71"/>
    <n v="7134.9999999999991"/>
  </r>
  <r>
    <x v="1"/>
    <x v="1"/>
    <n v="31.995000000000001"/>
    <n v="24.998456640707591"/>
    <x v="3"/>
    <x v="0"/>
    <m/>
    <n v="0.38600000000000001"/>
    <n v="86.941999999999993"/>
    <m/>
    <m/>
    <m/>
    <m/>
  </r>
  <r>
    <x v="2"/>
    <x v="0"/>
    <n v="31.995999999999999"/>
    <n v="24.999237964559462"/>
    <x v="0"/>
    <x v="0"/>
    <m/>
    <n v="450.59087999999997"/>
    <n v="4930.2280000000001"/>
    <m/>
    <m/>
    <m/>
    <m/>
  </r>
  <r>
    <x v="2"/>
    <x v="0"/>
    <n v="32.006999999999998"/>
    <n v="25.007832526930077"/>
    <x v="0"/>
    <x v="0"/>
    <m/>
    <n v="449.59447999999998"/>
    <n v="7157.6959999999999"/>
    <m/>
    <m/>
    <m/>
    <m/>
  </r>
  <r>
    <x v="2"/>
    <x v="0"/>
    <n v="31.991"/>
    <n v="24.995331345300094"/>
    <x v="0"/>
    <x v="0"/>
    <m/>
    <n v="440.85623999999996"/>
    <n v="4794.0389999999998"/>
    <m/>
    <m/>
    <m/>
    <m/>
  </r>
  <r>
    <x v="2"/>
    <x v="0"/>
    <n v="31.995999999999999"/>
    <n v="24.999237964559462"/>
    <x v="0"/>
    <x v="29"/>
    <n v="6.38"/>
    <n v="451.85799999999995"/>
    <n v="5931.9949999999999"/>
    <n v="5.6050000000000004"/>
    <n v="2.9835000000000003"/>
    <n v="6.5465000000000018"/>
    <n v="42.569999999999993"/>
  </r>
  <r>
    <x v="2"/>
    <x v="0"/>
    <n v="32.012"/>
    <n v="25.011739146189448"/>
    <x v="0"/>
    <x v="30"/>
    <n v="6.48"/>
    <n v="441.09499999999997"/>
    <n v="4823.2879999999996"/>
    <n v="4.5279999999999996"/>
    <n v="2.7600000000000002"/>
    <n v="6.4520000000000026"/>
    <n v="46.5"/>
  </r>
  <r>
    <x v="2"/>
    <x v="0"/>
    <n v="32.005000000000003"/>
    <n v="25.006269879226334"/>
    <x v="0"/>
    <x v="0"/>
    <m/>
    <n v="456.56363999999996"/>
    <n v="5209.4610000000002"/>
    <m/>
    <m/>
    <m/>
    <m/>
  </r>
  <r>
    <x v="2"/>
    <x v="0"/>
    <n v="31.992000000000001"/>
    <n v="24.996112669151969"/>
    <x v="1"/>
    <x v="0"/>
    <m/>
    <n v="2.7170000000000001"/>
    <n v="11662.447"/>
    <m/>
    <m/>
    <m/>
    <m/>
  </r>
  <r>
    <x v="2"/>
    <x v="0"/>
    <n v="31.994"/>
    <n v="24.997675316855716"/>
    <x v="1"/>
    <x v="0"/>
    <m/>
    <n v="0.20699999999999999"/>
    <n v="12013.432000000001"/>
    <m/>
    <m/>
    <m/>
    <m/>
  </r>
  <r>
    <x v="2"/>
    <x v="0"/>
    <n v="32.006999999999998"/>
    <n v="25.007832526930077"/>
    <x v="1"/>
    <x v="0"/>
    <m/>
    <n v="0.14099999999999999"/>
    <n v="11013.036"/>
    <m/>
    <m/>
    <m/>
    <m/>
  </r>
  <r>
    <x v="2"/>
    <x v="0"/>
    <n v="32.002000000000002"/>
    <n v="25.003925907670713"/>
    <x v="1"/>
    <x v="31"/>
    <n v="5.64"/>
    <n v="7.1999999999999995E-2"/>
    <n v="11822.401"/>
    <n v="0.27615000000000001"/>
    <n v="10.004999999999999"/>
    <n v="17.959024672489086"/>
    <n v="303.5"/>
  </r>
  <r>
    <x v="2"/>
    <x v="0"/>
    <n v="31.998999999999999"/>
    <n v="25.001581936115088"/>
    <x v="1"/>
    <x v="32"/>
    <n v="5.64"/>
    <n v="0.13500000000000001"/>
    <n v="11451.308999999999"/>
    <n v="0.21095"/>
    <n v="10.004999999999999"/>
    <n v="18.613744323144108"/>
    <n v="259.89999999999998"/>
  </r>
  <r>
    <x v="2"/>
    <x v="0"/>
    <n v="31.998999999999999"/>
    <n v="25.001581936115088"/>
    <x v="1"/>
    <x v="0"/>
    <m/>
    <n v="5.3999999999999999E-2"/>
    <n v="11620.859"/>
    <m/>
    <m/>
    <m/>
    <m/>
  </r>
  <r>
    <x v="2"/>
    <x v="0"/>
    <n v="31.995000000000001"/>
    <n v="24.998456640707591"/>
    <x v="2"/>
    <x v="0"/>
    <m/>
    <n v="2.1000000000000001E-2"/>
    <n v="1670.83"/>
    <m/>
    <m/>
    <m/>
    <m/>
  </r>
  <r>
    <x v="2"/>
    <x v="0"/>
    <n v="31.998000000000001"/>
    <n v="25.000800612263212"/>
    <x v="2"/>
    <x v="0"/>
    <m/>
    <n v="0"/>
    <n v="2481.1089999999999"/>
    <m/>
    <m/>
    <m/>
    <m/>
  </r>
  <r>
    <x v="2"/>
    <x v="0"/>
    <n v="31.995999999999999"/>
    <n v="24.999237964559462"/>
    <x v="2"/>
    <x v="0"/>
    <m/>
    <n v="0.68700000000000006"/>
    <n v="5808.1450000000004"/>
    <m/>
    <m/>
    <m/>
    <m/>
  </r>
  <r>
    <x v="2"/>
    <x v="0"/>
    <n v="31.995999999999999"/>
    <n v="24.999237964559462"/>
    <x v="2"/>
    <x v="6"/>
    <n v="6.2"/>
    <n v="0"/>
    <n v="1918.0730000000001"/>
    <n v="3.4820000000000002"/>
    <n v="31.28"/>
    <n v="330.738"/>
    <n v="4796"/>
  </r>
  <r>
    <x v="2"/>
    <x v="0"/>
    <n v="32.006999999999998"/>
    <n v="25.007832526930077"/>
    <x v="2"/>
    <x v="33"/>
    <n v="6.34"/>
    <n v="0"/>
    <n v="2434.0369999999998"/>
    <n v="4.2779999999999996"/>
    <n v="35.58"/>
    <n v="334.04199999999997"/>
    <n v="4474"/>
  </r>
  <r>
    <x v="2"/>
    <x v="0"/>
    <n v="31.992000000000001"/>
    <n v="24.996112669151969"/>
    <x v="2"/>
    <x v="0"/>
    <m/>
    <n v="0"/>
    <n v="2126.0120000000002"/>
    <m/>
    <m/>
    <m/>
    <m/>
  </r>
  <r>
    <x v="2"/>
    <x v="0"/>
    <n v="32.005000000000003"/>
    <n v="25.006269879226334"/>
    <x v="3"/>
    <x v="0"/>
    <m/>
    <n v="0.60799999999999998"/>
    <n v="205.655"/>
    <m/>
    <m/>
    <m/>
    <m/>
  </r>
  <r>
    <x v="2"/>
    <x v="0"/>
    <n v="31.997"/>
    <n v="25.000019288411337"/>
    <x v="3"/>
    <x v="0"/>
    <m/>
    <n v="1.8919999999999999"/>
    <n v="260.49599999999998"/>
    <m/>
    <m/>
    <m/>
    <m/>
  </r>
  <r>
    <x v="2"/>
    <x v="0"/>
    <n v="31.995999999999999"/>
    <n v="24.999237964559462"/>
    <x v="3"/>
    <x v="0"/>
    <m/>
    <n v="0.435"/>
    <n v="138.47399999999999"/>
    <m/>
    <m/>
    <m/>
    <m/>
  </r>
  <r>
    <x v="2"/>
    <x v="0"/>
    <n v="31.995000000000001"/>
    <n v="24.998456640707591"/>
    <x v="3"/>
    <x v="34"/>
    <n v="6.2"/>
    <n v="0.72699999999999998"/>
    <n v="137.56"/>
    <n v="19.84"/>
    <n v="31.78"/>
    <n v="449.08"/>
    <n v="4256"/>
  </r>
  <r>
    <x v="2"/>
    <x v="0"/>
    <n v="32.006999999999998"/>
    <n v="25.007832526930077"/>
    <x v="3"/>
    <x v="35"/>
    <n v="6.1"/>
    <n v="0.42"/>
    <n v="164.98099999999999"/>
    <n v="19.79"/>
    <n v="35.020000000000003"/>
    <n v="520.19000000000005"/>
    <n v="5017"/>
  </r>
  <r>
    <x v="2"/>
    <x v="0"/>
    <n v="31.991"/>
    <n v="24.995331345300094"/>
    <x v="3"/>
    <x v="0"/>
    <m/>
    <n v="0.39200000000000002"/>
    <n v="103.741"/>
    <m/>
    <m/>
    <m/>
    <m/>
  </r>
  <r>
    <x v="2"/>
    <x v="1"/>
    <n v="31.995999999999999"/>
    <n v="24.999237964559462"/>
    <x v="0"/>
    <x v="0"/>
    <m/>
    <n v="441.19839999999999"/>
    <n v="4815.518"/>
    <m/>
    <m/>
    <m/>
    <m/>
  </r>
  <r>
    <x v="2"/>
    <x v="1"/>
    <n v="32.003"/>
    <n v="25.004707231522584"/>
    <x v="0"/>
    <x v="0"/>
    <m/>
    <n v="373.02199999999999"/>
    <n v="8502.2209999999995"/>
    <m/>
    <m/>
    <m/>
    <m/>
  </r>
  <r>
    <x v="2"/>
    <x v="1"/>
    <n v="31.994"/>
    <n v="24.997675316855716"/>
    <x v="0"/>
    <x v="0"/>
    <m/>
    <n v="414.18799999999999"/>
    <n v="5421.5140000000001"/>
    <m/>
    <m/>
    <m/>
    <m/>
  </r>
  <r>
    <x v="2"/>
    <x v="1"/>
    <n v="32.006"/>
    <n v="25.007051203078206"/>
    <x v="0"/>
    <x v="30"/>
    <n v="6.4"/>
    <n v="432.666"/>
    <n v="4645.0529999999999"/>
    <n v="4.343"/>
    <n v="2.9085000000000001"/>
    <n v="6.8434999999999988"/>
    <n v="51.19"/>
  </r>
  <r>
    <x v="2"/>
    <x v="1"/>
    <n v="31.995000000000001"/>
    <n v="24.998456640707591"/>
    <x v="0"/>
    <x v="36"/>
    <n v="6.44"/>
    <n v="434.24900000000002"/>
    <n v="5796.72"/>
    <n v="4.2204999999999995"/>
    <n v="3.2309999999999999"/>
    <n v="4.6485000000000003"/>
    <n v="42.39"/>
  </r>
  <r>
    <x v="2"/>
    <x v="1"/>
    <n v="32.009"/>
    <n v="25.009395174633827"/>
    <x v="0"/>
    <x v="0"/>
    <m/>
    <n v="415.12400000000002"/>
    <n v="5449.3919999999998"/>
    <m/>
    <m/>
    <m/>
    <m/>
  </r>
  <r>
    <x v="2"/>
    <x v="1"/>
    <n v="31.998999999999999"/>
    <n v="25.001581936115088"/>
    <x v="1"/>
    <x v="0"/>
    <m/>
    <n v="2.5430000000000001"/>
    <n v="10680.789000000001"/>
    <m/>
    <m/>
    <m/>
    <m/>
  </r>
  <r>
    <x v="2"/>
    <x v="1"/>
    <n v="32"/>
    <n v="25.002363259966963"/>
    <x v="1"/>
    <x v="0"/>
    <m/>
    <n v="0.188"/>
    <n v="8850.0059999999994"/>
    <m/>
    <m/>
    <m/>
    <m/>
  </r>
  <r>
    <x v="2"/>
    <x v="1"/>
    <n v="32.012"/>
    <n v="25.011739146189448"/>
    <x v="1"/>
    <x v="0"/>
    <m/>
    <n v="0.14899999999999999"/>
    <n v="10569.735000000001"/>
    <m/>
    <m/>
    <m/>
    <m/>
  </r>
  <r>
    <x v="2"/>
    <x v="1"/>
    <n v="32.003999999999998"/>
    <n v="25.005488555374455"/>
    <x v="1"/>
    <x v="37"/>
    <n v="5.62"/>
    <n v="6.4000000000000001E-2"/>
    <n v="11282.215"/>
    <n v="0.2974"/>
    <n v="10.009999999999998"/>
    <n v="15.832337991266382"/>
    <n v="250.6"/>
  </r>
  <r>
    <x v="2"/>
    <x v="1"/>
    <n v="31.998999999999999"/>
    <n v="25.001581936115088"/>
    <x v="1"/>
    <x v="37"/>
    <n v="5.74"/>
    <n v="7.3999999999999996E-2"/>
    <n v="11098.954"/>
    <n v="0.19769999999999999"/>
    <n v="10.215"/>
    <n v="13.185553275109173"/>
    <n v="252"/>
  </r>
  <r>
    <x v="2"/>
    <x v="1"/>
    <n v="31.995000000000001"/>
    <n v="24.998456640707591"/>
    <x v="1"/>
    <x v="0"/>
    <m/>
    <n v="7.4999999999999997E-2"/>
    <n v="8601.85"/>
    <m/>
    <m/>
    <m/>
    <m/>
  </r>
  <r>
    <x v="2"/>
    <x v="1"/>
    <n v="32"/>
    <n v="25.002363259966963"/>
    <x v="2"/>
    <x v="0"/>
    <m/>
    <n v="0"/>
    <n v="2095.85"/>
    <m/>
    <m/>
    <m/>
    <m/>
  </r>
  <r>
    <x v="2"/>
    <x v="1"/>
    <n v="32.003"/>
    <n v="25.004707231522584"/>
    <x v="2"/>
    <x v="0"/>
    <m/>
    <n v="0"/>
    <n v="2078.4830000000002"/>
    <m/>
    <m/>
    <m/>
    <m/>
  </r>
  <r>
    <x v="2"/>
    <x v="1"/>
    <n v="32.009"/>
    <n v="25.009395174633827"/>
    <x v="2"/>
    <x v="0"/>
    <m/>
    <n v="0"/>
    <n v="2702.3020000000001"/>
    <m/>
    <m/>
    <m/>
    <m/>
  </r>
  <r>
    <x v="2"/>
    <x v="1"/>
    <n v="31.998000000000001"/>
    <n v="25.000800612263212"/>
    <x v="2"/>
    <x v="38"/>
    <n v="6.08"/>
    <n v="0"/>
    <n v="2098.1350000000002"/>
    <n v="4.7460000000000004"/>
    <n v="38.020000000000003"/>
    <n v="336.93400000000003"/>
    <n v="4509"/>
  </r>
  <r>
    <x v="2"/>
    <x v="1"/>
    <n v="32.006"/>
    <n v="25.007051203078206"/>
    <x v="2"/>
    <x v="39"/>
    <n v="6.14"/>
    <n v="0"/>
    <n v="2263.1149999999998"/>
    <n v="4.117"/>
    <n v="36.92"/>
    <n v="360.26299999999998"/>
    <n v="4655"/>
  </r>
  <r>
    <x v="2"/>
    <x v="1"/>
    <n v="32.002000000000002"/>
    <n v="25.003925907670713"/>
    <x v="2"/>
    <x v="0"/>
    <m/>
    <n v="0"/>
    <n v="4325.6030000000001"/>
    <m/>
    <m/>
    <m/>
    <m/>
  </r>
  <r>
    <x v="2"/>
    <x v="1"/>
    <n v="31.994"/>
    <n v="24.997675316855716"/>
    <x v="3"/>
    <x v="0"/>
    <m/>
    <n v="0.54700000000000004"/>
    <n v="132.53299999999999"/>
    <m/>
    <m/>
    <m/>
    <m/>
  </r>
  <r>
    <x v="2"/>
    <x v="1"/>
    <n v="32.014000000000003"/>
    <n v="25.013301793893199"/>
    <x v="3"/>
    <x v="0"/>
    <m/>
    <n v="0.44900000000000001"/>
    <n v="107.854"/>
    <m/>
    <m/>
    <m/>
    <m/>
  </r>
  <r>
    <x v="2"/>
    <x v="1"/>
    <n v="31.997"/>
    <n v="25.000019288411337"/>
    <x v="3"/>
    <x v="0"/>
    <m/>
    <n v="0.54900000000000004"/>
    <n v="136.64599999999999"/>
    <m/>
    <m/>
    <m/>
    <m/>
  </r>
  <r>
    <x v="2"/>
    <x v="1"/>
    <n v="32.002000000000002"/>
    <n v="25.003925907670713"/>
    <x v="3"/>
    <x v="35"/>
    <n v="5.96"/>
    <n v="0.55800000000000005"/>
    <n v="149.899"/>
    <n v="17.88"/>
    <n v="30.619999999999997"/>
    <n v="590.6"/>
    <n v="6235"/>
  </r>
  <r>
    <x v="2"/>
    <x v="1"/>
    <n v="32"/>
    <n v="25.002363259966963"/>
    <x v="3"/>
    <x v="40"/>
    <n v="6.08"/>
    <n v="0.96299999999999997"/>
    <n v="193.77199999999999"/>
    <n v="17.79"/>
    <n v="30.92"/>
    <n v="611.19000000000005"/>
    <n v="6425"/>
  </r>
  <r>
    <x v="2"/>
    <x v="1"/>
    <n v="31.992000000000001"/>
    <n v="24.996112669151969"/>
    <x v="3"/>
    <x v="0"/>
    <m/>
    <n v="0.877"/>
    <n v="119.28"/>
    <m/>
    <m/>
    <m/>
    <m/>
  </r>
  <r>
    <x v="3"/>
    <x v="0"/>
    <n v="31.995999999999999"/>
    <n v="24.999237964559462"/>
    <x v="0"/>
    <x v="0"/>
    <m/>
    <n v="564.7114499999999"/>
    <n v="3426.951"/>
    <m/>
    <m/>
    <m/>
    <m/>
  </r>
  <r>
    <x v="3"/>
    <x v="0"/>
    <n v="32.002000000000002"/>
    <n v="25.003925907670713"/>
    <x v="0"/>
    <x v="0"/>
    <m/>
    <n v="511.23924999999991"/>
    <n v="3327.9720000000002"/>
    <m/>
    <m/>
    <m/>
    <m/>
  </r>
  <r>
    <x v="3"/>
    <x v="0"/>
    <n v="32.000999999999998"/>
    <n v="25.003144583818834"/>
    <x v="0"/>
    <x v="0"/>
    <m/>
    <n v="599.93044999999995"/>
    <n v="5283.5230000000001"/>
    <m/>
    <m/>
    <m/>
    <m/>
  </r>
  <r>
    <x v="3"/>
    <x v="0"/>
    <n v="31.997"/>
    <n v="25.000019288411337"/>
    <x v="0"/>
    <x v="41"/>
    <n v="6.36"/>
    <n v="585.65424999999993"/>
    <n v="4223.0290000000005"/>
    <n v="0.90300000000000002"/>
    <n v="4.0179999999999998"/>
    <n v="7.0590000000000011"/>
    <n v="58.4"/>
  </r>
  <r>
    <x v="3"/>
    <x v="0"/>
    <n v="32.005000000000003"/>
    <n v="25.006269879226334"/>
    <x v="0"/>
    <x v="42"/>
    <n v="6.46"/>
    <n v="610.76059999999995"/>
    <n v="3677.2280000000001"/>
    <n v="0.93149999999999999"/>
    <n v="3.383"/>
    <n v="7.1305000000000014"/>
    <n v="54.95"/>
  </r>
  <r>
    <x v="3"/>
    <x v="0"/>
    <n v="31.995000000000001"/>
    <n v="24.998456640707591"/>
    <x v="0"/>
    <x v="0"/>
    <m/>
    <n v="672.98219999999992"/>
    <n v="5654.5540000000001"/>
    <m/>
    <m/>
    <m/>
    <m/>
  </r>
  <r>
    <x v="3"/>
    <x v="0"/>
    <n v="32.002000000000002"/>
    <n v="25.003925907670713"/>
    <x v="1"/>
    <x v="0"/>
    <m/>
    <n v="4.415"/>
    <n v="7927.9709999999995"/>
    <m/>
    <m/>
    <m/>
    <m/>
  </r>
  <r>
    <x v="3"/>
    <x v="0"/>
    <n v="31.997"/>
    <n v="25.000019288411337"/>
    <x v="1"/>
    <x v="0"/>
    <m/>
    <n v="0.24299999999999999"/>
    <n v="8228.02"/>
    <m/>
    <m/>
    <m/>
    <m/>
  </r>
  <r>
    <x v="3"/>
    <x v="0"/>
    <n v="32"/>
    <n v="25.002363259966963"/>
    <x v="1"/>
    <x v="0"/>
    <m/>
    <n v="0.13800000000000001"/>
    <n v="8095.1040000000003"/>
    <m/>
    <m/>
    <m/>
    <m/>
  </r>
  <r>
    <x v="3"/>
    <x v="0"/>
    <n v="31.995000000000001"/>
    <n v="24.998456640707591"/>
    <x v="1"/>
    <x v="31"/>
    <n v="5.6"/>
    <n v="0.126"/>
    <n v="8039.11"/>
    <n v="0.31519999999999998"/>
    <n v="12.125"/>
    <n v="19.865476855895192"/>
    <n v="277.3"/>
  </r>
  <r>
    <x v="3"/>
    <x v="0"/>
    <n v="32.003999999999998"/>
    <n v="25.005488555374455"/>
    <x v="1"/>
    <x v="19"/>
    <n v="5.7"/>
    <n v="0.104"/>
    <n v="8200.3060000000005"/>
    <n v="0.18004999999999999"/>
    <n v="12.04"/>
    <n v="17.814884497816593"/>
    <n v="274.20000000000005"/>
  </r>
  <r>
    <x v="3"/>
    <x v="0"/>
    <n v="31.997"/>
    <n v="25.000019288411337"/>
    <x v="1"/>
    <x v="0"/>
    <m/>
    <n v="7.6999999999999999E-2"/>
    <n v="8073.3289999999997"/>
    <m/>
    <m/>
    <m/>
    <m/>
  </r>
  <r>
    <x v="3"/>
    <x v="0"/>
    <n v="32.006"/>
    <n v="25.007051203078206"/>
    <x v="2"/>
    <x v="0"/>
    <m/>
    <n v="5.1999999999999998E-2"/>
    <n v="2563.002"/>
    <m/>
    <m/>
    <m/>
    <m/>
  </r>
  <r>
    <x v="3"/>
    <x v="0"/>
    <n v="31.997"/>
    <n v="25.000019288411337"/>
    <x v="2"/>
    <x v="0"/>
    <m/>
    <n v="4.9000000000000002E-2"/>
    <n v="2317.25"/>
    <m/>
    <m/>
    <m/>
    <m/>
  </r>
  <r>
    <x v="3"/>
    <x v="0"/>
    <n v="31.995000000000001"/>
    <n v="24.998456640707591"/>
    <x v="2"/>
    <x v="0"/>
    <m/>
    <n v="4.2999999999999997E-2"/>
    <n v="2379.7489999999998"/>
    <m/>
    <m/>
    <m/>
    <m/>
  </r>
  <r>
    <x v="3"/>
    <x v="0"/>
    <n v="31.994"/>
    <n v="24.997675316855716"/>
    <x v="2"/>
    <x v="43"/>
    <n v="6.3"/>
    <n v="5.3999999999999999E-2"/>
    <n v="2403.221"/>
    <n v="5.1920000000000002"/>
    <n v="42.29"/>
    <n v="400.11799999999999"/>
    <n v="4634"/>
  </r>
  <r>
    <x v="3"/>
    <x v="0"/>
    <n v="32.005000000000003"/>
    <n v="25.006269879226334"/>
    <x v="2"/>
    <x v="44"/>
    <n v="6.24"/>
    <n v="0"/>
    <n v="2245.4189999999999"/>
    <n v="4.57"/>
    <n v="38.590000000000003"/>
    <n v="308.73999999999995"/>
    <n v="4525"/>
  </r>
  <r>
    <x v="3"/>
    <x v="0"/>
    <n v="32.000999999999998"/>
    <n v="25.003144583818834"/>
    <x v="2"/>
    <x v="0"/>
    <m/>
    <n v="6.3E-2"/>
    <n v="2359.1039999999998"/>
    <m/>
    <m/>
    <m/>
    <m/>
  </r>
  <r>
    <x v="3"/>
    <x v="0"/>
    <n v="32.01"/>
    <n v="25.010176498485698"/>
    <x v="3"/>
    <x v="0"/>
    <m/>
    <n v="0.64700000000000002"/>
    <n v="107.46299999999999"/>
    <m/>
    <m/>
    <m/>
    <m/>
  </r>
  <r>
    <x v="3"/>
    <x v="0"/>
    <n v="32.006"/>
    <n v="25.007051203078206"/>
    <x v="3"/>
    <x v="0"/>
    <m/>
    <n v="0.65300000000000002"/>
    <n v="158.65"/>
    <m/>
    <m/>
    <m/>
    <m/>
  </r>
  <r>
    <x v="3"/>
    <x v="0"/>
    <n v="32"/>
    <n v="25.002363259966963"/>
    <x v="3"/>
    <x v="0"/>
    <m/>
    <n v="1.5209999999999999"/>
    <n v="151.58000000000001"/>
    <m/>
    <m/>
    <m/>
    <m/>
  </r>
  <r>
    <x v="3"/>
    <x v="0"/>
    <n v="32.000999999999998"/>
    <n v="25.003144583818834"/>
    <x v="3"/>
    <x v="45"/>
    <n v="6.36"/>
    <n v="1.151"/>
    <n v="91.061000000000007"/>
    <n v="16.220000000000002"/>
    <n v="36.299999999999997"/>
    <n v="304.47999999999996"/>
    <n v="6051"/>
  </r>
  <r>
    <x v="3"/>
    <x v="0"/>
    <n v="31.99"/>
    <n v="24.994550021448219"/>
    <x v="3"/>
    <x v="34"/>
    <n v="6.12"/>
    <n v="1.0860000000000001"/>
    <n v="95.302999999999997"/>
    <n v="16.259999999999998"/>
    <n v="35.43"/>
    <n v="299.41000000000003"/>
    <n v="6286"/>
  </r>
  <r>
    <x v="3"/>
    <x v="0"/>
    <n v="32.006999999999998"/>
    <n v="25.007832526930077"/>
    <x v="3"/>
    <x v="0"/>
    <m/>
    <n v="1.004"/>
    <n v="105.767"/>
    <m/>
    <m/>
    <m/>
    <m/>
  </r>
  <r>
    <x v="3"/>
    <x v="1"/>
    <n v="32.006"/>
    <n v="25.007051203078206"/>
    <x v="0"/>
    <x v="0"/>
    <m/>
    <n v="544.66449999999998"/>
    <n v="3240.587"/>
    <m/>
    <m/>
    <m/>
    <m/>
  </r>
  <r>
    <x v="3"/>
    <x v="1"/>
    <n v="31.998999999999999"/>
    <n v="25.001581936115088"/>
    <x v="0"/>
    <x v="0"/>
    <m/>
    <n v="562.91769999999997"/>
    <n v="3371.5230000000001"/>
    <m/>
    <m/>
    <m/>
    <m/>
  </r>
  <r>
    <x v="3"/>
    <x v="1"/>
    <n v="31.995999999999999"/>
    <n v="24.999237964559462"/>
    <x v="0"/>
    <x v="0"/>
    <m/>
    <n v="570.7281999999999"/>
    <n v="3366.4319999999998"/>
    <m/>
    <m/>
    <m/>
    <m/>
  </r>
  <r>
    <x v="3"/>
    <x v="1"/>
    <n v="32"/>
    <n v="25.002363259966963"/>
    <x v="0"/>
    <x v="46"/>
    <n v="6.36"/>
    <n v="3.0954999999999999"/>
    <n v="2844.386"/>
    <n v="1.1865000000000001"/>
    <n v="3.532"/>
    <n v="7.7115000000000009"/>
    <n v="55.29"/>
  </r>
  <r>
    <x v="3"/>
    <x v="1"/>
    <n v="32"/>
    <n v="25.002363259966963"/>
    <x v="0"/>
    <x v="47"/>
    <n v="6.42"/>
    <n v="555.19330000000002"/>
    <n v="3150.94"/>
    <n v="0.54300000000000004"/>
    <n v="3.4449999999999998"/>
    <n v="7.4769999999999994"/>
    <n v="51.989999999999995"/>
  </r>
  <r>
    <x v="3"/>
    <x v="1"/>
    <n v="32.003999999999998"/>
    <n v="25.005488555374455"/>
    <x v="0"/>
    <x v="0"/>
    <m/>
    <n v="616.50675000000001"/>
    <n v="4120.09"/>
    <m/>
    <m/>
    <m/>
    <m/>
  </r>
  <r>
    <x v="3"/>
    <x v="1"/>
    <n v="32.012999999999998"/>
    <n v="25.01252047004132"/>
    <x v="1"/>
    <x v="0"/>
    <m/>
    <n v="2.8690000000000002"/>
    <n v="5589.5110000000004"/>
    <m/>
    <m/>
    <m/>
    <m/>
  </r>
  <r>
    <x v="3"/>
    <x v="1"/>
    <n v="31.992999999999999"/>
    <n v="24.996893993003841"/>
    <x v="1"/>
    <x v="0"/>
    <m/>
    <n v="386.86900000000003"/>
    <n v="11126.138000000001"/>
    <m/>
    <m/>
    <m/>
    <m/>
  </r>
  <r>
    <x v="3"/>
    <x v="1"/>
    <n v="32.000999999999998"/>
    <n v="25.003144583818834"/>
    <x v="1"/>
    <x v="0"/>
    <m/>
    <n v="2.0529999999999999"/>
    <n v="8166.6530000000002"/>
    <m/>
    <m/>
    <m/>
    <m/>
  </r>
  <r>
    <x v="3"/>
    <x v="1"/>
    <n v="31.995000000000001"/>
    <n v="24.998456640707591"/>
    <x v="1"/>
    <x v="37"/>
    <n v="5.66"/>
    <n v="0.33600000000000002"/>
    <n v="8063.4309999999996"/>
    <n v="0.29830000000000001"/>
    <n v="11.67"/>
    <n v="17.988031877729266"/>
    <n v="252.60000000000002"/>
  </r>
  <r>
    <x v="3"/>
    <x v="1"/>
    <n v="31.989000000000001"/>
    <n v="24.993768697596348"/>
    <x v="1"/>
    <x v="48"/>
    <n v="5.74"/>
    <n v="0.11899999999999999"/>
    <n v="7694.0969999999998"/>
    <n v="0.34675"/>
    <n v="11.719999999999999"/>
    <n v="16.457267467248908"/>
    <n v="255"/>
  </r>
  <r>
    <x v="3"/>
    <x v="1"/>
    <n v="32.008000000000003"/>
    <n v="25.008613850781956"/>
    <x v="1"/>
    <x v="0"/>
    <m/>
    <n v="9.9000000000000005E-2"/>
    <n v="10259.644"/>
    <m/>
    <m/>
    <m/>
    <m/>
  </r>
  <r>
    <x v="3"/>
    <x v="1"/>
    <n v="32.003"/>
    <n v="25.004707231522584"/>
    <x v="2"/>
    <x v="0"/>
    <m/>
    <n v="0.41799999999999998"/>
    <n v="2889.069"/>
    <m/>
    <m/>
    <m/>
    <m/>
  </r>
  <r>
    <x v="3"/>
    <x v="1"/>
    <n v="31.995000000000001"/>
    <n v="24.998456640707591"/>
    <x v="2"/>
    <x v="0"/>
    <m/>
    <n v="9.4E-2"/>
    <n v="2147.288"/>
    <m/>
    <m/>
    <m/>
    <m/>
  </r>
  <r>
    <x v="3"/>
    <x v="1"/>
    <n v="31.991"/>
    <n v="24.995331345300094"/>
    <x v="2"/>
    <x v="0"/>
    <m/>
    <n v="5.2999999999999999E-2"/>
    <n v="2440.5500000000002"/>
    <m/>
    <m/>
    <m/>
    <m/>
  </r>
  <r>
    <x v="3"/>
    <x v="1"/>
    <n v="32.015000000000001"/>
    <n v="25.01408311774507"/>
    <x v="2"/>
    <x v="49"/>
    <n v="6.22"/>
    <n v="2E-3"/>
    <n v="2058.4899999999998"/>
    <n v="5.21"/>
    <n v="43.28"/>
    <n v="367.91"/>
    <n v="4780"/>
  </r>
  <r>
    <x v="3"/>
    <x v="1"/>
    <n v="32.008000000000003"/>
    <n v="25.008613850781956"/>
    <x v="2"/>
    <x v="50"/>
    <n v="6.24"/>
    <n v="1E-3"/>
    <n v="2284.7289999999998"/>
    <n v="5.0579999999999998"/>
    <n v="43.37"/>
    <n v="392.47199999999998"/>
    <n v="4231"/>
  </r>
  <r>
    <x v="3"/>
    <x v="1"/>
    <n v="32.009"/>
    <n v="25.009395174633827"/>
    <x v="2"/>
    <x v="0"/>
    <m/>
    <n v="6.4000000000000001E-2"/>
    <n v="2245.9850000000001"/>
    <m/>
    <m/>
    <m/>
    <m/>
  </r>
  <r>
    <x v="3"/>
    <x v="1"/>
    <n v="31.992999999999999"/>
    <n v="24.996893993003841"/>
    <x v="3"/>
    <x v="0"/>
    <m/>
    <n v="0.92100000000000004"/>
    <n v="105.48399999999999"/>
    <m/>
    <m/>
    <m/>
    <m/>
  </r>
  <r>
    <x v="3"/>
    <x v="1"/>
    <n v="32.006999999999998"/>
    <n v="25.007832526930077"/>
    <x v="3"/>
    <x v="0"/>
    <m/>
    <n v="0.73799999999999999"/>
    <n v="70.134"/>
    <m/>
    <m/>
    <m/>
    <m/>
  </r>
  <r>
    <x v="3"/>
    <x v="1"/>
    <n v="32.003999999999998"/>
    <n v="25.005488555374455"/>
    <x v="3"/>
    <x v="0"/>
    <m/>
    <n v="1.129"/>
    <n v="119.907"/>
    <m/>
    <m/>
    <m/>
    <m/>
  </r>
  <r>
    <x v="3"/>
    <x v="1"/>
    <n v="32.006"/>
    <n v="25.007051203078206"/>
    <x v="3"/>
    <x v="51"/>
    <n v="6.1"/>
    <n v="0.76500000000000001"/>
    <n v="77.486999999999995"/>
    <n v="16.37"/>
    <n v="34.5"/>
    <n v="631.83000000000004"/>
    <n v="4521"/>
  </r>
  <r>
    <x v="3"/>
    <x v="1"/>
    <n v="31.997"/>
    <n v="25.000019288411337"/>
    <x v="3"/>
    <x v="52"/>
    <n v="6"/>
    <n v="0.83499999999999996"/>
    <n v="102.09"/>
    <n v="16.919999999999998"/>
    <n v="34.46"/>
    <n v="615.32000000000005"/>
    <n v="5472"/>
  </r>
  <r>
    <x v="3"/>
    <x v="1"/>
    <n v="31.997"/>
    <n v="25.000019288411337"/>
    <x v="3"/>
    <x v="0"/>
    <m/>
    <n v="0.82899999999999996"/>
    <n v="99.828000000000003"/>
    <m/>
    <m/>
    <m/>
    <m/>
  </r>
  <r>
    <x v="4"/>
    <x v="0"/>
    <n v="31.995000000000001"/>
    <n v="24.998456640707591"/>
    <x v="0"/>
    <x v="0"/>
    <m/>
    <n v="650.55243000000007"/>
    <n v="3858.0990000000002"/>
    <m/>
    <m/>
    <m/>
    <m/>
  </r>
  <r>
    <x v="4"/>
    <x v="0"/>
    <n v="32.002000000000002"/>
    <n v="25.003925907670713"/>
    <x v="0"/>
    <x v="0"/>
    <m/>
    <n v="697.17340000000002"/>
    <n v="4048.558"/>
    <m/>
    <m/>
    <m/>
    <m/>
  </r>
  <r>
    <x v="4"/>
    <x v="0"/>
    <n v="32.003"/>
    <n v="25.004707231522584"/>
    <x v="0"/>
    <x v="0"/>
    <m/>
    <n v="670.0378300000001"/>
    <n v="3903.433"/>
    <m/>
    <m/>
    <m/>
    <m/>
  </r>
  <r>
    <x v="4"/>
    <x v="0"/>
    <n v="31.995999999999999"/>
    <n v="24.999237964559462"/>
    <x v="0"/>
    <x v="53"/>
    <n v="6.32"/>
    <n v="720.38384000000008"/>
    <n v="4955.5169999999998"/>
    <n v="0.31015000000000004"/>
    <n v="4.4390000000000001"/>
    <n v="8.2808499999999992"/>
    <n v="63.81"/>
  </r>
  <r>
    <x v="4"/>
    <x v="0"/>
    <n v="32.002000000000002"/>
    <n v="25.003925907670713"/>
    <x v="0"/>
    <x v="54"/>
    <n v="6.4"/>
    <n v="657.97820000000002"/>
    <n v="3818.0169999999998"/>
    <n v="3.5130000000000002E-2"/>
    <n v="4.548"/>
    <n v="7.5368699999999995"/>
    <n v="57"/>
  </r>
  <r>
    <x v="4"/>
    <x v="0"/>
    <n v="31.998000000000001"/>
    <n v="25.000800612263212"/>
    <x v="0"/>
    <x v="0"/>
    <m/>
    <n v="631.40737000000001"/>
    <n v="3734.5360000000001"/>
    <m/>
    <m/>
    <m/>
    <m/>
  </r>
  <r>
    <x v="4"/>
    <x v="0"/>
    <n v="32.002000000000002"/>
    <n v="25.003925907670713"/>
    <x v="1"/>
    <x v="0"/>
    <m/>
    <n v="3.5369999999999999"/>
    <n v="10274.812"/>
    <m/>
    <m/>
    <m/>
    <m/>
  </r>
  <r>
    <x v="4"/>
    <x v="0"/>
    <n v="31.995999999999999"/>
    <n v="24.999237964559462"/>
    <x v="1"/>
    <x v="0"/>
    <m/>
    <n v="0.24399999999999999"/>
    <n v="10483.237999999999"/>
    <m/>
    <m/>
    <m/>
    <m/>
  </r>
  <r>
    <x v="4"/>
    <x v="0"/>
    <n v="31.998999999999999"/>
    <n v="25.001581936115088"/>
    <x v="1"/>
    <x v="0"/>
    <m/>
    <n v="369.56400000000002"/>
    <n v="20236.432000000001"/>
    <m/>
    <m/>
    <m/>
    <m/>
  </r>
  <r>
    <x v="4"/>
    <x v="0"/>
    <n v="31.994"/>
    <n v="24.997675316855716"/>
    <x v="1"/>
    <x v="55"/>
    <n v="5.74"/>
    <n v="1.99"/>
    <n v="9901.9110000000001"/>
    <n v="0.28594999999999998"/>
    <n v="13.81"/>
    <n v="20.16605873362446"/>
    <n v="303.8"/>
  </r>
  <r>
    <x v="4"/>
    <x v="0"/>
    <n v="31.991"/>
    <n v="24.995331345300094"/>
    <x v="1"/>
    <x v="56"/>
    <n v="5.86"/>
    <n v="0.22900000000000001"/>
    <n v="9862.1049999999996"/>
    <n v="0.25940000000000002"/>
    <n v="13.64"/>
    <n v="19.122434061135372"/>
    <n v="295.89999999999998"/>
  </r>
  <r>
    <x v="4"/>
    <x v="0"/>
    <n v="32.011000000000003"/>
    <n v="25.010957822337577"/>
    <x v="1"/>
    <x v="0"/>
    <m/>
    <n v="2.4620000000000002"/>
    <n v="8277.0689999999995"/>
    <m/>
    <m/>
    <m/>
    <m/>
  </r>
  <r>
    <x v="4"/>
    <x v="0"/>
    <n v="31.995999999999999"/>
    <n v="24.999237964559462"/>
    <x v="2"/>
    <x v="0"/>
    <m/>
    <n v="0.153"/>
    <n v="4399.6210000000001"/>
    <m/>
    <m/>
    <m/>
    <m/>
  </r>
  <r>
    <x v="4"/>
    <x v="0"/>
    <n v="32"/>
    <n v="25.002363259966963"/>
    <x v="2"/>
    <x v="0"/>
    <m/>
    <n v="9.2999999999999999E-2"/>
    <n v="3958.1660000000002"/>
    <m/>
    <m/>
    <m/>
    <m/>
  </r>
  <r>
    <x v="4"/>
    <x v="0"/>
    <n v="32.003"/>
    <n v="25.004707231522584"/>
    <x v="2"/>
    <x v="0"/>
    <m/>
    <n v="0.106"/>
    <n v="3924.7179999999998"/>
    <m/>
    <m/>
    <m/>
    <m/>
  </r>
  <r>
    <x v="4"/>
    <x v="0"/>
    <n v="31.995000000000001"/>
    <n v="24.998456640707591"/>
    <x v="2"/>
    <x v="57"/>
    <n v="6.18"/>
    <n v="5.8000000000000003E-2"/>
    <n v="4250.9030000000002"/>
    <n v="4.8979999999999997"/>
    <n v="45.77"/>
    <n v="352.33199999999999"/>
    <n v="4867"/>
  </r>
  <r>
    <x v="4"/>
    <x v="0"/>
    <n v="31.995999999999999"/>
    <n v="24.999237964559462"/>
    <x v="2"/>
    <x v="58"/>
    <n v="6.42"/>
    <n v="3.5999999999999997E-2"/>
    <n v="4392.4340000000002"/>
    <n v="5.258"/>
    <n v="49"/>
    <n v="313.34200000000004"/>
    <n v="4997"/>
  </r>
  <r>
    <x v="4"/>
    <x v="0"/>
    <n v="31.995000000000001"/>
    <n v="24.998456640707591"/>
    <x v="2"/>
    <x v="0"/>
    <m/>
    <n v="8.2000000000000003E-2"/>
    <n v="2426.2049999999999"/>
    <m/>
    <m/>
    <m/>
    <m/>
  </r>
  <r>
    <x v="4"/>
    <x v="0"/>
    <n v="32.008000000000003"/>
    <n v="25.008613850781956"/>
    <x v="3"/>
    <x v="0"/>
    <m/>
    <n v="2.0979999999999999"/>
    <n v="272.28100000000001"/>
    <m/>
    <m/>
    <m/>
    <m/>
  </r>
  <r>
    <x v="4"/>
    <x v="0"/>
    <n v="31.997"/>
    <n v="25.000019288411337"/>
    <x v="3"/>
    <x v="0"/>
    <m/>
    <n v="1.0329999999999999"/>
    <n v="131.85599999999999"/>
    <m/>
    <m/>
    <m/>
    <m/>
  </r>
  <r>
    <x v="4"/>
    <x v="0"/>
    <n v="32.006999999999998"/>
    <n v="25.007832526930077"/>
    <x v="3"/>
    <x v="0"/>
    <m/>
    <n v="2.9319999999999999"/>
    <n v="247.126"/>
    <m/>
    <m/>
    <m/>
    <m/>
  </r>
  <r>
    <x v="4"/>
    <x v="0"/>
    <n v="31.995999999999999"/>
    <n v="24.999237964559462"/>
    <x v="3"/>
    <x v="59"/>
    <n v="6.38"/>
    <n v="0.79"/>
    <n v="246.02099999999999"/>
    <n v="7.1499999999999995"/>
    <n v="51.11"/>
    <n v="575.94000000000005"/>
    <n v="6141"/>
  </r>
  <r>
    <x v="4"/>
    <x v="0"/>
    <n v="32.003"/>
    <n v="25.004707231522584"/>
    <x v="3"/>
    <x v="40"/>
    <n v="6.32"/>
    <n v="5.5380000000000003"/>
    <n v="265.64699999999999"/>
    <n v="8.9139999999999997"/>
    <n v="50.55"/>
    <n v="587.63600000000008"/>
    <n v="6494"/>
  </r>
  <r>
    <x v="4"/>
    <x v="0"/>
    <n v="31.998999999999999"/>
    <n v="25.001581936115088"/>
    <x v="3"/>
    <x v="0"/>
    <m/>
    <n v="6.0999999999999999E-2"/>
    <n v="474.62599999999998"/>
    <m/>
    <m/>
    <m/>
    <m/>
  </r>
  <r>
    <x v="4"/>
    <x v="1"/>
    <n v="32.009"/>
    <n v="25.009395174633827"/>
    <x v="0"/>
    <x v="0"/>
    <m/>
    <n v="659.59948999999995"/>
    <n v="3965.9059999999999"/>
    <m/>
    <m/>
    <m/>
    <m/>
  </r>
  <r>
    <x v="4"/>
    <x v="1"/>
    <n v="32"/>
    <n v="25.002363259966963"/>
    <x v="0"/>
    <x v="0"/>
    <m/>
    <n v="539.54923000000008"/>
    <n v="4156.3639999999996"/>
    <m/>
    <m/>
    <m/>
    <m/>
  </r>
  <r>
    <x v="4"/>
    <x v="1"/>
    <n v="32.008000000000003"/>
    <n v="25.008613850781956"/>
    <x v="0"/>
    <x v="0"/>
    <m/>
    <n v="710.31015000000014"/>
    <n v="4610.5349999999999"/>
    <m/>
    <m/>
    <m/>
    <m/>
  </r>
  <r>
    <x v="4"/>
    <x v="1"/>
    <n v="31.997"/>
    <n v="25.000019288411337"/>
    <x v="0"/>
    <x v="30"/>
    <n v="6.28"/>
    <n v="694.80411000000004"/>
    <n v="4144.7539999999999"/>
    <n v="0.32655000000000001"/>
    <n v="5.67"/>
    <n v="5.883449999999999"/>
    <n v="64"/>
  </r>
  <r>
    <x v="4"/>
    <x v="1"/>
    <n v="31.997"/>
    <n v="25.000019288411337"/>
    <x v="0"/>
    <x v="60"/>
    <n v="6.46"/>
    <n v="714.15487000000007"/>
    <n v="4202.5280000000002"/>
    <n v="0.22055000000000002"/>
    <n v="5.1649999999999991"/>
    <n v="7.9694499999999993"/>
    <n v="66.740000000000009"/>
  </r>
  <r>
    <x v="4"/>
    <x v="1"/>
    <n v="31.998000000000001"/>
    <n v="25.000800612263212"/>
    <x v="0"/>
    <x v="0"/>
    <m/>
    <n v="688.72847999999999"/>
    <n v="4294.3019999999997"/>
    <m/>
    <m/>
    <m/>
    <m/>
  </r>
  <r>
    <x v="4"/>
    <x v="1"/>
    <n v="31.997"/>
    <n v="25.000019288411337"/>
    <x v="1"/>
    <x v="0"/>
    <m/>
    <n v="3.39"/>
    <n v="10314.894"/>
    <m/>
    <m/>
    <m/>
    <m/>
  </r>
  <r>
    <x v="4"/>
    <x v="1"/>
    <n v="31.998999999999999"/>
    <n v="25.001581936115088"/>
    <x v="1"/>
    <x v="0"/>
    <m/>
    <n v="0.22800000000000001"/>
    <n v="7011.8609999999999"/>
    <m/>
    <m/>
    <m/>
    <m/>
  </r>
  <r>
    <x v="4"/>
    <x v="1"/>
    <n v="32.01"/>
    <n v="25.010176498485698"/>
    <x v="1"/>
    <x v="0"/>
    <m/>
    <n v="0.20499999999999999"/>
    <n v="9710.3469999999998"/>
    <m/>
    <m/>
    <m/>
    <m/>
  </r>
  <r>
    <x v="4"/>
    <x v="1"/>
    <n v="32.003999999999998"/>
    <n v="25.005488555374455"/>
    <x v="1"/>
    <x v="48"/>
    <n v="5.7"/>
    <n v="0.13"/>
    <n v="10549.027"/>
    <n v="0.34470000000000001"/>
    <n v="14.66"/>
    <n v="23.955998689956338"/>
    <n v="289.20000000000005"/>
  </r>
  <r>
    <x v="4"/>
    <x v="1"/>
    <n v="31.995999999999999"/>
    <n v="24.999237964559462"/>
    <x v="1"/>
    <x v="48"/>
    <n v="5.64"/>
    <n v="0.36099999999999999"/>
    <n v="10285.868"/>
    <n v="0.23375000000000001"/>
    <n v="15.545"/>
    <n v="22.592429039301315"/>
    <n v="318.2"/>
  </r>
  <r>
    <x v="4"/>
    <x v="1"/>
    <n v="31.997"/>
    <n v="25.000019288411337"/>
    <x v="1"/>
    <x v="0"/>
    <m/>
    <n v="0.17499999999999999"/>
    <n v="8375.4779999999992"/>
    <m/>
    <m/>
    <m/>
    <m/>
  </r>
  <r>
    <x v="4"/>
    <x v="1"/>
    <n v="31.994"/>
    <n v="24.997675316855716"/>
    <x v="2"/>
    <x v="0"/>
    <m/>
    <n v="0.06"/>
    <n v="4745.1549999999997"/>
    <m/>
    <m/>
    <m/>
    <m/>
  </r>
  <r>
    <x v="4"/>
    <x v="1"/>
    <n v="31.995999999999999"/>
    <n v="24.999237964559462"/>
    <x v="2"/>
    <x v="0"/>
    <m/>
    <n v="2.306"/>
    <n v="2630.761"/>
    <m/>
    <m/>
    <m/>
    <m/>
  </r>
  <r>
    <x v="4"/>
    <x v="1"/>
    <n v="31.997"/>
    <n v="25.000019288411337"/>
    <x v="2"/>
    <x v="0"/>
    <m/>
    <n v="7.2999999999999995E-2"/>
    <n v="4603.8999999999996"/>
    <m/>
    <m/>
    <m/>
    <m/>
  </r>
  <r>
    <x v="4"/>
    <x v="1"/>
    <n v="32.003"/>
    <n v="25.004707231522584"/>
    <x v="2"/>
    <x v="21"/>
    <n v="6.7"/>
    <n v="4.4999999999999998E-2"/>
    <n v="5281.701"/>
    <n v="4.8570000000000002"/>
    <n v="44.19"/>
    <n v="363.25299999999999"/>
    <n v="5184"/>
  </r>
  <r>
    <x v="4"/>
    <x v="1"/>
    <n v="31.995000000000001"/>
    <n v="24.998456640707591"/>
    <x v="2"/>
    <x v="61"/>
    <n v="6.48"/>
    <n v="4.4999999999999998E-2"/>
    <n v="4888.0680000000002"/>
    <n v="4.2050000000000001"/>
    <n v="41.83"/>
    <n v="312.66500000000002"/>
    <n v="4885"/>
  </r>
  <r>
    <x v="4"/>
    <x v="1"/>
    <n v="32.000999999999998"/>
    <n v="25.003144583818834"/>
    <x v="2"/>
    <x v="0"/>
    <m/>
    <n v="4.8000000000000001E-2"/>
    <n v="2793.8530000000001"/>
    <m/>
    <m/>
    <m/>
    <m/>
  </r>
  <r>
    <x v="4"/>
    <x v="1"/>
    <n v="32.003"/>
    <n v="25.004707231522584"/>
    <x v="3"/>
    <x v="0"/>
    <m/>
    <n v="0.14099999999999999"/>
    <n v="344.98200000000003"/>
    <m/>
    <m/>
    <m/>
    <m/>
  </r>
  <r>
    <x v="4"/>
    <x v="1"/>
    <n v="32.01"/>
    <n v="25.010176498485698"/>
    <x v="3"/>
    <x v="0"/>
    <m/>
    <n v="2.157"/>
    <n v="281.40300000000002"/>
    <m/>
    <m/>
    <m/>
    <m/>
  </r>
  <r>
    <x v="4"/>
    <x v="1"/>
    <n v="31.998000000000001"/>
    <n v="25.000800612263212"/>
    <x v="3"/>
    <x v="0"/>
    <m/>
    <n v="0.06"/>
    <n v="566.67600000000004"/>
    <m/>
    <m/>
    <m/>
    <m/>
  </r>
  <r>
    <x v="4"/>
    <x v="1"/>
    <n v="32.006999999999998"/>
    <n v="25.007832526930077"/>
    <x v="3"/>
    <x v="62"/>
    <n v="6.44"/>
    <n v="9.2999999999999999E-2"/>
    <n v="463.56900000000002"/>
    <n v="6.3260000000000005"/>
    <n v="50.87"/>
    <n v="591.10399999999993"/>
    <n v="6140"/>
  </r>
  <r>
    <x v="4"/>
    <x v="1"/>
    <n v="31.989000000000001"/>
    <n v="24.993768697596348"/>
    <x v="3"/>
    <x v="63"/>
    <n v="6.36"/>
    <n v="2.8000000000000001E-2"/>
    <n v="348.02199999999999"/>
    <n v="7.306"/>
    <n v="48.879999999999995"/>
    <n v="390.11400000000003"/>
    <n v="7198"/>
  </r>
  <r>
    <x v="4"/>
    <x v="1"/>
    <n v="31.995000000000001"/>
    <n v="24.998456640707591"/>
    <x v="3"/>
    <x v="0"/>
    <m/>
    <n v="1.6419999999999999"/>
    <n v="115.547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0">
  <r>
    <n v="1"/>
    <s v="MTT No Till"/>
    <s v="a"/>
    <x v="0"/>
    <x v="0"/>
    <n v="32.000999999999998"/>
    <n v="25.003144583818834"/>
    <x v="0"/>
    <n v="4.7300000000000004"/>
    <x v="0"/>
    <n v="80.41479223688107"/>
    <n v="1.6031719632406087"/>
    <n v="39.43"/>
    <n v="2.2184999999999997"/>
    <n v="1.0765000000000029"/>
    <n v="51.660000000000004"/>
  </r>
  <r>
    <n v="2"/>
    <s v="MTT No Till"/>
    <s v="b"/>
    <x v="0"/>
    <x v="0"/>
    <n v="32.003"/>
    <n v="25.004707231522584"/>
    <x v="0"/>
    <n v="4.7699999999999996"/>
    <x v="1"/>
    <n v="78.310159133396454"/>
    <n v="1.5207542961884009"/>
    <n v="39.784999999999997"/>
    <n v="1.9364999999999999"/>
    <n v="3.0035000000000025"/>
    <n v="41.730000000000004"/>
  </r>
  <r>
    <n v="3"/>
    <s v="MTT No Till"/>
    <s v="c"/>
    <x v="0"/>
    <x v="0"/>
    <n v="31.997"/>
    <n v="25.000019288411337"/>
    <x v="0"/>
    <n v="4.9400000000000004"/>
    <x v="0"/>
    <n v="80.869857208166266"/>
    <n v="1.5873984867393673"/>
    <n v="38.6"/>
    <n v="1.7449999999999999"/>
    <n v="1.3900000000000006"/>
    <n v="42.190000000000005"/>
  </r>
  <r>
    <n v="7"/>
    <s v="MTT No Till"/>
    <s v="a"/>
    <x v="0"/>
    <x v="0"/>
    <n v="31.997"/>
    <n v="25.000019288411337"/>
    <x v="1"/>
    <n v="6.49"/>
    <x v="2"/>
    <n v="480.57801043416748"/>
    <n v="4.8498371006545327"/>
    <n v="30.695"/>
    <n v="6.01"/>
    <n v="16.919454148471623"/>
    <n v="196"/>
  </r>
  <r>
    <n v="8"/>
    <s v="MTT No Till"/>
    <s v="b"/>
    <x v="0"/>
    <x v="0"/>
    <n v="32.003999999999998"/>
    <n v="25.005488555374455"/>
    <x v="1"/>
    <n v="6.49"/>
    <x v="2"/>
    <n v="444.78497069648091"/>
    <n v="4.6527265287058128"/>
    <n v="30.16"/>
    <n v="5.36"/>
    <n v="12.824999999999999"/>
    <n v="181.5"/>
  </r>
  <r>
    <n v="9"/>
    <s v="MTT No Till"/>
    <s v="c"/>
    <x v="0"/>
    <x v="0"/>
    <n v="32.01"/>
    <n v="25.010176498485698"/>
    <x v="1"/>
    <n v="6.52"/>
    <x v="2"/>
    <n v="697.71871209530548"/>
    <n v="6.016520630597336"/>
    <n v="26.145"/>
    <n v="11.73"/>
    <n v="10.635000000000002"/>
    <n v="206.9"/>
  </r>
  <r>
    <n v="13"/>
    <s v="MTT No Till"/>
    <s v="a"/>
    <x v="0"/>
    <x v="0"/>
    <n v="32"/>
    <n v="25.002363259966963"/>
    <x v="2"/>
    <n v="8.4"/>
    <x v="2"/>
    <n v="23.840191453488544"/>
    <n v="0.6870077878723998"/>
    <n v="38.450000000000003"/>
    <n v="19.87"/>
    <n v="267.28000000000003"/>
    <n v="4059.0000000000005"/>
  </r>
  <r>
    <n v="14"/>
    <s v="MTT No Till"/>
    <s v="b"/>
    <x v="0"/>
    <x v="0"/>
    <n v="31.995000000000001"/>
    <n v="24.998456640707591"/>
    <x v="2"/>
    <n v="8.4"/>
    <x v="2"/>
    <n v="41.785127502911855"/>
    <n v="0.39213507575580603"/>
    <n v="38.29"/>
    <n v="18.95"/>
    <n v="289.86"/>
    <n v="4144"/>
  </r>
  <r>
    <n v="15"/>
    <s v="MTT No Till"/>
    <s v="c"/>
    <x v="0"/>
    <x v="0"/>
    <n v="32.000999999999998"/>
    <n v="25.003144583818834"/>
    <x v="2"/>
    <n v="8.32"/>
    <x v="2"/>
    <n v="36.900435185886835"/>
    <n v="0.31565625804287867"/>
    <n v="38.840000000000003"/>
    <n v="19.25"/>
    <n v="221.30999999999997"/>
    <n v="4127"/>
  </r>
  <r>
    <n v="19"/>
    <s v="MTT No Till"/>
    <s v="a"/>
    <x v="0"/>
    <x v="0"/>
    <n v="32.003999999999998"/>
    <n v="25.005488555374455"/>
    <x v="3"/>
    <n v="8.92"/>
    <x v="2"/>
    <n v="0.1423959604425952"/>
    <n v="-1.6581114166964901E-2"/>
    <n v="49.25"/>
    <n v="26.23"/>
    <n v="518.72"/>
    <n v="6550"/>
  </r>
  <r>
    <n v="20"/>
    <s v="MTT No Till"/>
    <s v="b"/>
    <x v="0"/>
    <x v="0"/>
    <n v="32.002000000000002"/>
    <n v="25.003925907670713"/>
    <x v="3"/>
    <n v="9.08"/>
    <x v="2"/>
    <n v="0.23293428877700467"/>
    <n v="-5.3256974687547884E-3"/>
    <n v="49.35"/>
    <n v="27.29"/>
    <n v="458.65999999999991"/>
    <n v="6091"/>
  </r>
  <r>
    <n v="21"/>
    <s v="MTT No Till"/>
    <s v="c"/>
    <x v="0"/>
    <x v="0"/>
    <n v="31.995000000000001"/>
    <n v="24.998456640707591"/>
    <x v="3"/>
    <n v="8.82"/>
    <x v="2"/>
    <n v="0.23705709053271154"/>
    <n v="6.5145809623257259E-3"/>
    <n v="49.08"/>
    <n v="24.88"/>
    <n v="396.24"/>
    <n v="5155"/>
  </r>
  <r>
    <n v="25"/>
    <s v="MTT No Till"/>
    <s v="a"/>
    <x v="0"/>
    <x v="1"/>
    <n v="31.997"/>
    <n v="25.000019288411337"/>
    <x v="0"/>
    <n v="4.6100000000000003"/>
    <x v="3"/>
    <n v="84.321712456022112"/>
    <n v="1.1165075756691272"/>
    <n v="39.814999999999998"/>
    <n v="1.81"/>
    <n v="5.5200000000000031"/>
    <n v="38.450000000000003"/>
  </r>
  <r>
    <n v="26"/>
    <s v="MTT No Till"/>
    <s v="b"/>
    <x v="0"/>
    <x v="1"/>
    <n v="32.006"/>
    <n v="25.007051203078206"/>
    <x v="0"/>
    <n v="4.6900000000000004"/>
    <x v="4"/>
    <n v="88.48823638024561"/>
    <n v="0.95866886609211033"/>
    <n v="39.174999999999997"/>
    <n v="2.339"/>
    <n v="5.3760000000000048"/>
    <n v="48.56"/>
  </r>
  <r>
    <n v="27"/>
    <s v="MTT No Till"/>
    <s v="c"/>
    <x v="0"/>
    <x v="1"/>
    <n v="31.992999999999999"/>
    <n v="24.996893993003841"/>
    <x v="0"/>
    <n v="4.6900000000000004"/>
    <x v="5"/>
    <n v="84.67254580188559"/>
    <n v="1.4904476465337531"/>
    <n v="39.315000000000005"/>
    <n v="2.2489999999999997"/>
    <n v="3.6909999999999954"/>
    <n v="28.71"/>
  </r>
  <r>
    <n v="31"/>
    <s v="MTT No Till"/>
    <s v="a"/>
    <x v="0"/>
    <x v="1"/>
    <n v="32.000999999999998"/>
    <n v="25.003144583818834"/>
    <x v="1"/>
    <n v="6.53"/>
    <x v="2"/>
    <n v="45.728830736066328"/>
    <n v="3.982178184817843"/>
    <n v="28.87"/>
    <n v="5.61"/>
    <n v="17.220000000000002"/>
    <n v="188.9"/>
  </r>
  <r>
    <n v="32"/>
    <s v="MTT No Till"/>
    <s v="b"/>
    <x v="0"/>
    <x v="1"/>
    <n v="31.998000000000001"/>
    <n v="25.000800612263212"/>
    <x v="1"/>
    <n v="6.58"/>
    <x v="2"/>
    <n v="55.317407313396437"/>
    <n v="4.220071346703623"/>
    <n v="29.465"/>
    <n v="5.6449999999999996"/>
    <n v="13.914999999999996"/>
    <n v="191"/>
  </r>
  <r>
    <n v="33"/>
    <s v="MTT No Till"/>
    <s v="c"/>
    <x v="0"/>
    <x v="1"/>
    <n v="32.000999999999998"/>
    <n v="25.003144583818834"/>
    <x v="1"/>
    <n v="6.53"/>
    <x v="2"/>
    <n v="60.599474191311678"/>
    <n v="4.2101896810342563"/>
    <n v="27.770000000000003"/>
    <n v="6.0350000000000001"/>
    <n v="15.814999999999991"/>
    <n v="193.29999999999998"/>
  </r>
  <r>
    <n v="37"/>
    <s v="MTT No Till"/>
    <s v="a"/>
    <x v="0"/>
    <x v="1"/>
    <n v="31.995999999999999"/>
    <n v="24.999237964559462"/>
    <x v="2"/>
    <n v="8.2799999999999994"/>
    <x v="2"/>
    <n v="8.7291138928419727"/>
    <n v="0.36014120014605472"/>
    <n v="35.85"/>
    <n v="19.11"/>
    <n v="287.23999999999995"/>
    <n v="3919"/>
  </r>
  <r>
    <n v="38"/>
    <s v="MTT No Till"/>
    <s v="b"/>
    <x v="0"/>
    <x v="1"/>
    <n v="31.997"/>
    <n v="25.000019288411337"/>
    <x v="2"/>
    <n v="8.31"/>
    <x v="2"/>
    <n v="17.789313546715924"/>
    <n v="0.52301246368092347"/>
    <n v="36.93"/>
    <n v="19.170000000000002"/>
    <n v="294.79999999999995"/>
    <n v="3894"/>
  </r>
  <r>
    <n v="39"/>
    <s v="MTT No Till"/>
    <s v="c"/>
    <x v="0"/>
    <x v="1"/>
    <n v="32.003999999999998"/>
    <n v="25.005488555374455"/>
    <x v="2"/>
    <n v="8.18"/>
    <x v="2"/>
    <n v="11.595099636039896"/>
    <n v="0.49683665409166644"/>
    <n v="36.049999999999997"/>
    <n v="20.03"/>
    <n v="230.82"/>
    <n v="3797.9999999999995"/>
  </r>
  <r>
    <n v="43"/>
    <s v="MTT No Till"/>
    <s v="a"/>
    <x v="0"/>
    <x v="1"/>
    <n v="32.003"/>
    <n v="25.004707231522584"/>
    <x v="3"/>
    <n v="9.1300000000000008"/>
    <x v="2"/>
    <n v="0.11392048087985977"/>
    <n v="-5.9202426313146811E-3"/>
    <n v="47.89"/>
    <n v="25.55"/>
    <n v="397.16"/>
    <n v="4928"/>
  </r>
  <r>
    <n v="44"/>
    <s v="MTT No Till"/>
    <s v="b"/>
    <x v="0"/>
    <x v="1"/>
    <n v="32.006999999999998"/>
    <n v="25.007832526930077"/>
    <x v="3"/>
    <n v="9.14"/>
    <x v="2"/>
    <n v="8.8480267845265914E-2"/>
    <n v="2.2501044643928006E-2"/>
    <n v="47.56"/>
    <n v="24.8"/>
    <n v="373.03999999999996"/>
    <n v="4603"/>
  </r>
  <r>
    <n v="45"/>
    <s v="MTT No Till"/>
    <s v="c"/>
    <x v="0"/>
    <x v="1"/>
    <n v="32"/>
    <n v="25.002363259966963"/>
    <x v="3"/>
    <n v="9.0299999999999994"/>
    <x v="2"/>
    <n v="0"/>
    <n v="-7.8180928786854717E-2"/>
    <n v="49.68"/>
    <n v="26.04"/>
    <n v="415.38"/>
    <n v="4644"/>
  </r>
  <r>
    <n v="49"/>
    <s v="MTT No Till"/>
    <s v="a"/>
    <x v="1"/>
    <x v="0"/>
    <n v="32.003999999999998"/>
    <n v="25.005488555374455"/>
    <x v="0"/>
    <n v="4.63"/>
    <x v="6"/>
    <n v="117.68212439377966"/>
    <n v="2.5096890108083918"/>
    <n v="38.195"/>
    <n v="2.3849999999999998"/>
    <n v="2.6749999999999972"/>
    <n v="30.21"/>
  </r>
  <r>
    <n v="50"/>
    <s v="MTT No Till"/>
    <s v="b"/>
    <x v="1"/>
    <x v="0"/>
    <n v="32.003"/>
    <n v="25.004707231522584"/>
    <x v="0"/>
    <n v="4.62"/>
    <x v="7"/>
    <n v="124.84260698421635"/>
    <n v="2.1307278563700764"/>
    <n v="37.524999999999999"/>
    <n v="2.351"/>
    <n v="4.1689999999999969"/>
    <n v="50.56"/>
  </r>
  <r>
    <n v="51"/>
    <s v="MTT No Till"/>
    <s v="c"/>
    <x v="1"/>
    <x v="0"/>
    <n v="31.998999999999999"/>
    <n v="25.001581936115088"/>
    <x v="0"/>
    <n v="4.8499999999999996"/>
    <x v="8"/>
    <n v="121.70328156325876"/>
    <n v="2.7807595382708761"/>
    <n v="36.734999999999999"/>
    <n v="2.3725000000000001"/>
    <n v="5.9375"/>
    <n v="39.700000000000003"/>
  </r>
  <r>
    <n v="55"/>
    <s v="MTT No Till"/>
    <s v="a"/>
    <x v="1"/>
    <x v="0"/>
    <n v="31.998000000000001"/>
    <n v="25.000800612263212"/>
    <x v="1"/>
    <n v="6.73"/>
    <x v="2"/>
    <n v="1017.7452775398083"/>
    <n v="6.6646913178836149"/>
    <n v="27.14"/>
    <n v="9.6950000000000003"/>
    <n v="20.675917030567689"/>
    <n v="295.89999999999998"/>
  </r>
  <r>
    <n v="56"/>
    <s v="MTT No Till"/>
    <s v="b"/>
    <x v="1"/>
    <x v="0"/>
    <n v="31.998999999999999"/>
    <n v="25.001581936115088"/>
    <x v="1"/>
    <n v="6.62"/>
    <x v="2"/>
    <n v="884.59291048779789"/>
    <n v="6.7019075955561229"/>
    <n v="26.995000000000001"/>
    <n v="8.26"/>
    <n v="19.695000000000004"/>
    <n v="207.60000000000002"/>
  </r>
  <r>
    <n v="57"/>
    <s v="MTT No Till"/>
    <s v="c"/>
    <x v="1"/>
    <x v="0"/>
    <n v="32"/>
    <n v="25.002363259966963"/>
    <x v="1"/>
    <n v="6.56"/>
    <x v="2"/>
    <n v="859.90805603285628"/>
    <n v="6.2118597386370755"/>
    <n v="28.25"/>
    <n v="7.3599999999999994"/>
    <n v="19.190000000000005"/>
    <n v="191.8"/>
  </r>
  <r>
    <n v="61"/>
    <s v="MTT No Till"/>
    <s v="a"/>
    <x v="1"/>
    <x v="0"/>
    <n v="31.995999999999999"/>
    <n v="24.999237964559462"/>
    <x v="2"/>
    <n v="8.3800000000000008"/>
    <x v="2"/>
    <n v="2949.9007760929244"/>
    <n v="1.3963715509524668"/>
    <n v="14.45"/>
    <n v="24.5"/>
    <n v="274.45"/>
    <n v="3779.9999999999995"/>
  </r>
  <r>
    <n v="62"/>
    <s v="MTT No Till"/>
    <s v="b"/>
    <x v="1"/>
    <x v="0"/>
    <n v="32.003"/>
    <n v="25.004707231522584"/>
    <x v="2"/>
    <n v="8.44"/>
    <x v="2"/>
    <n v="3258.6172895245709"/>
    <n v="6.2674088089415223"/>
    <n v="10.49"/>
    <n v="29.54"/>
    <n v="276.57"/>
    <n v="3700"/>
  </r>
  <r>
    <n v="63"/>
    <s v="MTT No Till"/>
    <s v="c"/>
    <x v="1"/>
    <x v="0"/>
    <n v="32.005000000000003"/>
    <n v="25.006269879226334"/>
    <x v="2"/>
    <n v="8.3699999999999992"/>
    <x v="2"/>
    <n v="2993.0806516348352"/>
    <n v="2.0346720295381973"/>
    <n v="10.87"/>
    <n v="26.44"/>
    <n v="281.19"/>
    <n v="3986.9999999999995"/>
  </r>
  <r>
    <n v="67"/>
    <s v="MTT No Till"/>
    <s v="a"/>
    <x v="1"/>
    <x v="0"/>
    <n v="31.997"/>
    <n v="25.000019288411337"/>
    <x v="3"/>
    <n v="8.89"/>
    <x v="2"/>
    <n v="27.749131665345047"/>
    <n v="6.6306374706575161E-2"/>
    <n v="46.77"/>
    <n v="27.34"/>
    <n v="408.59000000000003"/>
    <n v="4522"/>
  </r>
  <r>
    <n v="68"/>
    <s v="MTT No Till"/>
    <s v="b"/>
    <x v="1"/>
    <x v="0"/>
    <n v="32"/>
    <n v="25.002363259966963"/>
    <x v="3"/>
    <n v="8.82"/>
    <x v="2"/>
    <n v="2.3600121254520148"/>
    <n v="-0.25193843158884432"/>
    <n v="46.11"/>
    <n v="26.76"/>
    <n v="451.42999999999995"/>
    <n v="5024"/>
  </r>
  <r>
    <n v="69"/>
    <s v="MTT No Till"/>
    <s v="c"/>
    <x v="1"/>
    <x v="0"/>
    <n v="31.997"/>
    <n v="25.000019288411337"/>
    <x v="3"/>
    <n v="9"/>
    <x v="2"/>
    <n v="1.1373929169180146"/>
    <n v="5.4612808624601482E-3"/>
    <n v="48.12"/>
    <n v="27.21"/>
    <n v="394.67"/>
    <n v="4781"/>
  </r>
  <r>
    <n v="73"/>
    <s v="MTT No Till"/>
    <s v="a"/>
    <x v="1"/>
    <x v="1"/>
    <n v="32.002000000000002"/>
    <n v="25.003925907670713"/>
    <x v="0"/>
    <n v="4.6500000000000004"/>
    <x v="9"/>
    <n v="113.24776873793807"/>
    <n v="2.4474584639873358"/>
    <n v="37.659999999999997"/>
    <n v="2.3534999999999999"/>
    <n v="2.1515000000000057"/>
    <n v="44.349999999999994"/>
  </r>
  <r>
    <n v="74"/>
    <s v="MTT No Till"/>
    <s v="b"/>
    <x v="1"/>
    <x v="1"/>
    <n v="31.992000000000001"/>
    <n v="24.996112669151969"/>
    <x v="0"/>
    <n v="4.6900000000000004"/>
    <x v="10"/>
    <n v="133.82316647539187"/>
    <n v="2.319524629492324"/>
    <n v="37.085000000000001"/>
    <n v="2.3594999999999997"/>
    <n v="5.8804999999999978"/>
    <n v="47.220000000000006"/>
  </r>
  <r>
    <n v="75"/>
    <s v="MTT No Till"/>
    <s v="c"/>
    <x v="1"/>
    <x v="1"/>
    <n v="31.998999999999999"/>
    <n v="25.001581936115088"/>
    <x v="0"/>
    <n v="4.63"/>
    <x v="11"/>
    <n v="124.47943803276738"/>
    <n v="2.3283544501764992"/>
    <n v="37.225000000000001"/>
    <n v="2.3355000000000001"/>
    <n v="6.8894999999999911"/>
    <n v="42.42"/>
  </r>
  <r>
    <n v="79"/>
    <s v="MTT No Till"/>
    <s v="a"/>
    <x v="1"/>
    <x v="1"/>
    <n v="31.997"/>
    <n v="25.000019288411337"/>
    <x v="1"/>
    <n v="6.68"/>
    <x v="2"/>
    <n v="60.667398760797838"/>
    <n v="5.8083903401532808"/>
    <n v="27.934999999999999"/>
    <n v="7.495000000000001"/>
    <n v="12.037248908296949"/>
    <n v="176.29999999999998"/>
  </r>
  <r>
    <n v="80"/>
    <s v="MTT No Till"/>
    <s v="b"/>
    <x v="1"/>
    <x v="1"/>
    <n v="31.995999999999999"/>
    <n v="24.999237964559462"/>
    <x v="1"/>
    <n v="6.65"/>
    <x v="2"/>
    <n v="47.147388813762554"/>
    <n v="6.039483652106866"/>
    <n v="28.424999999999997"/>
    <n v="7.125"/>
    <n v="11.087554585152844"/>
    <n v="178"/>
  </r>
  <r>
    <n v="81"/>
    <s v="MTT No Till"/>
    <s v="c"/>
    <x v="1"/>
    <x v="1"/>
    <n v="32.01"/>
    <n v="25.010176498485698"/>
    <x v="1"/>
    <n v="6.58"/>
    <x v="2"/>
    <n v="60.432217293197652"/>
    <n v="6.7985484429952416"/>
    <n v="28.290000000000003"/>
    <n v="7.9950000000000001"/>
    <n v="9.9595414847161585"/>
    <n v="161.80000000000001"/>
  </r>
  <r>
    <n v="85"/>
    <s v="MTT No Till"/>
    <s v="a"/>
    <x v="1"/>
    <x v="1"/>
    <n v="31.995999999999999"/>
    <n v="24.999237964559462"/>
    <x v="2"/>
    <n v="8.3000000000000007"/>
    <x v="2"/>
    <n v="20.951908101303914"/>
    <n v="1.6693970883112172"/>
    <n v="17.989999999999998"/>
    <n v="27.41"/>
    <n v="284.99999999999994"/>
    <n v="4006"/>
  </r>
  <r>
    <n v="86"/>
    <s v="MTT No Till"/>
    <s v="b"/>
    <x v="1"/>
    <x v="1"/>
    <n v="31.997"/>
    <n v="25.000019288411337"/>
    <x v="2"/>
    <n v="8.3800000000000008"/>
    <x v="2"/>
    <n v="21.472106354625762"/>
    <n v="1.3526400955708138"/>
    <n v="18.489999999999998"/>
    <n v="24.38"/>
    <n v="241.82999999999998"/>
    <n v="3832"/>
  </r>
  <r>
    <n v="87"/>
    <s v="MTT No Till"/>
    <s v="c"/>
    <x v="1"/>
    <x v="1"/>
    <n v="31.998999999999999"/>
    <n v="25.001581936115088"/>
    <x v="2"/>
    <n v="8.33"/>
    <x v="2"/>
    <n v="18.150305507135503"/>
    <n v="1.5756336570898652"/>
    <n v="16.75"/>
    <n v="25.43"/>
    <n v="251.92000000000002"/>
    <n v="3783"/>
  </r>
  <r>
    <n v="91"/>
    <s v="MTT No Till"/>
    <s v="a"/>
    <x v="1"/>
    <x v="1"/>
    <n v="31.994"/>
    <n v="24.997675316855716"/>
    <x v="3"/>
    <n v="8.92"/>
    <x v="2"/>
    <n v="0.55654272784174785"/>
    <n v="-0.18957362366031807"/>
    <n v="45.21"/>
    <n v="25.58"/>
    <n v="410.81000000000006"/>
    <n v="4178"/>
  </r>
  <r>
    <n v="92"/>
    <s v="MTT No Till"/>
    <s v="b"/>
    <x v="1"/>
    <x v="1"/>
    <n v="32.009"/>
    <n v="25.009395174633827"/>
    <x v="3"/>
    <n v="9.0500000000000007"/>
    <x v="2"/>
    <n v="0.24915233263522144"/>
    <n v="-7.8023417620322107E-3"/>
    <n v="44.63"/>
    <n v="25.35"/>
    <n v="362.71999999999997"/>
    <n v="4573"/>
  </r>
  <r>
    <n v="93"/>
    <s v="MTT No Till"/>
    <s v="c"/>
    <x v="1"/>
    <x v="1"/>
    <n v="31.997"/>
    <n v="25.000019288411337"/>
    <x v="3"/>
    <n v="9.1300000000000008"/>
    <x v="2"/>
    <n v="7.7318302044516188E-2"/>
    <n v="-9.9067842104262963E-2"/>
    <n v="46.85"/>
    <n v="25.47"/>
    <n v="346.38"/>
    <n v="4882"/>
  </r>
  <r>
    <n v="97"/>
    <s v="MTT No Till"/>
    <s v="a"/>
    <x v="2"/>
    <x v="0"/>
    <n v="31.995999999999999"/>
    <n v="24.999237964559462"/>
    <x v="0"/>
    <n v="4.57"/>
    <x v="12"/>
    <n v="111.38776626547828"/>
    <n v="3.5492576660096584"/>
    <n v="38.75"/>
    <n v="3.3765000000000001"/>
    <n v="5.8434999999999988"/>
    <n v="47.460000000000008"/>
  </r>
  <r>
    <n v="98"/>
    <s v="MTT No Till"/>
    <s v="b"/>
    <x v="2"/>
    <x v="0"/>
    <n v="32.006999999999998"/>
    <n v="25.007832526930077"/>
    <x v="0"/>
    <n v="4.6500000000000004"/>
    <x v="13"/>
    <n v="119.71787045293652"/>
    <n v="4.4446939204808302"/>
    <n v="38.824999999999996"/>
    <n v="2.9695"/>
    <n v="6.8755000000000095"/>
    <n v="48.29"/>
  </r>
  <r>
    <n v="99"/>
    <s v="MTT No Till"/>
    <s v="c"/>
    <x v="2"/>
    <x v="0"/>
    <n v="31.991"/>
    <n v="24.995331345300094"/>
    <x v="0"/>
    <n v="4.6100000000000003"/>
    <x v="14"/>
    <n v="113.98438264949388"/>
    <n v="3.3840483584323677"/>
    <n v="38.675000000000004"/>
    <n v="2.7495000000000003"/>
    <n v="4.9954999999999998"/>
    <n v="41.769999999999996"/>
  </r>
  <r>
    <n v="103"/>
    <s v="MTT No Till"/>
    <s v="a"/>
    <x v="2"/>
    <x v="0"/>
    <n v="31.992000000000001"/>
    <n v="24.996112669151969"/>
    <x v="1"/>
    <n v="6.64"/>
    <x v="2"/>
    <n v="925.09537376138985"/>
    <n v="23.462073715303106"/>
    <n v="29.369999999999997"/>
    <n v="9.7249999999999996"/>
    <n v="7.7608951965065529"/>
    <n v="233.79999999999998"/>
  </r>
  <r>
    <n v="104"/>
    <s v="MTT No Till"/>
    <s v="b"/>
    <x v="2"/>
    <x v="0"/>
    <n v="31.994"/>
    <n v="24.997675316855716"/>
    <x v="1"/>
    <n v="6.62"/>
    <x v="2"/>
    <n v="715.35580716317111"/>
    <n v="8.4261286599674339"/>
    <n v="28.975000000000001"/>
    <n v="10.440000000000001"/>
    <n v="8.0522489082969386"/>
    <n v="238.1"/>
  </r>
  <r>
    <n v="105"/>
    <s v="MTT No Till"/>
    <s v="c"/>
    <x v="2"/>
    <x v="0"/>
    <n v="32.006999999999998"/>
    <n v="25.007832526930077"/>
    <x v="1"/>
    <n v="6.65"/>
    <x v="2"/>
    <n v="720.7500917218066"/>
    <n v="8.7104340907829592"/>
    <n v="28.805"/>
    <n v="9.1649999999999991"/>
    <n v="17.357510917030574"/>
    <n v="241.70000000000002"/>
  </r>
  <r>
    <n v="109"/>
    <s v="MTT No Till"/>
    <s v="a"/>
    <x v="2"/>
    <x v="0"/>
    <n v="31.995000000000001"/>
    <n v="24.998456640707591"/>
    <x v="2"/>
    <n v="8.4"/>
    <x v="2"/>
    <n v="1978.7530161495695"/>
    <n v="2.617275910699659"/>
    <n v="14.08"/>
    <n v="28.25"/>
    <n v="255.47"/>
    <n v="4034.0000000000005"/>
  </r>
  <r>
    <n v="110"/>
    <s v="MTT No Till"/>
    <s v="b"/>
    <x v="2"/>
    <x v="0"/>
    <n v="31.998000000000001"/>
    <n v="25.000800612263212"/>
    <x v="2"/>
    <n v="8.4499999999999993"/>
    <x v="2"/>
    <n v="1606.6011130167528"/>
    <n v="2.9996670478903047"/>
    <n v="15.56"/>
    <n v="28.45"/>
    <n v="284.09000000000003"/>
    <n v="3940.9999999999995"/>
  </r>
  <r>
    <n v="111"/>
    <s v="MTT No Till"/>
    <s v="c"/>
    <x v="2"/>
    <x v="0"/>
    <n v="31.995999999999999"/>
    <n v="24.999237964559462"/>
    <x v="2"/>
    <n v="8.41"/>
    <x v="2"/>
    <n v="2159.1282120439623"/>
    <n v="2.5470873316744358"/>
    <n v="14.41"/>
    <n v="22.56"/>
    <n v="239.03"/>
    <n v="3729"/>
  </r>
  <r>
    <n v="115"/>
    <s v="MTT No Till"/>
    <s v="a"/>
    <x v="2"/>
    <x v="0"/>
    <n v="32.005000000000003"/>
    <n v="25.006269879226334"/>
    <x v="3"/>
    <n v="9.01"/>
    <x v="2"/>
    <n v="29.374312250689407"/>
    <n v="3.6932289692837329E-2"/>
    <n v="47.61"/>
    <n v="27.56"/>
    <n v="490.53000000000009"/>
    <n v="4454"/>
  </r>
  <r>
    <n v="116"/>
    <s v="MTT No Till"/>
    <s v="b"/>
    <x v="2"/>
    <x v="0"/>
    <n v="31.997"/>
    <n v="25.000019288411337"/>
    <x v="3"/>
    <n v="9.0399999999999991"/>
    <x v="2"/>
    <n v="1.2859254445298485"/>
    <n v="-0.64978050264544485"/>
    <n v="47.43"/>
    <n v="27.28"/>
    <n v="432.79"/>
    <n v="4438"/>
  </r>
  <r>
    <n v="117"/>
    <s v="MTT No Till"/>
    <s v="c"/>
    <x v="2"/>
    <x v="0"/>
    <n v="31.995999999999999"/>
    <n v="24.999237964559462"/>
    <x v="3"/>
    <n v="9.0399999999999991"/>
    <x v="2"/>
    <n v="0.72437402001206119"/>
    <n v="0.13261291145009063"/>
    <n v="47.29"/>
    <n v="26.71"/>
    <n v="328.1"/>
    <n v="4661"/>
  </r>
  <r>
    <n v="121"/>
    <s v="MTT No Till"/>
    <s v="a"/>
    <x v="2"/>
    <x v="1"/>
    <n v="31.995999999999999"/>
    <n v="24.999237964559462"/>
    <x v="0"/>
    <n v="4.78"/>
    <x v="13"/>
    <n v="109.3682684709222"/>
    <n v="3.3778114028523847"/>
    <n v="37.375"/>
    <n v="2.8679999999999999"/>
    <n v="7.7769999999999939"/>
    <n v="47.629999999999995"/>
  </r>
  <r>
    <n v="122"/>
    <s v="MTT No Till"/>
    <s v="b"/>
    <x v="2"/>
    <x v="1"/>
    <n v="32.003"/>
    <n v="25.004707231522584"/>
    <x v="0"/>
    <n v="4.79"/>
    <x v="15"/>
    <n v="112.79755042547259"/>
    <n v="3.2473059240836184"/>
    <n v="38.914999999999999"/>
    <n v="3.1340000000000003"/>
    <n v="5.9960000000000022"/>
    <n v="42.88"/>
  </r>
  <r>
    <n v="123"/>
    <s v="MTT No Till"/>
    <s v="c"/>
    <x v="2"/>
    <x v="1"/>
    <n v="31.994"/>
    <n v="24.997675316855716"/>
    <x v="0"/>
    <n v="4.76"/>
    <x v="16"/>
    <n v="115.9542020497489"/>
    <n v="2.6040950430859486"/>
    <n v="37.1"/>
    <n v="2.9409999999999998"/>
    <n v="7.8239999999999981"/>
    <n v="48.64"/>
  </r>
  <r>
    <n v="127"/>
    <s v="MTT No Till"/>
    <s v="a"/>
    <x v="2"/>
    <x v="1"/>
    <n v="31.998999999999999"/>
    <n v="25.001581936115088"/>
    <x v="1"/>
    <n v="6.64"/>
    <x v="2"/>
    <n v="64.916690709132652"/>
    <n v="6.4821897717515773"/>
    <n v="29.28"/>
    <n v="8.8550000000000004"/>
    <n v="11.99600436681223"/>
    <n v="187.2"/>
  </r>
  <r>
    <n v="128"/>
    <s v="MTT No Till"/>
    <s v="b"/>
    <x v="2"/>
    <x v="1"/>
    <n v="32"/>
    <n v="25.002363259966963"/>
    <x v="1"/>
    <n v="6.66"/>
    <x v="2"/>
    <n v="90.6702417146183"/>
    <n v="7.3457370738735426"/>
    <n v="29.04"/>
    <n v="9.67"/>
    <n v="9.9799563318777302"/>
    <n v="197.7"/>
  </r>
  <r>
    <n v="129"/>
    <s v="MTT No Till"/>
    <s v="c"/>
    <x v="2"/>
    <x v="1"/>
    <n v="32.012"/>
    <n v="25.011739146189448"/>
    <x v="1"/>
    <n v="6.66"/>
    <x v="2"/>
    <n v="35.8286708964471"/>
    <n v="9.8801233748739321"/>
    <n v="26.54"/>
    <n v="7.99"/>
    <n v="14.596637554585158"/>
    <n v="168.79999999999998"/>
  </r>
  <r>
    <n v="133"/>
    <s v="MTT No Till"/>
    <s v="a"/>
    <x v="2"/>
    <x v="1"/>
    <n v="32"/>
    <n v="25.002363259966963"/>
    <x v="2"/>
    <n v="8.3699999999999992"/>
    <x v="2"/>
    <n v="9.8672920762433414"/>
    <n v="2.9142430807538049"/>
    <n v="20.69"/>
    <n v="35.19"/>
    <n v="332.32"/>
    <n v="3792"/>
  </r>
  <r>
    <n v="134"/>
    <s v="MTT No Till"/>
    <s v="b"/>
    <x v="2"/>
    <x v="1"/>
    <n v="32.003"/>
    <n v="25.004707231522584"/>
    <x v="2"/>
    <n v="8.36"/>
    <x v="2"/>
    <n v="6.9379607150136007"/>
    <n v="3.0029721022771985"/>
    <n v="22.49"/>
    <n v="33.86"/>
    <n v="269.84999999999997"/>
    <n v="4637"/>
  </r>
  <r>
    <n v="135"/>
    <s v="MTT No Till"/>
    <s v="c"/>
    <x v="2"/>
    <x v="1"/>
    <n v="32.009"/>
    <n v="25.009395174633827"/>
    <x v="2"/>
    <n v="8.3800000000000008"/>
    <x v="2"/>
    <n v="14.445750551360492"/>
    <n v="2.9465276404068335"/>
    <n v="24.82"/>
    <n v="36.03"/>
    <n v="351.34999999999997"/>
    <n v="4432"/>
  </r>
  <r>
    <n v="139"/>
    <s v="MTT No Till"/>
    <s v="a"/>
    <x v="2"/>
    <x v="1"/>
    <n v="31.994"/>
    <n v="24.997675316855716"/>
    <x v="3"/>
    <n v="8.8800000000000008"/>
    <x v="2"/>
    <n v="0.58096142156789388"/>
    <n v="-8.0519768469775266E-2"/>
    <n v="41.120000000000005"/>
    <n v="27.27"/>
    <n v="520.61"/>
    <n v="3428"/>
  </r>
  <r>
    <n v="140"/>
    <s v="MTT No Till"/>
    <s v="b"/>
    <x v="2"/>
    <x v="1"/>
    <n v="32.014000000000003"/>
    <n v="25.013301793893199"/>
    <x v="3"/>
    <n v="8.93"/>
    <x v="2"/>
    <n v="0.22572574642185431"/>
    <n v="1.4203922868532804E-2"/>
    <n v="43.339999999999996"/>
    <n v="26.12"/>
    <n v="521.64"/>
    <n v="4569"/>
  </r>
  <r>
    <n v="141"/>
    <s v="MTT No Till"/>
    <s v="c"/>
    <x v="2"/>
    <x v="1"/>
    <n v="31.997"/>
    <n v="25.000019288411337"/>
    <x v="3"/>
    <n v="8.9"/>
    <x v="2"/>
    <n v="0.59413011044733488"/>
    <n v="0.39024426984094823"/>
    <n v="41.879999999999995"/>
    <n v="25.779999999999998"/>
    <n v="521.34"/>
    <n v="5603"/>
  </r>
  <r>
    <n v="145"/>
    <s v="MTT No Till"/>
    <s v="a"/>
    <x v="3"/>
    <x v="0"/>
    <n v="31.995999999999999"/>
    <n v="24.999237964559462"/>
    <x v="0"/>
    <n v="4.5999999999999996"/>
    <x v="17"/>
    <n v="82.46367442707529"/>
    <n v="1.7302956788448818"/>
    <n v="35.699999999999996"/>
    <n v="4.1795"/>
    <n v="5.2505000000000024"/>
    <n v="47.9"/>
  </r>
  <r>
    <n v="146"/>
    <s v="MTT No Till"/>
    <s v="b"/>
    <x v="3"/>
    <x v="0"/>
    <n v="32.002000000000002"/>
    <n v="25.003925907670713"/>
    <x v="0"/>
    <n v="4.72"/>
    <x v="12"/>
    <n v="89.580017509713855"/>
    <n v="1.0607172998216365"/>
    <n v="35.545000000000002"/>
    <n v="3.1064999999999996"/>
    <n v="3.2985000000000042"/>
    <n v="46.42"/>
  </r>
  <r>
    <n v="147"/>
    <s v="MTT No Till"/>
    <s v="c"/>
    <x v="3"/>
    <x v="0"/>
    <n v="32.000999999999998"/>
    <n v="25.003144583818834"/>
    <x v="0"/>
    <n v="4.8099999999999996"/>
    <x v="16"/>
    <n v="99.62893713230001"/>
    <n v="1.6807928981227906"/>
    <n v="35.114999999999995"/>
    <n v="3.681"/>
    <n v="2.1340000000000074"/>
    <n v="46.69"/>
  </r>
  <r>
    <n v="151"/>
    <s v="MTT No Till"/>
    <s v="a"/>
    <x v="3"/>
    <x v="0"/>
    <n v="32.002000000000002"/>
    <n v="25.003925907670713"/>
    <x v="1"/>
    <n v="6.52"/>
    <x v="2"/>
    <n v="627.30017711887626"/>
    <n v="4.2293788138695874"/>
    <n v="29.49"/>
    <n v="10.039999999999999"/>
    <n v="13.090087336244547"/>
    <n v="200"/>
  </r>
  <r>
    <n v="152"/>
    <s v="MTT No Till"/>
    <s v="b"/>
    <x v="3"/>
    <x v="0"/>
    <n v="31.997"/>
    <n v="25.000019288411337"/>
    <x v="1"/>
    <n v="6.57"/>
    <x v="2"/>
    <n v="658.64511208092699"/>
    <n v="4.2687526717040587"/>
    <n v="28.46"/>
    <n v="10.734999999999999"/>
    <n v="15.564825327510917"/>
    <n v="218.5"/>
  </r>
  <r>
    <n v="153"/>
    <s v="MTT No Till"/>
    <s v="c"/>
    <x v="3"/>
    <x v="0"/>
    <n v="32"/>
    <n v="25.002363259966963"/>
    <x v="1"/>
    <n v="6.63"/>
    <x v="2"/>
    <n v="1546.4252074114681"/>
    <n v="4.8585121126017867"/>
    <n v="28.375"/>
    <n v="10.58"/>
    <n v="12.966397379912671"/>
    <n v="204.89999999999998"/>
  </r>
  <r>
    <n v="157"/>
    <s v="MTT No Till"/>
    <s v="a"/>
    <x v="3"/>
    <x v="0"/>
    <n v="32.006"/>
    <n v="25.007051203078206"/>
    <x v="2"/>
    <n v="8.2899999999999991"/>
    <x v="2"/>
    <n v="1839.6884869422345"/>
    <n v="1.8440018358615606"/>
    <n v="21.21"/>
    <n v="36.82"/>
    <n v="234.36999999999998"/>
    <n v="4054.9999999999995"/>
  </r>
  <r>
    <n v="158"/>
    <s v="MTT No Till"/>
    <s v="b"/>
    <x v="3"/>
    <x v="0"/>
    <n v="31.997"/>
    <n v="25.000019288411337"/>
    <x v="2"/>
    <n v="8.3800000000000008"/>
    <x v="2"/>
    <n v="1944.6685779055381"/>
    <n v="1.6604946740096675"/>
    <n v="16.350000000000001"/>
    <n v="31.55"/>
    <n v="263.7"/>
    <n v="4102"/>
  </r>
  <r>
    <n v="159"/>
    <s v="MTT No Till"/>
    <s v="c"/>
    <x v="3"/>
    <x v="0"/>
    <n v="31.995000000000001"/>
    <n v="24.998456640707591"/>
    <x v="2"/>
    <n v="8.3800000000000008"/>
    <x v="2"/>
    <n v="1478.2900513868003"/>
    <n v="1.658254145782484"/>
    <n v="19.350000000000001"/>
    <n v="37.35"/>
    <n v="332.09999999999997"/>
    <n v="4111"/>
  </r>
  <r>
    <n v="163"/>
    <s v="MTT No Till"/>
    <s v="a"/>
    <x v="3"/>
    <x v="0"/>
    <n v="32.01"/>
    <n v="25.010176498485698"/>
    <x v="3"/>
    <n v="9.1999999999999993"/>
    <x v="2"/>
    <n v="9.7583178882582775"/>
    <n v="-0.15408606746593548"/>
    <n v="41.11"/>
    <n v="28.159999999999997"/>
    <n v="463.83000000000004"/>
    <n v="5236"/>
  </r>
  <r>
    <n v="164"/>
    <s v="MTT No Till"/>
    <s v="b"/>
    <x v="3"/>
    <x v="0"/>
    <n v="32.006"/>
    <n v="25.007051203078206"/>
    <x v="3"/>
    <n v="8.99"/>
    <x v="2"/>
    <n v="10.531529081287774"/>
    <n v="-0.11074354372643594"/>
    <n v="41.34"/>
    <n v="31.099999999999998"/>
    <n v="471.45999999999992"/>
    <n v="5466"/>
  </r>
  <r>
    <n v="165"/>
    <s v="MTT No Till"/>
    <s v="c"/>
    <x v="3"/>
    <x v="0"/>
    <n v="32"/>
    <n v="25.002363259966963"/>
    <x v="3"/>
    <n v="8.8000000000000007"/>
    <x v="2"/>
    <n v="4.6457652486807532"/>
    <n v="-9.2014134874389863E-2"/>
    <n v="40.29"/>
    <n v="31.86"/>
    <n v="406.95"/>
    <n v="5553"/>
  </r>
  <r>
    <n v="169"/>
    <s v="MTT No Till"/>
    <s v="a"/>
    <x v="3"/>
    <x v="1"/>
    <n v="32.006"/>
    <n v="25.007051203078206"/>
    <x v="0"/>
    <n v="4.59"/>
    <x v="18"/>
    <n v="90.489786281933107"/>
    <n v="0.91291525636738435"/>
    <n v="34.270000000000003"/>
    <n v="3.2885"/>
    <n v="8.1164999999999949"/>
    <n v="47.77"/>
  </r>
  <r>
    <n v="170"/>
    <s v="MTT No Till"/>
    <s v="b"/>
    <x v="3"/>
    <x v="1"/>
    <n v="31.998999999999999"/>
    <n v="25.001581936115088"/>
    <x v="0"/>
    <n v="4.6100000000000003"/>
    <x v="16"/>
    <n v="97.678185432666922"/>
    <n v="0.7507789001919849"/>
    <n v="34.664999999999999"/>
    <n v="3.3045"/>
    <n v="1.8655000000000044"/>
    <n v="46.94"/>
  </r>
  <r>
    <n v="171"/>
    <s v="MTT No Till"/>
    <s v="c"/>
    <x v="3"/>
    <x v="1"/>
    <n v="31.995999999999999"/>
    <n v="24.999237964559462"/>
    <x v="0"/>
    <n v="4.62"/>
    <x v="15"/>
    <n v="97.156665434117699"/>
    <n v="1.0556470266600009"/>
    <n v="35.034999999999997"/>
    <n v="3.3839999999999999"/>
    <n v="6.2910000000000039"/>
    <n v="46.95"/>
  </r>
  <r>
    <n v="175"/>
    <s v="MTT No Till"/>
    <s v="a"/>
    <x v="3"/>
    <x v="1"/>
    <n v="32.012999999999998"/>
    <n v="25.01252047004132"/>
    <x v="1"/>
    <n v="6.64"/>
    <x v="2"/>
    <n v="50.370002718550872"/>
    <n v="4.3309719870046655"/>
    <n v="30.745000000000001"/>
    <n v="10.445"/>
    <n v="10.818733624454151"/>
    <n v="212.3"/>
  </r>
  <r>
    <n v="176"/>
    <s v="MTT No Till"/>
    <s v="b"/>
    <x v="3"/>
    <x v="1"/>
    <n v="31.992999999999999"/>
    <n v="24.996893993003841"/>
    <x v="1"/>
    <n v="6.61"/>
    <x v="2"/>
    <n v="142.69427096173729"/>
    <n v="3.1332526979397435"/>
    <n v="32.755000000000003"/>
    <n v="7.835"/>
    <n v="11.593406113537121"/>
    <n v="124.3"/>
  </r>
  <r>
    <n v="177"/>
    <s v="MTT No Till"/>
    <s v="c"/>
    <x v="3"/>
    <x v="1"/>
    <n v="32.000999999999998"/>
    <n v="25.003144583818834"/>
    <x v="1"/>
    <n v="6.66"/>
    <x v="2"/>
    <n v="54.472797569727248"/>
    <n v="5.3652839386943034"/>
    <n v="30.215"/>
    <n v="10.57"/>
    <n v="12.490109170305683"/>
    <n v="211.1"/>
  </r>
  <r>
    <n v="181"/>
    <s v="MTT No Till"/>
    <s v="a"/>
    <x v="3"/>
    <x v="1"/>
    <n v="32.003"/>
    <n v="25.004707231522584"/>
    <x v="2"/>
    <n v="8.2799999999999994"/>
    <x v="2"/>
    <n v="20.625709922158897"/>
    <n v="2.0697951526340566"/>
    <n v="24.35"/>
    <n v="38.68"/>
    <n v="348.86999999999995"/>
    <n v="4095.0000000000005"/>
  </r>
  <r>
    <n v="182"/>
    <s v="MTT No Till"/>
    <s v="b"/>
    <x v="3"/>
    <x v="1"/>
    <n v="31.995000000000001"/>
    <n v="24.998456640707591"/>
    <x v="2"/>
    <n v="8.41"/>
    <x v="2"/>
    <n v="15.558270508267057"/>
    <n v="1.9273086195262419"/>
    <n v="24.78"/>
    <n v="37.94"/>
    <n v="292.08000000000004"/>
    <n v="3847"/>
  </r>
  <r>
    <n v="183"/>
    <s v="MTT No Till"/>
    <s v="c"/>
    <x v="3"/>
    <x v="1"/>
    <n v="31.991"/>
    <n v="24.995331345300094"/>
    <x v="2"/>
    <n v="8.3800000000000008"/>
    <x v="2"/>
    <n v="37.944256144043649"/>
    <n v="2.0688441247690896"/>
    <n v="22.26"/>
    <n v="38.93"/>
    <n v="266.11"/>
    <n v="3850"/>
  </r>
  <r>
    <n v="187"/>
    <s v="MTT No Till"/>
    <s v="a"/>
    <x v="3"/>
    <x v="1"/>
    <n v="31.992999999999999"/>
    <n v="24.996893993003841"/>
    <x v="3"/>
    <n v="9"/>
    <x v="2"/>
    <n v="1.3817361291903276"/>
    <n v="-0.1195854620275104"/>
    <n v="41.349999999999994"/>
    <n v="30.51"/>
    <n v="367.44000000000005"/>
    <n v="4258"/>
  </r>
  <r>
    <n v="188"/>
    <s v="MTT No Till"/>
    <s v="b"/>
    <x v="3"/>
    <x v="1"/>
    <n v="32.006999999999998"/>
    <n v="25.007832526930077"/>
    <x v="3"/>
    <n v="8.98"/>
    <x v="2"/>
    <n v="0.65597439954248871"/>
    <n v="-0.12714540567396646"/>
    <n v="41.09"/>
    <n v="28.18"/>
    <n v="504.13"/>
    <n v="5096"/>
  </r>
  <r>
    <n v="189"/>
    <s v="MTT No Till"/>
    <s v="c"/>
    <x v="3"/>
    <x v="1"/>
    <n v="32.003999999999998"/>
    <n v="25.005488555374455"/>
    <x v="3"/>
    <n v="8.94"/>
    <x v="2"/>
    <n v="0.87776938472828359"/>
    <n v="-0.14825820264086145"/>
    <n v="40.15"/>
    <n v="31.909999999999997"/>
    <n v="534.24"/>
    <n v="5047"/>
  </r>
  <r>
    <n v="193"/>
    <s v="MTT No Till"/>
    <s v="a"/>
    <x v="4"/>
    <x v="0"/>
    <n v="31.995000000000001"/>
    <n v="24.998456640707591"/>
    <x v="0"/>
    <n v="4.46"/>
    <x v="12"/>
    <n v="70.547376212610345"/>
    <n v="2.1182316489890947"/>
    <n v="34.200000000000003"/>
    <n v="4.2859999999999996"/>
    <n v="8.2789999999999964"/>
    <n v="51.89"/>
  </r>
  <r>
    <n v="194"/>
    <s v="MTT No Till"/>
    <s v="b"/>
    <x v="4"/>
    <x v="0"/>
    <n v="32.002000000000002"/>
    <n v="25.003925907670713"/>
    <x v="0"/>
    <n v="4.49"/>
    <x v="19"/>
    <n v="92.487118808074939"/>
    <n v="1.5414806510866546"/>
    <n v="34.19"/>
    <n v="4.1745000000000001"/>
    <n v="9.6905000000000072"/>
    <n v="49.56"/>
  </r>
  <r>
    <n v="195"/>
    <s v="MTT No Till"/>
    <s v="c"/>
    <x v="4"/>
    <x v="0"/>
    <n v="32.003"/>
    <n v="25.004707231522584"/>
    <x v="0"/>
    <n v="4.3499999999999996"/>
    <x v="20"/>
    <n v="91.480180440828846"/>
    <n v="1.6336533438894567"/>
    <n v="34.75"/>
    <n v="4.1885000000000003"/>
    <n v="8.6965000000000003"/>
    <n v="57.13"/>
  </r>
  <r>
    <n v="199"/>
    <s v="MTT No Till"/>
    <s v="a"/>
    <x v="4"/>
    <x v="0"/>
    <n v="32.002000000000002"/>
    <n v="25.003925907670713"/>
    <x v="1"/>
    <n v="6.63"/>
    <x v="2"/>
    <n v="660.30055760268567"/>
    <n v="3.8866380617899372"/>
    <n v="28.405000000000001"/>
    <n v="12.96"/>
    <n v="15.79657205240175"/>
    <n v="248.9"/>
  </r>
  <r>
    <n v="200"/>
    <s v="MTT No Till"/>
    <s v="b"/>
    <x v="4"/>
    <x v="0"/>
    <n v="31.995999999999999"/>
    <n v="24.999237964559462"/>
    <x v="1"/>
    <n v="6.61"/>
    <x v="2"/>
    <n v="668.36627538329162"/>
    <n v="4.1652790665725652"/>
    <n v="29.409999999999997"/>
    <n v="12.895000000000001"/>
    <n v="6.515960698689959"/>
    <n v="243.9"/>
  </r>
  <r>
    <n v="201"/>
    <s v="MTT No Till"/>
    <s v="c"/>
    <x v="4"/>
    <x v="0"/>
    <n v="31.998999999999999"/>
    <n v="25.001581936115088"/>
    <x v="1"/>
    <n v="6.6"/>
    <x v="2"/>
    <n v="359.27269341750059"/>
    <n v="2.8214543182914968"/>
    <n v="33.504999999999995"/>
    <n v="8.7949999999999999"/>
    <n v="11.979475982532755"/>
    <n v="144"/>
  </r>
  <r>
    <n v="205"/>
    <s v="MTT No Till"/>
    <s v="a"/>
    <x v="4"/>
    <x v="0"/>
    <n v="31.995999999999999"/>
    <n v="24.999237964559462"/>
    <x v="2"/>
    <n v="8.41"/>
    <x v="2"/>
    <n v="517.2334263259678"/>
    <n v="1.5320437080857241"/>
    <n v="25.44"/>
    <n v="44.08"/>
    <n v="276.58000000000004"/>
    <n v="3839"/>
  </r>
  <r>
    <n v="206"/>
    <s v="MTT No Till"/>
    <s v="b"/>
    <x v="4"/>
    <x v="0"/>
    <n v="32"/>
    <n v="25.002363259966963"/>
    <x v="2"/>
    <n v="8.3800000000000008"/>
    <x v="2"/>
    <n v="715.28508883990867"/>
    <n v="2.4186412725435358"/>
    <n v="24.41"/>
    <n v="42.44"/>
    <n v="315.54999999999995"/>
    <n v="4106"/>
  </r>
  <r>
    <n v="207"/>
    <s v="MTT No Till"/>
    <s v="c"/>
    <x v="4"/>
    <x v="0"/>
    <n v="32.003"/>
    <n v="25.004707231522584"/>
    <x v="2"/>
    <n v="8.36"/>
    <x v="2"/>
    <n v="760.21883188437334"/>
    <n v="2.3989353622350831"/>
    <n v="24.3"/>
    <n v="42.02"/>
    <n v="336.18"/>
    <n v="4159"/>
  </r>
  <r>
    <n v="211"/>
    <s v="MTT No Till"/>
    <s v="a"/>
    <x v="4"/>
    <x v="0"/>
    <n v="32.008000000000003"/>
    <n v="25.008613850781956"/>
    <x v="3"/>
    <n v="8.82"/>
    <x v="2"/>
    <n v="156.29697087902377"/>
    <n v="0.48722266489305199"/>
    <n v="30.910000000000004"/>
    <n v="45.199999999999996"/>
    <n v="504.59"/>
    <n v="4962"/>
  </r>
  <r>
    <n v="212"/>
    <s v="MTT No Till"/>
    <s v="b"/>
    <x v="4"/>
    <x v="0"/>
    <n v="31.997"/>
    <n v="25.000019288411337"/>
    <x v="3"/>
    <n v="8.8800000000000008"/>
    <x v="2"/>
    <n v="38.131148406980408"/>
    <n v="-0.40219069219055753"/>
    <n v="36.36"/>
    <n v="37.200000000000003"/>
    <n v="520.93999999999994"/>
    <n v="5230"/>
  </r>
  <r>
    <n v="213"/>
    <s v="MTT No Till"/>
    <s v="c"/>
    <x v="4"/>
    <x v="0"/>
    <n v="32.006999999999998"/>
    <n v="25.007832526930077"/>
    <x v="3"/>
    <n v="8.8800000000000008"/>
    <x v="2"/>
    <n v="0"/>
    <n v="0.48968778972091309"/>
    <n v="27.44"/>
    <n v="44.85"/>
    <n v="491.41"/>
    <n v="5025"/>
  </r>
  <r>
    <n v="217"/>
    <s v="MTT No Till"/>
    <s v="a"/>
    <x v="4"/>
    <x v="1"/>
    <n v="32.009"/>
    <n v="25.009395174633827"/>
    <x v="0"/>
    <n v="4.54"/>
    <x v="17"/>
    <n v="91.566024614185068"/>
    <n v="1.985546809927669"/>
    <n v="33.344999999999999"/>
    <n v="4.28"/>
    <n v="2.3299999999999983"/>
    <n v="53.19"/>
  </r>
  <r>
    <n v="218"/>
    <s v="MTT No Till"/>
    <s v="b"/>
    <x v="4"/>
    <x v="1"/>
    <n v="32"/>
    <n v="25.002363259966963"/>
    <x v="0"/>
    <n v="4.6399999999999997"/>
    <x v="13"/>
    <n v="115.31100624687012"/>
    <n v="1.5765274956950355"/>
    <n v="35.129999999999995"/>
    <n v="3.8040000000000003"/>
    <n v="6.0460000000000065"/>
    <n v="51.22"/>
  </r>
  <r>
    <n v="219"/>
    <s v="MTT No Till"/>
    <s v="c"/>
    <x v="4"/>
    <x v="1"/>
    <n v="32.008000000000003"/>
    <n v="25.008613850781956"/>
    <x v="0"/>
    <n v="4.4800000000000004"/>
    <x v="17"/>
    <n v="94.13485244450743"/>
    <n v="1.6620252703475196"/>
    <n v="33.44"/>
    <n v="4.5119999999999996"/>
    <n v="7.6730000000000018"/>
    <n v="55.339999999999996"/>
  </r>
  <r>
    <n v="223"/>
    <s v="MTT No Till"/>
    <s v="a"/>
    <x v="4"/>
    <x v="1"/>
    <n v="31.997"/>
    <n v="25.000019288411337"/>
    <x v="1"/>
    <n v="6.72"/>
    <x v="2"/>
    <n v="51.956881627835344"/>
    <n v="4.0774834859764901"/>
    <n v="28.984999999999999"/>
    <n v="13.53"/>
    <n v="9.7994104803493443"/>
    <n v="247.2"/>
  </r>
  <r>
    <n v="224"/>
    <s v="MTT No Till"/>
    <s v="b"/>
    <x v="4"/>
    <x v="1"/>
    <n v="31.998999999999999"/>
    <n v="25.001581936115088"/>
    <x v="1"/>
    <n v="6.68"/>
    <x v="2"/>
    <n v="50.104080099929647"/>
    <n v="3.657867171959341"/>
    <n v="37.200000000000003"/>
    <n v="10.984999999999999"/>
    <n v="15.177445414847163"/>
    <n v="235.2"/>
  </r>
  <r>
    <n v="225"/>
    <s v="MTT No Till"/>
    <s v="c"/>
    <x v="4"/>
    <x v="1"/>
    <n v="32.01"/>
    <n v="25.010176498485698"/>
    <x v="1"/>
    <n v="6.62"/>
    <x v="2"/>
    <n v="50.853893388497305"/>
    <n v="3.7928612009432174"/>
    <n v="29.860000000000003"/>
    <n v="12.445"/>
    <n v="16.384956331877728"/>
    <n v="220"/>
  </r>
  <r>
    <n v="229"/>
    <s v="MTT No Till"/>
    <s v="a"/>
    <x v="4"/>
    <x v="1"/>
    <n v="31.994"/>
    <n v="24.997675316855716"/>
    <x v="2"/>
    <n v="8.4"/>
    <x v="2"/>
    <n v="12.056730027284663"/>
    <n v="2.6173629995801821"/>
    <n v="24.56"/>
    <n v="39.72"/>
    <n v="257.11999999999995"/>
    <n v="3967"/>
  </r>
  <r>
    <n v="230"/>
    <s v="MTT No Till"/>
    <s v="b"/>
    <x v="4"/>
    <x v="1"/>
    <n v="31.995999999999999"/>
    <n v="24.999237964559462"/>
    <x v="2"/>
    <n v="8.3699999999999992"/>
    <x v="2"/>
    <n v="38.566812290192729"/>
    <n v="2.2161312524393937"/>
    <n v="23.57"/>
    <n v="38.93"/>
    <n v="316.5"/>
    <n v="4278"/>
  </r>
  <r>
    <n v="231"/>
    <s v="MTT No Till"/>
    <s v="c"/>
    <x v="4"/>
    <x v="1"/>
    <n v="31.997"/>
    <n v="25.000019288411337"/>
    <x v="2"/>
    <n v="8.42"/>
    <x v="2"/>
    <n v="13.045428777853042"/>
    <n v="2.662360948599007"/>
    <n v="25.45"/>
    <n v="43.06"/>
    <n v="280.39"/>
    <n v="3879"/>
  </r>
  <r>
    <n v="235"/>
    <s v="MTT No Till"/>
    <s v="a"/>
    <x v="4"/>
    <x v="1"/>
    <n v="32.003"/>
    <n v="25.004707231522584"/>
    <x v="3"/>
    <n v="8.8000000000000007"/>
    <x v="2"/>
    <n v="67.391084470492018"/>
    <n v="0.59285935510921317"/>
    <n v="22.89"/>
    <n v="47.76"/>
    <n v="471.45000000000005"/>
    <n v="5163"/>
  </r>
  <r>
    <n v="236"/>
    <s v="MTT No Till"/>
    <s v="b"/>
    <x v="4"/>
    <x v="1"/>
    <n v="32.01"/>
    <n v="25.010176498485698"/>
    <x v="3"/>
    <n v="8.86"/>
    <x v="2"/>
    <n v="5.3215170393138367"/>
    <n v="0.57210688416674105"/>
    <n v="27.11"/>
    <n v="45.12"/>
    <n v="434.27"/>
    <n v="4987"/>
  </r>
  <r>
    <n v="237"/>
    <s v="MTT No Till"/>
    <s v="c"/>
    <x v="4"/>
    <x v="1"/>
    <n v="31.998000000000001"/>
    <n v="25.000800612263212"/>
    <x v="3"/>
    <n v="8.75"/>
    <x v="2"/>
    <n v="10.978841027772813"/>
    <n v="0.79232632378815415"/>
    <n v="24.700000000000003"/>
    <n v="47.32"/>
    <n v="483.88"/>
    <n v="543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20">
  <r>
    <n v="1"/>
    <s v="a"/>
    <x v="0"/>
    <x v="0"/>
    <x v="0"/>
    <x v="0"/>
    <n v="80.41479223688107"/>
  </r>
  <r>
    <n v="2"/>
    <s v="b"/>
    <x v="0"/>
    <x v="0"/>
    <x v="0"/>
    <x v="1"/>
    <n v="78.310159133396454"/>
  </r>
  <r>
    <n v="3"/>
    <s v="c"/>
    <x v="0"/>
    <x v="0"/>
    <x v="0"/>
    <x v="2"/>
    <n v="80.869857208166266"/>
  </r>
  <r>
    <n v="7"/>
    <s v="a"/>
    <x v="0"/>
    <x v="0"/>
    <x v="1"/>
    <x v="3"/>
    <n v="480.57801043416748"/>
  </r>
  <r>
    <n v="8"/>
    <s v="b"/>
    <x v="0"/>
    <x v="0"/>
    <x v="1"/>
    <x v="3"/>
    <n v="444.78497069648091"/>
  </r>
  <r>
    <n v="9"/>
    <s v="c"/>
    <x v="0"/>
    <x v="0"/>
    <x v="1"/>
    <x v="3"/>
    <n v="697.71871209530548"/>
  </r>
  <r>
    <n v="13"/>
    <s v="a"/>
    <x v="0"/>
    <x v="0"/>
    <x v="2"/>
    <x v="3"/>
    <n v="23.840191453488544"/>
  </r>
  <r>
    <n v="14"/>
    <s v="b"/>
    <x v="0"/>
    <x v="0"/>
    <x v="2"/>
    <x v="3"/>
    <n v="41.785127502911855"/>
  </r>
  <r>
    <n v="15"/>
    <s v="c"/>
    <x v="0"/>
    <x v="0"/>
    <x v="2"/>
    <x v="3"/>
    <n v="36.900435185886835"/>
  </r>
  <r>
    <n v="19"/>
    <s v="a"/>
    <x v="0"/>
    <x v="0"/>
    <x v="3"/>
    <x v="3"/>
    <n v="0.1423959604425952"/>
  </r>
  <r>
    <n v="20"/>
    <s v="b"/>
    <x v="0"/>
    <x v="0"/>
    <x v="3"/>
    <x v="3"/>
    <n v="0.23293428877700467"/>
  </r>
  <r>
    <n v="21"/>
    <s v="c"/>
    <x v="0"/>
    <x v="0"/>
    <x v="3"/>
    <x v="3"/>
    <n v="0.23705709053271154"/>
  </r>
  <r>
    <n v="25"/>
    <s v="a"/>
    <x v="0"/>
    <x v="1"/>
    <x v="0"/>
    <x v="4"/>
    <n v="84.321712456022112"/>
  </r>
  <r>
    <n v="26"/>
    <s v="b"/>
    <x v="0"/>
    <x v="1"/>
    <x v="0"/>
    <x v="5"/>
    <n v="88.48823638024561"/>
  </r>
  <r>
    <n v="27"/>
    <s v="c"/>
    <x v="0"/>
    <x v="1"/>
    <x v="0"/>
    <x v="5"/>
    <n v="84.67254580188559"/>
  </r>
  <r>
    <n v="31"/>
    <s v="a"/>
    <x v="0"/>
    <x v="1"/>
    <x v="1"/>
    <x v="3"/>
    <n v="45.728830736066328"/>
  </r>
  <r>
    <n v="32"/>
    <s v="b"/>
    <x v="0"/>
    <x v="1"/>
    <x v="1"/>
    <x v="3"/>
    <n v="55.317407313396437"/>
  </r>
  <r>
    <n v="33"/>
    <s v="c"/>
    <x v="0"/>
    <x v="1"/>
    <x v="1"/>
    <x v="3"/>
    <n v="60.599474191311678"/>
  </r>
  <r>
    <n v="37"/>
    <s v="a"/>
    <x v="0"/>
    <x v="1"/>
    <x v="2"/>
    <x v="3"/>
    <n v="8.7291138928419727"/>
  </r>
  <r>
    <n v="38"/>
    <s v="b"/>
    <x v="0"/>
    <x v="1"/>
    <x v="2"/>
    <x v="3"/>
    <n v="17.789313546715924"/>
  </r>
  <r>
    <n v="39"/>
    <s v="c"/>
    <x v="0"/>
    <x v="1"/>
    <x v="2"/>
    <x v="3"/>
    <n v="11.595099636039896"/>
  </r>
  <r>
    <n v="43"/>
    <s v="a"/>
    <x v="0"/>
    <x v="1"/>
    <x v="3"/>
    <x v="3"/>
    <n v="0.11392048087985977"/>
  </r>
  <r>
    <n v="44"/>
    <s v="b"/>
    <x v="0"/>
    <x v="1"/>
    <x v="3"/>
    <x v="3"/>
    <n v="8.8480267845265914E-2"/>
  </r>
  <r>
    <n v="45"/>
    <s v="c"/>
    <x v="0"/>
    <x v="1"/>
    <x v="3"/>
    <x v="3"/>
    <n v="0"/>
  </r>
  <r>
    <n v="49"/>
    <s v="a"/>
    <x v="1"/>
    <x v="0"/>
    <x v="0"/>
    <x v="6"/>
    <n v="117.68212439377966"/>
  </r>
  <r>
    <n v="50"/>
    <s v="b"/>
    <x v="1"/>
    <x v="0"/>
    <x v="0"/>
    <x v="7"/>
    <n v="124.84260698421635"/>
  </r>
  <r>
    <n v="51"/>
    <s v="c"/>
    <x v="1"/>
    <x v="0"/>
    <x v="0"/>
    <x v="8"/>
    <n v="121.70328156325876"/>
  </r>
  <r>
    <n v="55"/>
    <s v="a"/>
    <x v="1"/>
    <x v="0"/>
    <x v="1"/>
    <x v="3"/>
    <n v="1017.7452775398083"/>
  </r>
  <r>
    <n v="56"/>
    <s v="b"/>
    <x v="1"/>
    <x v="0"/>
    <x v="1"/>
    <x v="3"/>
    <n v="884.59291048779789"/>
  </r>
  <r>
    <n v="57"/>
    <s v="c"/>
    <x v="1"/>
    <x v="0"/>
    <x v="1"/>
    <x v="3"/>
    <n v="859.90805603285628"/>
  </r>
  <r>
    <n v="61"/>
    <s v="a"/>
    <x v="1"/>
    <x v="0"/>
    <x v="2"/>
    <x v="3"/>
    <n v="2949.9007760929244"/>
  </r>
  <r>
    <n v="62"/>
    <s v="b"/>
    <x v="1"/>
    <x v="0"/>
    <x v="2"/>
    <x v="3"/>
    <n v="3258.6172895245709"/>
  </r>
  <r>
    <n v="63"/>
    <s v="c"/>
    <x v="1"/>
    <x v="0"/>
    <x v="2"/>
    <x v="3"/>
    <n v="2993.0806516348352"/>
  </r>
  <r>
    <n v="67"/>
    <s v="a"/>
    <x v="1"/>
    <x v="0"/>
    <x v="3"/>
    <x v="3"/>
    <n v="27.749131665345047"/>
  </r>
  <r>
    <n v="68"/>
    <s v="b"/>
    <x v="1"/>
    <x v="0"/>
    <x v="3"/>
    <x v="3"/>
    <n v="2.3600121254520148"/>
  </r>
  <r>
    <n v="69"/>
    <s v="c"/>
    <x v="1"/>
    <x v="0"/>
    <x v="3"/>
    <x v="3"/>
    <n v="1.1373929169180146"/>
  </r>
  <r>
    <n v="73"/>
    <s v="a"/>
    <x v="1"/>
    <x v="1"/>
    <x v="0"/>
    <x v="9"/>
    <n v="113.24776873793807"/>
  </r>
  <r>
    <n v="74"/>
    <s v="b"/>
    <x v="1"/>
    <x v="1"/>
    <x v="0"/>
    <x v="5"/>
    <n v="133.82316647539187"/>
  </r>
  <r>
    <n v="75"/>
    <s v="c"/>
    <x v="1"/>
    <x v="1"/>
    <x v="0"/>
    <x v="6"/>
    <n v="124.47943803276738"/>
  </r>
  <r>
    <n v="79"/>
    <s v="a"/>
    <x v="1"/>
    <x v="1"/>
    <x v="1"/>
    <x v="3"/>
    <n v="60.667398760797838"/>
  </r>
  <r>
    <n v="80"/>
    <s v="b"/>
    <x v="1"/>
    <x v="1"/>
    <x v="1"/>
    <x v="3"/>
    <n v="47.147388813762554"/>
  </r>
  <r>
    <n v="81"/>
    <s v="c"/>
    <x v="1"/>
    <x v="1"/>
    <x v="1"/>
    <x v="3"/>
    <n v="60.432217293197652"/>
  </r>
  <r>
    <n v="85"/>
    <s v="a"/>
    <x v="1"/>
    <x v="1"/>
    <x v="2"/>
    <x v="3"/>
    <n v="20.951908101303914"/>
  </r>
  <r>
    <n v="86"/>
    <s v="b"/>
    <x v="1"/>
    <x v="1"/>
    <x v="2"/>
    <x v="3"/>
    <n v="21.472106354625762"/>
  </r>
  <r>
    <n v="87"/>
    <s v="c"/>
    <x v="1"/>
    <x v="1"/>
    <x v="2"/>
    <x v="3"/>
    <n v="18.150305507135503"/>
  </r>
  <r>
    <n v="91"/>
    <s v="a"/>
    <x v="1"/>
    <x v="1"/>
    <x v="3"/>
    <x v="3"/>
    <n v="0.55654272784174785"/>
  </r>
  <r>
    <n v="92"/>
    <s v="b"/>
    <x v="1"/>
    <x v="1"/>
    <x v="3"/>
    <x v="3"/>
    <n v="0.24915233263522144"/>
  </r>
  <r>
    <n v="93"/>
    <s v="c"/>
    <x v="1"/>
    <x v="1"/>
    <x v="3"/>
    <x v="3"/>
    <n v="7.7318302044516188E-2"/>
  </r>
  <r>
    <n v="97"/>
    <s v="a"/>
    <x v="2"/>
    <x v="0"/>
    <x v="0"/>
    <x v="10"/>
    <n v="111.38776626547828"/>
  </r>
  <r>
    <n v="98"/>
    <s v="b"/>
    <x v="2"/>
    <x v="0"/>
    <x v="0"/>
    <x v="9"/>
    <n v="119.71787045293652"/>
  </r>
  <r>
    <n v="99"/>
    <s v="c"/>
    <x v="2"/>
    <x v="0"/>
    <x v="0"/>
    <x v="4"/>
    <n v="113.98438264949388"/>
  </r>
  <r>
    <n v="103"/>
    <s v="a"/>
    <x v="2"/>
    <x v="0"/>
    <x v="1"/>
    <x v="3"/>
    <n v="925.09537376138985"/>
  </r>
  <r>
    <n v="104"/>
    <s v="b"/>
    <x v="2"/>
    <x v="0"/>
    <x v="1"/>
    <x v="3"/>
    <n v="715.35580716317111"/>
  </r>
  <r>
    <n v="105"/>
    <s v="c"/>
    <x v="2"/>
    <x v="0"/>
    <x v="1"/>
    <x v="3"/>
    <n v="720.7500917218066"/>
  </r>
  <r>
    <n v="109"/>
    <s v="a"/>
    <x v="2"/>
    <x v="0"/>
    <x v="2"/>
    <x v="3"/>
    <n v="1978.7530161495695"/>
  </r>
  <r>
    <n v="110"/>
    <s v="b"/>
    <x v="2"/>
    <x v="0"/>
    <x v="2"/>
    <x v="3"/>
    <n v="1606.6011130167528"/>
  </r>
  <r>
    <n v="111"/>
    <s v="c"/>
    <x v="2"/>
    <x v="0"/>
    <x v="2"/>
    <x v="3"/>
    <n v="2159.1282120439623"/>
  </r>
  <r>
    <n v="115"/>
    <s v="a"/>
    <x v="2"/>
    <x v="0"/>
    <x v="3"/>
    <x v="3"/>
    <n v="29.374312250689407"/>
  </r>
  <r>
    <n v="116"/>
    <s v="b"/>
    <x v="2"/>
    <x v="0"/>
    <x v="3"/>
    <x v="3"/>
    <n v="1.2859254445298485"/>
  </r>
  <r>
    <n v="117"/>
    <s v="c"/>
    <x v="2"/>
    <x v="0"/>
    <x v="3"/>
    <x v="3"/>
    <n v="0.72437402001206119"/>
  </r>
  <r>
    <n v="121"/>
    <s v="a"/>
    <x v="2"/>
    <x v="1"/>
    <x v="0"/>
    <x v="11"/>
    <n v="109.3682684709222"/>
  </r>
  <r>
    <n v="122"/>
    <s v="b"/>
    <x v="2"/>
    <x v="1"/>
    <x v="0"/>
    <x v="12"/>
    <n v="112.79755042547259"/>
  </r>
  <r>
    <n v="123"/>
    <s v="c"/>
    <x v="2"/>
    <x v="1"/>
    <x v="0"/>
    <x v="13"/>
    <n v="115.9542020497489"/>
  </r>
  <r>
    <n v="127"/>
    <s v="a"/>
    <x v="2"/>
    <x v="1"/>
    <x v="1"/>
    <x v="3"/>
    <n v="64.916690709132652"/>
  </r>
  <r>
    <n v="128"/>
    <s v="b"/>
    <x v="2"/>
    <x v="1"/>
    <x v="1"/>
    <x v="3"/>
    <n v="90.6702417146183"/>
  </r>
  <r>
    <n v="129"/>
    <s v="c"/>
    <x v="2"/>
    <x v="1"/>
    <x v="1"/>
    <x v="3"/>
    <n v="35.8286708964471"/>
  </r>
  <r>
    <n v="133"/>
    <s v="a"/>
    <x v="2"/>
    <x v="1"/>
    <x v="2"/>
    <x v="3"/>
    <n v="9.8672920762433414"/>
  </r>
  <r>
    <n v="134"/>
    <s v="b"/>
    <x v="2"/>
    <x v="1"/>
    <x v="2"/>
    <x v="3"/>
    <n v="6.9379607150136007"/>
  </r>
  <r>
    <n v="135"/>
    <s v="c"/>
    <x v="2"/>
    <x v="1"/>
    <x v="2"/>
    <x v="3"/>
    <n v="14.445750551360492"/>
  </r>
  <r>
    <n v="139"/>
    <s v="a"/>
    <x v="2"/>
    <x v="1"/>
    <x v="3"/>
    <x v="3"/>
    <n v="0.58096142156789388"/>
  </r>
  <r>
    <n v="140"/>
    <s v="b"/>
    <x v="2"/>
    <x v="1"/>
    <x v="3"/>
    <x v="3"/>
    <n v="0.22572574642185431"/>
  </r>
  <r>
    <n v="141"/>
    <s v="c"/>
    <x v="2"/>
    <x v="1"/>
    <x v="3"/>
    <x v="3"/>
    <n v="0.59413011044733488"/>
  </r>
  <r>
    <n v="145"/>
    <s v="a"/>
    <x v="3"/>
    <x v="0"/>
    <x v="0"/>
    <x v="14"/>
    <n v="82.46367442707529"/>
  </r>
  <r>
    <n v="146"/>
    <s v="b"/>
    <x v="3"/>
    <x v="0"/>
    <x v="0"/>
    <x v="15"/>
    <n v="89.580017509713855"/>
  </r>
  <r>
    <n v="147"/>
    <s v="c"/>
    <x v="3"/>
    <x v="0"/>
    <x v="0"/>
    <x v="16"/>
    <n v="99.62893713230001"/>
  </r>
  <r>
    <n v="151"/>
    <s v="a"/>
    <x v="3"/>
    <x v="0"/>
    <x v="1"/>
    <x v="3"/>
    <n v="627.30017711887626"/>
  </r>
  <r>
    <n v="152"/>
    <s v="b"/>
    <x v="3"/>
    <x v="0"/>
    <x v="1"/>
    <x v="3"/>
    <n v="658.64511208092699"/>
  </r>
  <r>
    <n v="153"/>
    <s v="c"/>
    <x v="3"/>
    <x v="0"/>
    <x v="1"/>
    <x v="3"/>
    <n v="1546.4252074114681"/>
  </r>
  <r>
    <n v="157"/>
    <s v="a"/>
    <x v="3"/>
    <x v="0"/>
    <x v="2"/>
    <x v="3"/>
    <n v="1839.6884869422345"/>
  </r>
  <r>
    <n v="158"/>
    <s v="b"/>
    <x v="3"/>
    <x v="0"/>
    <x v="2"/>
    <x v="3"/>
    <n v="1944.6685779055381"/>
  </r>
  <r>
    <n v="159"/>
    <s v="c"/>
    <x v="3"/>
    <x v="0"/>
    <x v="2"/>
    <x v="3"/>
    <n v="1478.2900513868003"/>
  </r>
  <r>
    <n v="163"/>
    <s v="a"/>
    <x v="3"/>
    <x v="0"/>
    <x v="3"/>
    <x v="3"/>
    <n v="9.7583178882582775"/>
  </r>
  <r>
    <n v="164"/>
    <s v="b"/>
    <x v="3"/>
    <x v="0"/>
    <x v="3"/>
    <x v="3"/>
    <n v="10.531529081287774"/>
  </r>
  <r>
    <n v="165"/>
    <s v="c"/>
    <x v="3"/>
    <x v="0"/>
    <x v="3"/>
    <x v="3"/>
    <n v="4.6457652486807532"/>
  </r>
  <r>
    <n v="169"/>
    <s v="a"/>
    <x v="3"/>
    <x v="1"/>
    <x v="0"/>
    <x v="17"/>
    <n v="90.489786281933107"/>
  </r>
  <r>
    <n v="170"/>
    <s v="b"/>
    <x v="3"/>
    <x v="1"/>
    <x v="0"/>
    <x v="4"/>
    <n v="97.678185432666922"/>
  </r>
  <r>
    <n v="171"/>
    <s v="c"/>
    <x v="3"/>
    <x v="1"/>
    <x v="0"/>
    <x v="7"/>
    <n v="97.156665434117699"/>
  </r>
  <r>
    <n v="175"/>
    <s v="a"/>
    <x v="3"/>
    <x v="1"/>
    <x v="1"/>
    <x v="3"/>
    <n v="50.370002718550872"/>
  </r>
  <r>
    <n v="176"/>
    <s v="b"/>
    <x v="3"/>
    <x v="1"/>
    <x v="1"/>
    <x v="3"/>
    <n v="142.69427096173729"/>
  </r>
  <r>
    <n v="177"/>
    <s v="c"/>
    <x v="3"/>
    <x v="1"/>
    <x v="1"/>
    <x v="3"/>
    <n v="54.472797569727248"/>
  </r>
  <r>
    <n v="181"/>
    <s v="a"/>
    <x v="3"/>
    <x v="1"/>
    <x v="2"/>
    <x v="3"/>
    <n v="20.625709922158897"/>
  </r>
  <r>
    <n v="182"/>
    <s v="b"/>
    <x v="3"/>
    <x v="1"/>
    <x v="2"/>
    <x v="3"/>
    <n v="15.558270508267057"/>
  </r>
  <r>
    <n v="183"/>
    <s v="c"/>
    <x v="3"/>
    <x v="1"/>
    <x v="2"/>
    <x v="3"/>
    <n v="37.944256144043649"/>
  </r>
  <r>
    <n v="187"/>
    <s v="a"/>
    <x v="3"/>
    <x v="1"/>
    <x v="3"/>
    <x v="3"/>
    <n v="1.3817361291903276"/>
  </r>
  <r>
    <n v="188"/>
    <s v="b"/>
    <x v="3"/>
    <x v="1"/>
    <x v="3"/>
    <x v="3"/>
    <n v="0.65597439954248871"/>
  </r>
  <r>
    <n v="189"/>
    <s v="c"/>
    <x v="3"/>
    <x v="1"/>
    <x v="3"/>
    <x v="3"/>
    <n v="0.87776938472828359"/>
  </r>
  <r>
    <n v="193"/>
    <s v="a"/>
    <x v="4"/>
    <x v="0"/>
    <x v="0"/>
    <x v="18"/>
    <n v="70.547376212610345"/>
  </r>
  <r>
    <n v="194"/>
    <s v="b"/>
    <x v="4"/>
    <x v="0"/>
    <x v="0"/>
    <x v="19"/>
    <n v="92.487118808074939"/>
  </r>
  <r>
    <n v="195"/>
    <s v="c"/>
    <x v="4"/>
    <x v="0"/>
    <x v="0"/>
    <x v="20"/>
    <n v="91.480180440828846"/>
  </r>
  <r>
    <n v="199"/>
    <s v="a"/>
    <x v="4"/>
    <x v="0"/>
    <x v="1"/>
    <x v="3"/>
    <n v="660.30055760268567"/>
  </r>
  <r>
    <n v="200"/>
    <s v="b"/>
    <x v="4"/>
    <x v="0"/>
    <x v="1"/>
    <x v="3"/>
    <n v="668.36627538329162"/>
  </r>
  <r>
    <n v="201"/>
    <s v="c"/>
    <x v="4"/>
    <x v="0"/>
    <x v="1"/>
    <x v="3"/>
    <n v="359.27269341750059"/>
  </r>
  <r>
    <n v="205"/>
    <s v="a"/>
    <x v="4"/>
    <x v="0"/>
    <x v="2"/>
    <x v="3"/>
    <n v="517.2334263259678"/>
  </r>
  <r>
    <n v="206"/>
    <s v="b"/>
    <x v="4"/>
    <x v="0"/>
    <x v="2"/>
    <x v="3"/>
    <n v="715.28508883990867"/>
  </r>
  <r>
    <n v="207"/>
    <s v="c"/>
    <x v="4"/>
    <x v="0"/>
    <x v="2"/>
    <x v="3"/>
    <n v="760.21883188437334"/>
  </r>
  <r>
    <n v="211"/>
    <s v="a"/>
    <x v="4"/>
    <x v="0"/>
    <x v="3"/>
    <x v="3"/>
    <n v="156.29697087902377"/>
  </r>
  <r>
    <n v="212"/>
    <s v="b"/>
    <x v="4"/>
    <x v="0"/>
    <x v="3"/>
    <x v="3"/>
    <n v="38.131148406980408"/>
  </r>
  <r>
    <n v="213"/>
    <s v="c"/>
    <x v="4"/>
    <x v="0"/>
    <x v="3"/>
    <x v="3"/>
    <n v="0"/>
  </r>
  <r>
    <n v="217"/>
    <s v="a"/>
    <x v="4"/>
    <x v="1"/>
    <x v="0"/>
    <x v="21"/>
    <n v="91.566024614185068"/>
  </r>
  <r>
    <n v="218"/>
    <s v="b"/>
    <x v="4"/>
    <x v="1"/>
    <x v="0"/>
    <x v="22"/>
    <n v="115.31100624687012"/>
  </r>
  <r>
    <n v="219"/>
    <s v="c"/>
    <x v="4"/>
    <x v="1"/>
    <x v="0"/>
    <x v="23"/>
    <n v="94.13485244450743"/>
  </r>
  <r>
    <n v="223"/>
    <s v="a"/>
    <x v="4"/>
    <x v="1"/>
    <x v="1"/>
    <x v="3"/>
    <n v="51.956881627835344"/>
  </r>
  <r>
    <n v="224"/>
    <s v="b"/>
    <x v="4"/>
    <x v="1"/>
    <x v="1"/>
    <x v="3"/>
    <n v="50.104080099929647"/>
  </r>
  <r>
    <n v="225"/>
    <s v="c"/>
    <x v="4"/>
    <x v="1"/>
    <x v="1"/>
    <x v="3"/>
    <n v="50.853893388497305"/>
  </r>
  <r>
    <n v="229"/>
    <s v="a"/>
    <x v="4"/>
    <x v="1"/>
    <x v="2"/>
    <x v="3"/>
    <n v="12.056730027284663"/>
  </r>
  <r>
    <n v="230"/>
    <s v="b"/>
    <x v="4"/>
    <x v="1"/>
    <x v="2"/>
    <x v="3"/>
    <n v="38.566812290192729"/>
  </r>
  <r>
    <n v="231"/>
    <s v="c"/>
    <x v="4"/>
    <x v="1"/>
    <x v="2"/>
    <x v="3"/>
    <n v="13.045428777853042"/>
  </r>
  <r>
    <n v="235"/>
    <s v="a"/>
    <x v="4"/>
    <x v="1"/>
    <x v="3"/>
    <x v="3"/>
    <n v="67.391084470492018"/>
  </r>
  <r>
    <n v="236"/>
    <s v="b"/>
    <x v="4"/>
    <x v="1"/>
    <x v="3"/>
    <x v="3"/>
    <n v="5.3215170393138367"/>
  </r>
  <r>
    <n v="237"/>
    <s v="c"/>
    <x v="4"/>
    <x v="1"/>
    <x v="3"/>
    <x v="3"/>
    <n v="10.97884102777281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0">
  <r>
    <x v="0"/>
    <s v="+"/>
    <x v="0"/>
    <n v="7764.3781006223635"/>
  </r>
  <r>
    <x v="0"/>
    <s v="+"/>
    <x v="0"/>
    <n v="7042.7676937671276"/>
  </r>
  <r>
    <x v="0"/>
    <s v="+"/>
    <x v="0"/>
    <n v="8312.9303858607345"/>
  </r>
  <r>
    <x v="0"/>
    <s v="+"/>
    <x v="1"/>
    <n v="16173.088658006302"/>
  </r>
  <r>
    <x v="0"/>
    <s v="+"/>
    <x v="1"/>
    <n v="17542.554114705839"/>
  </r>
  <r>
    <x v="0"/>
    <s v="+"/>
    <x v="1"/>
    <n v="17194.340495842513"/>
  </r>
  <r>
    <x v="0"/>
    <s v="+"/>
    <x v="2"/>
    <n v="13410.055462259246"/>
  </r>
  <r>
    <x v="0"/>
    <s v="+"/>
    <x v="2"/>
    <n v="15795.341038263336"/>
  </r>
  <r>
    <x v="0"/>
    <s v="+"/>
    <x v="2"/>
    <n v="13719.62925508529"/>
  </r>
  <r>
    <x v="0"/>
    <s v="+"/>
    <x v="3"/>
    <n v="11760.789250337762"/>
  </r>
  <r>
    <x v="0"/>
    <s v="+"/>
    <x v="3"/>
    <n v="12170.676590788076"/>
  </r>
  <r>
    <x v="0"/>
    <s v="+"/>
    <x v="3"/>
    <n v="12646.399461265859"/>
  </r>
  <r>
    <x v="0"/>
    <s v="-"/>
    <x v="0"/>
    <n v="8161.2322219012731"/>
  </r>
  <r>
    <x v="0"/>
    <s v="-"/>
    <x v="0"/>
    <n v="7932.534723901872"/>
  </r>
  <r>
    <x v="0"/>
    <s v="-"/>
    <x v="0"/>
    <n v="9910.6753807535497"/>
  </r>
  <r>
    <x v="0"/>
    <s v="-"/>
    <x v="1"/>
    <n v="17975.97420748994"/>
  </r>
  <r>
    <x v="0"/>
    <s v="-"/>
    <x v="1"/>
    <n v="18529.256434581868"/>
  </r>
  <r>
    <x v="0"/>
    <s v="-"/>
    <x v="1"/>
    <n v="17298.593546282787"/>
  </r>
  <r>
    <x v="0"/>
    <s v="-"/>
    <x v="2"/>
    <n v="16024.314671536911"/>
  </r>
  <r>
    <x v="0"/>
    <s v="-"/>
    <x v="2"/>
    <n v="16921.760079743635"/>
  </r>
  <r>
    <x v="0"/>
    <s v="-"/>
    <x v="2"/>
    <n v="16493.670244287045"/>
  </r>
  <r>
    <x v="0"/>
    <s v="-"/>
    <x v="3"/>
    <n v="14231.089386173553"/>
  </r>
  <r>
    <x v="0"/>
    <s v="-"/>
    <x v="3"/>
    <n v="16098.802723465065"/>
  </r>
  <r>
    <x v="0"/>
    <s v="-"/>
    <x v="3"/>
    <n v="14311.011924000952"/>
  </r>
  <r>
    <x v="1"/>
    <s v="+"/>
    <x v="0"/>
    <n v="16600.794409739516"/>
  </r>
  <r>
    <x v="1"/>
    <s v="+"/>
    <x v="0"/>
    <n v="16743.190962324486"/>
  </r>
  <r>
    <x v="1"/>
    <s v="+"/>
    <x v="0"/>
    <n v="17134.815596273169"/>
  </r>
  <r>
    <x v="1"/>
    <s v="+"/>
    <x v="1"/>
    <n v="29983.129485493962"/>
  </r>
  <r>
    <x v="1"/>
    <s v="+"/>
    <x v="1"/>
    <n v="33300.791461777357"/>
  </r>
  <r>
    <x v="1"/>
    <s v="+"/>
    <x v="1"/>
    <n v="32884.096142389972"/>
  </r>
  <r>
    <x v="1"/>
    <s v="+"/>
    <x v="2"/>
    <n v="22036.696789806876"/>
  </r>
  <r>
    <x v="1"/>
    <s v="+"/>
    <x v="2"/>
    <n v="26074.883273635602"/>
  </r>
  <r>
    <x v="1"/>
    <s v="+"/>
    <x v="2"/>
    <n v="16207.785737439608"/>
  </r>
  <r>
    <x v="1"/>
    <s v="+"/>
    <x v="3"/>
    <n v="12088.714016109683"/>
  </r>
  <r>
    <x v="1"/>
    <s v="+"/>
    <x v="3"/>
    <n v="12730.835553159468"/>
  </r>
  <r>
    <x v="1"/>
    <s v="+"/>
    <x v="3"/>
    <n v="11964.856341097158"/>
  </r>
  <r>
    <x v="1"/>
    <s v="-"/>
    <x v="0"/>
    <n v="4631.3039105547514"/>
  </r>
  <r>
    <x v="1"/>
    <s v="-"/>
    <x v="0"/>
    <n v="17073.370933570244"/>
  </r>
  <r>
    <x v="1"/>
    <s v="-"/>
    <x v="0"/>
    <n v="15483.040616629489"/>
  </r>
  <r>
    <x v="1"/>
    <s v="-"/>
    <x v="1"/>
    <n v="36131.958713187283"/>
  </r>
  <r>
    <x v="1"/>
    <s v="-"/>
    <x v="1"/>
    <n v="40175.291278636054"/>
  </r>
  <r>
    <x v="1"/>
    <s v="-"/>
    <x v="1"/>
    <n v="33882.98126990359"/>
  </r>
  <r>
    <x v="1"/>
    <s v="-"/>
    <x v="2"/>
    <n v="23931.130126949662"/>
  </r>
  <r>
    <x v="1"/>
    <s v="-"/>
    <x v="2"/>
    <n v="26075.087549987489"/>
  </r>
  <r>
    <x v="1"/>
    <s v="-"/>
    <x v="2"/>
    <n v="23521.518701994632"/>
  </r>
  <r>
    <x v="1"/>
    <s v="-"/>
    <x v="3"/>
    <n v="13330.174619452328"/>
  </r>
  <r>
    <x v="1"/>
    <s v="-"/>
    <x v="3"/>
    <n v="11635.420808032546"/>
  </r>
  <r>
    <x v="1"/>
    <s v="-"/>
    <x v="3"/>
    <n v="10108.311122338169"/>
  </r>
  <r>
    <x v="2"/>
    <s v="+"/>
    <x v="0"/>
    <n v="28259.852970029038"/>
  </r>
  <r>
    <x v="2"/>
    <s v="+"/>
    <x v="0"/>
    <n v="23741.740334326234"/>
  </r>
  <r>
    <x v="2"/>
    <s v="+"/>
    <x v="0"/>
    <n v="24587.643048372582"/>
  </r>
  <r>
    <x v="2"/>
    <s v="+"/>
    <x v="1"/>
    <n v="55340.640316612036"/>
  </r>
  <r>
    <x v="2"/>
    <s v="+"/>
    <x v="1"/>
    <n v="54134.850693342501"/>
  </r>
  <r>
    <x v="2"/>
    <s v="+"/>
    <x v="1"/>
    <n v="52860.302618756454"/>
  </r>
  <r>
    <x v="2"/>
    <s v="+"/>
    <x v="2"/>
    <n v="25827.832508096551"/>
  </r>
  <r>
    <x v="2"/>
    <s v="+"/>
    <x v="2"/>
    <n v="32520.992499752316"/>
  </r>
  <r>
    <x v="2"/>
    <s v="+"/>
    <x v="2"/>
    <n v="29069.750113510767"/>
  </r>
  <r>
    <x v="2"/>
    <s v="+"/>
    <x v="3"/>
    <n v="8322.2410492317904"/>
  </r>
  <r>
    <x v="2"/>
    <s v="+"/>
    <x v="3"/>
    <n v="7123.1771586028517"/>
  </r>
  <r>
    <x v="2"/>
    <s v="+"/>
    <x v="3"/>
    <n v="6803.4833723040574"/>
  </r>
  <r>
    <x v="2"/>
    <s v="-"/>
    <x v="0"/>
    <n v="22535.237147766962"/>
  </r>
  <r>
    <x v="2"/>
    <s v="-"/>
    <x v="0"/>
    <n v="27742.292830880877"/>
  </r>
  <r>
    <x v="2"/>
    <s v="-"/>
    <x v="0"/>
    <n v="26101.502486644673"/>
  </r>
  <r>
    <x v="2"/>
    <s v="-"/>
    <x v="1"/>
    <n v="84855.717117489054"/>
  </r>
  <r>
    <x v="2"/>
    <s v="-"/>
    <x v="1"/>
    <n v="50289.533872105341"/>
  </r>
  <r>
    <x v="2"/>
    <s v="-"/>
    <x v="1"/>
    <n v="42369.505740023829"/>
  </r>
  <r>
    <x v="2"/>
    <s v="-"/>
    <x v="2"/>
    <n v="32665.521140571247"/>
  </r>
  <r>
    <x v="2"/>
    <s v="-"/>
    <x v="2"/>
    <n v="33860.17610910839"/>
  </r>
  <r>
    <x v="2"/>
    <s v="-"/>
    <x v="2"/>
    <n v="50436.114125046151"/>
  </r>
  <r>
    <x v="2"/>
    <s v="-"/>
    <x v="3"/>
    <n v="9551.0108991501402"/>
  </r>
  <r>
    <x v="2"/>
    <s v="-"/>
    <x v="3"/>
    <n v="9136.4337639668793"/>
  </r>
  <r>
    <x v="2"/>
    <s v="-"/>
    <x v="3"/>
    <n v="8506.0765537260759"/>
  </r>
  <r>
    <x v="3"/>
    <s v="+"/>
    <x v="0"/>
    <n v="20826.846262154391"/>
  </r>
  <r>
    <x v="3"/>
    <s v="+"/>
    <x v="0"/>
    <n v="18425.416144470753"/>
  </r>
  <r>
    <x v="3"/>
    <s v="+"/>
    <x v="0"/>
    <n v="27047.412849314762"/>
  </r>
  <r>
    <x v="3"/>
    <s v="+"/>
    <x v="1"/>
    <n v="41331.389812465364"/>
  </r>
  <r>
    <x v="3"/>
    <s v="+"/>
    <x v="1"/>
    <n v="41832.968561021684"/>
  </r>
  <r>
    <x v="3"/>
    <s v="+"/>
    <x v="1"/>
    <n v="41088.854671141875"/>
  </r>
  <r>
    <x v="3"/>
    <s v="+"/>
    <x v="2"/>
    <n v="56355.314995253095"/>
  </r>
  <r>
    <x v="3"/>
    <s v="+"/>
    <x v="2"/>
    <n v="60525.404296460059"/>
  </r>
  <r>
    <x v="3"/>
    <s v="+"/>
    <x v="2"/>
    <n v="57642.884928595828"/>
  </r>
  <r>
    <x v="3"/>
    <s v="+"/>
    <x v="3"/>
    <n v="17629.584219240747"/>
  </r>
  <r>
    <x v="3"/>
    <s v="+"/>
    <x v="3"/>
    <n v="19418.120557080678"/>
  </r>
  <r>
    <x v="3"/>
    <s v="+"/>
    <x v="3"/>
    <n v="7523.6566732260499"/>
  </r>
  <r>
    <x v="3"/>
    <s v="-"/>
    <x v="0"/>
    <n v="14825.726222887406"/>
  </r>
  <r>
    <x v="3"/>
    <s v="-"/>
    <x v="0"/>
    <n v="16535.467011709065"/>
  </r>
  <r>
    <x v="3"/>
    <s v="-"/>
    <x v="0"/>
    <n v="19797.300654915194"/>
  </r>
  <r>
    <x v="3"/>
    <s v="-"/>
    <x v="1"/>
    <n v="42779.682010264485"/>
  </r>
  <r>
    <x v="3"/>
    <s v="-"/>
    <x v="1"/>
    <n v="41323.384788927258"/>
  </r>
  <r>
    <x v="3"/>
    <s v="-"/>
    <x v="1"/>
    <n v="53563.830416866265"/>
  </r>
  <r>
    <x v="3"/>
    <s v="-"/>
    <x v="2"/>
    <n v="59612.31723406996"/>
  </r>
  <r>
    <x v="3"/>
    <s v="-"/>
    <x v="2"/>
    <n v="63267.178176388246"/>
  </r>
  <r>
    <x v="3"/>
    <s v="-"/>
    <x v="2"/>
    <n v="54376.671991214673"/>
  </r>
  <r>
    <x v="3"/>
    <s v="-"/>
    <x v="3"/>
    <n v="16962.911438211675"/>
  </r>
  <r>
    <x v="3"/>
    <s v="-"/>
    <x v="3"/>
    <n v="20594.76474629977"/>
  </r>
  <r>
    <x v="3"/>
    <s v="-"/>
    <x v="3"/>
    <n v="12341.204794981677"/>
  </r>
  <r>
    <x v="4"/>
    <s v="+"/>
    <x v="0"/>
    <n v="23506.15785763786"/>
  </r>
  <r>
    <x v="4"/>
    <s v="+"/>
    <x v="0"/>
    <n v="19019.883963659224"/>
  </r>
  <r>
    <x v="4"/>
    <s v="+"/>
    <x v="0"/>
    <n v="19150.366324302533"/>
  </r>
  <r>
    <x v="4"/>
    <s v="+"/>
    <x v="1"/>
    <n v="48227.556077513145"/>
  </r>
  <r>
    <x v="4"/>
    <s v="+"/>
    <x v="1"/>
    <n v="49461.187001977203"/>
  </r>
  <r>
    <x v="4"/>
    <s v="+"/>
    <x v="1"/>
    <n v="42685.679312987733"/>
  </r>
  <r>
    <x v="4"/>
    <s v="+"/>
    <x v="2"/>
    <n v="55580.186895223029"/>
  </r>
  <r>
    <x v="4"/>
    <s v="+"/>
    <x v="2"/>
    <n v="76505.620707056209"/>
  </r>
  <r>
    <x v="4"/>
    <s v="+"/>
    <x v="2"/>
    <n v="58075.49262208875"/>
  </r>
  <r>
    <x v="4"/>
    <s v="+"/>
    <x v="3"/>
    <n v="40177.527575173975"/>
  </r>
  <r>
    <x v="4"/>
    <s v="+"/>
    <x v="3"/>
    <n v="46811.067911894585"/>
  </r>
  <r>
    <x v="4"/>
    <s v="+"/>
    <x v="3"/>
    <n v="23721.407818203075"/>
  </r>
  <r>
    <x v="4"/>
    <s v="-"/>
    <x v="0"/>
    <n v="21517.371665913277"/>
  </r>
  <r>
    <x v="4"/>
    <s v="-"/>
    <x v="0"/>
    <n v="22231.114906238308"/>
  </r>
  <r>
    <x v="4"/>
    <s v="-"/>
    <x v="0"/>
    <n v="21416.723871041751"/>
  </r>
  <r>
    <x v="4"/>
    <s v="-"/>
    <x v="1"/>
    <n v="55303.400646631846"/>
  </r>
  <r>
    <x v="4"/>
    <s v="-"/>
    <x v="1"/>
    <n v="54339.665673356008"/>
  </r>
  <r>
    <x v="4"/>
    <s v="-"/>
    <x v="1"/>
    <n v="45957.320057234669"/>
  </r>
  <r>
    <x v="4"/>
    <s v="-"/>
    <x v="2"/>
    <n v="93545.783204056177"/>
  </r>
  <r>
    <x v="4"/>
    <s v="-"/>
    <x v="2"/>
    <n v="97753.572713105299"/>
  </r>
  <r>
    <x v="4"/>
    <s v="-"/>
    <x v="2"/>
    <n v="79060.72944025285"/>
  </r>
  <r>
    <x v="4"/>
    <s v="-"/>
    <x v="3"/>
    <n v="35076.153220479253"/>
  </r>
  <r>
    <x v="4"/>
    <s v="-"/>
    <x v="3"/>
    <n v="62384.014151868374"/>
  </r>
  <r>
    <x v="4"/>
    <s v="-"/>
    <x v="3"/>
    <n v="26838.02213100037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40">
  <r>
    <x v="0"/>
    <s v="+"/>
    <n v="32.000999999999998"/>
    <n v="25.003144583818834"/>
    <x v="0"/>
    <m/>
    <m/>
    <n v="174.36099999999999"/>
    <n v="1097.1189999999999"/>
    <m/>
    <m/>
    <m/>
    <m/>
    <n v="48.729212676320003"/>
    <n v="1773.2979873149345"/>
  </r>
  <r>
    <x v="0"/>
    <s v="+"/>
    <n v="32.003"/>
    <n v="25.004707231522584"/>
    <x v="0"/>
    <m/>
    <m/>
    <n v="162.79"/>
    <n v="1055.395"/>
    <m/>
    <m/>
    <m/>
    <m/>
    <n v="45.495429204799997"/>
    <n v="1655.5143572678871"/>
  </r>
  <r>
    <x v="0"/>
    <s v="+"/>
    <n v="31.997"/>
    <n v="25.000019288411337"/>
    <x v="0"/>
    <m/>
    <m/>
    <n v="170.678"/>
    <n v="1000.239"/>
    <m/>
    <m/>
    <m/>
    <m/>
    <n v="47.699913175360003"/>
    <n v="1736.0578930800884"/>
  </r>
  <r>
    <x v="0"/>
    <s v="+"/>
    <n v="31.997"/>
    <n v="25.000019288411337"/>
    <x v="0"/>
    <n v="4.75"/>
    <n v="4.96"/>
    <n v="165.922"/>
    <n v="1003.3819999999999"/>
    <n v="6.8400000000000007"/>
    <n v="1.9750000000000001"/>
    <n v="2.5599999999999996"/>
    <n v="37.21"/>
    <n v="46.370739016640002"/>
    <n v="1687.6820547207865"/>
  </r>
  <r>
    <x v="0"/>
    <s v="+"/>
    <n v="32.008000000000003"/>
    <n v="25.008613850781956"/>
    <x v="0"/>
    <n v="4.83"/>
    <n v="5"/>
    <n v="156.63900000000001"/>
    <n v="925.07799999999997"/>
    <n v="5.2200000000000006"/>
    <n v="1.8074999999999999"/>
    <n v="3.6274999999999995"/>
    <n v="41.39"/>
    <n v="43.776390043680003"/>
    <n v="1592.7121142573044"/>
  </r>
  <r>
    <x v="0"/>
    <s v="+"/>
    <n v="31.997"/>
    <n v="25.000019288411337"/>
    <x v="0"/>
    <m/>
    <m/>
    <n v="165.90600000000001"/>
    <n v="1091.9749999999999"/>
    <m/>
    <m/>
    <m/>
    <m/>
    <n v="46.366267446720002"/>
    <n v="1687.5193101005705"/>
  </r>
  <r>
    <x v="0"/>
    <s v="+"/>
    <n v="31.997"/>
    <n v="25.000019288411337"/>
    <x v="1"/>
    <m/>
    <m/>
    <n v="148.60400000000001"/>
    <n v="1994.4760000000001"/>
    <m/>
    <m/>
    <m/>
    <m/>
    <n v="41.530823524480006"/>
    <n v="1511.531346414145"/>
  </r>
  <r>
    <x v="0"/>
    <s v="+"/>
    <n v="32.003999999999998"/>
    <n v="25.005488555374455"/>
    <x v="1"/>
    <m/>
    <m/>
    <n v="136.786"/>
    <n v="1791.2840000000001"/>
    <m/>
    <m/>
    <m/>
    <m/>
    <n v="38.228010192319999"/>
    <n v="1391.0197871989669"/>
  </r>
  <r>
    <x v="0"/>
    <s v="+"/>
    <n v="32.01"/>
    <n v="25.010176498485698"/>
    <x v="1"/>
    <m/>
    <m/>
    <n v="70.864000000000004"/>
    <n v="2023.34"/>
    <m/>
    <m/>
    <m/>
    <m/>
    <n v="19.804583175680001"/>
    <n v="720.50319107310463"/>
  </r>
  <r>
    <x v="0"/>
    <s v="+"/>
    <n v="31.998999999999999"/>
    <n v="25.001581936115088"/>
    <x v="1"/>
    <n v="6.5"/>
    <n v="4.4400000000000004"/>
    <n v="78.820999999999998"/>
    <n v="1878.4480000000001"/>
    <n v="0.31609999999999999"/>
    <n v="5.1749999999999998"/>
    <n v="17.053900000000002"/>
    <n v="233.79999999999998"/>
    <n v="22.028350791519998"/>
    <n v="801.68074713493547"/>
  </r>
  <r>
    <x v="0"/>
    <s v="+"/>
    <n v="32.003"/>
    <n v="25.004707231522584"/>
    <x v="1"/>
    <n v="6.54"/>
    <n v="4.5"/>
    <n v="115.596"/>
    <n v="1865.3019999999999"/>
    <n v="0.22474999999999998"/>
    <n v="5.4450000000000003"/>
    <n v="18.61525"/>
    <n v="221.4"/>
    <n v="32.30597477952"/>
    <n v="1175.5687551000594"/>
  </r>
  <r>
    <x v="0"/>
    <s v="+"/>
    <n v="32.008000000000003"/>
    <n v="25.008613850781956"/>
    <x v="1"/>
    <m/>
    <m/>
    <n v="60.183"/>
    <n v="1886.7360000000001"/>
    <m/>
    <m/>
    <m/>
    <m/>
    <n v="16.819530780959997"/>
    <n v="611.94334215838546"/>
  </r>
  <r>
    <x v="0"/>
    <s v="+"/>
    <n v="32"/>
    <n v="25.002363259966963"/>
    <x v="2"/>
    <m/>
    <m/>
    <n v="1.3540000000000001"/>
    <n v="92.308000000000007"/>
    <m/>
    <m/>
    <m/>
    <m/>
    <n v="0.37840660448000002"/>
    <n v="13.77097233610446"/>
  </r>
  <r>
    <x v="0"/>
    <s v="+"/>
    <n v="31.995000000000001"/>
    <n v="24.998456640707591"/>
    <x v="2"/>
    <m/>
    <m/>
    <n v="1.1659999999999999"/>
    <n v="95.450999999999993"/>
    <m/>
    <m/>
    <m/>
    <m/>
    <n v="0.32586565792"/>
    <n v="11.860755564990413"/>
  </r>
  <r>
    <x v="0"/>
    <s v="+"/>
    <n v="32.000999999999998"/>
    <n v="25.003144583818834"/>
    <x v="2"/>
    <m/>
    <m/>
    <n v="1.1519999999999999"/>
    <n v="81.733999999999995"/>
    <m/>
    <m/>
    <m/>
    <m/>
    <n v="0.32195303423999999"/>
    <n v="11.716147999763734"/>
  </r>
  <r>
    <x v="0"/>
    <s v="+"/>
    <n v="31.997"/>
    <n v="25.000019288411337"/>
    <x v="2"/>
    <n v="8.23"/>
    <n v="5.52"/>
    <n v="1.0880000000000001"/>
    <n v="125.744"/>
    <n v="13.08"/>
    <n v="20.91"/>
    <n v="269.20999999999998"/>
    <n v="4967"/>
    <n v="0.30406675455999999"/>
    <n v="11.066634174709899"/>
  </r>
  <r>
    <x v="0"/>
    <s v="+"/>
    <n v="31.995000000000001"/>
    <n v="24.998456640707591"/>
    <x v="2"/>
    <n v="8.19"/>
    <n v="5.34"/>
    <n v="1.1299999999999999"/>
    <n v="85.448999999999998"/>
    <n v="13.21"/>
    <n v="21.85"/>
    <n v="329.74"/>
    <n v="4904"/>
    <n v="0.31580462559999994"/>
    <n v="11.494557279964978"/>
  </r>
  <r>
    <x v="0"/>
    <s v="+"/>
    <n v="32"/>
    <n v="25.002363259966963"/>
    <x v="2"/>
    <m/>
    <m/>
    <n v="1.06"/>
    <n v="76.304000000000002"/>
    <m/>
    <m/>
    <m/>
    <m/>
    <n v="0.29624150720000003"/>
    <n v="10.780820292666712"/>
  </r>
  <r>
    <x v="0"/>
    <s v="+"/>
    <n v="32.003999999999998"/>
    <n v="25.005488555374455"/>
    <x v="3"/>
    <m/>
    <m/>
    <n v="0.27300000000000002"/>
    <n v="60.3"/>
    <m/>
    <m/>
    <m/>
    <m/>
    <n v="7.6296161760000009E-2"/>
    <n v="2.7762227267799187"/>
  </r>
  <r>
    <x v="0"/>
    <s v="+"/>
    <n v="32.002000000000002"/>
    <n v="25.003925907670713"/>
    <x v="3"/>
    <m/>
    <m/>
    <n v="0.29499999999999998"/>
    <n v="61.442999999999998"/>
    <m/>
    <m/>
    <m/>
    <m/>
    <n v="8.2444570399999986E-2"/>
    <n v="3.0001351201744972"/>
  </r>
  <r>
    <x v="0"/>
    <s v="+"/>
    <n v="31.995000000000001"/>
    <n v="24.998456640707591"/>
    <x v="3"/>
    <m/>
    <m/>
    <n v="0.2"/>
    <n v="60.3"/>
    <m/>
    <m/>
    <m/>
    <m/>
    <n v="5.5894624000000004E-2"/>
    <n v="2.0344349168079612"/>
  </r>
  <r>
    <x v="0"/>
    <s v="+"/>
    <n v="32.005000000000003"/>
    <n v="25.006269879226334"/>
    <x v="3"/>
    <n v="9.09"/>
    <n v="5.66"/>
    <n v="0.214"/>
    <n v="62.585999999999999"/>
    <n v="18.899999999999999"/>
    <n v="30.05"/>
    <n v="394.15000000000003"/>
    <n v="6550"/>
    <n v="5.9807247679999995E-2"/>
    <n v="2.1761652030838818"/>
  </r>
  <r>
    <x v="0"/>
    <s v="+"/>
    <n v="31.992000000000001"/>
    <n v="24.996112669151969"/>
    <x v="3"/>
    <n v="8.61"/>
    <n v="5.64"/>
    <n v="0.13800000000000001"/>
    <n v="62.585999999999999"/>
    <n v="17.71"/>
    <n v="29.15"/>
    <n v="428.14000000000004"/>
    <n v="6091"/>
    <n v="3.8567290560000002E-2"/>
    <n v="1.4038917280150285"/>
  </r>
  <r>
    <x v="0"/>
    <s v="+"/>
    <n v="31.995000000000001"/>
    <n v="24.998456640707591"/>
    <x v="3"/>
    <m/>
    <m/>
    <n v="0.17299999999999999"/>
    <n v="60.872"/>
    <m/>
    <m/>
    <m/>
    <m/>
    <n v="4.8348849759999993E-2"/>
    <n v="1.759786203038886"/>
  </r>
  <r>
    <x v="0"/>
    <s v="-"/>
    <n v="31.997"/>
    <n v="25.000019288411337"/>
    <x v="0"/>
    <m/>
    <m/>
    <n v="160.72200000000001"/>
    <n v="954.22799999999995"/>
    <m/>
    <m/>
    <m/>
    <m/>
    <n v="44.917478792640004"/>
    <n v="1634.7900531504822"/>
  </r>
  <r>
    <x v="0"/>
    <s v="-"/>
    <n v="32.006"/>
    <n v="25.007051203078206"/>
    <x v="0"/>
    <m/>
    <m/>
    <n v="164.714"/>
    <n v="983.09199999999998"/>
    <m/>
    <m/>
    <m/>
    <m/>
    <n v="46.033135487679999"/>
    <n v="1674.9237194311959"/>
  </r>
  <r>
    <x v="0"/>
    <s v="-"/>
    <n v="31.992999999999999"/>
    <n v="24.996893993003841"/>
    <x v="0"/>
    <m/>
    <m/>
    <n v="159.08699999999999"/>
    <n v="940.22400000000005"/>
    <m/>
    <m/>
    <m/>
    <m/>
    <n v="44.460540241439993"/>
    <n v="1618.3619014767678"/>
  </r>
  <r>
    <x v="0"/>
    <s v="-"/>
    <n v="32.003"/>
    <n v="25.004707231522584"/>
    <x v="0"/>
    <n v="4.76"/>
    <n v="4.9800000000000004"/>
    <n v="148.226"/>
    <n v="876.78099999999995"/>
    <n v="4.9649999999999999"/>
    <n v="1.6575000000000002"/>
    <n v="4.3025000000000002"/>
    <n v="30.76"/>
    <n v="41.425182685120006"/>
    <n v="1507.4038400417096"/>
  </r>
  <r>
    <x v="0"/>
    <s v="-"/>
    <n v="32.003"/>
    <n v="25.004707231522584"/>
    <x v="0"/>
    <n v="4.72"/>
    <n v="5.0199999999999996"/>
    <n v="152.54"/>
    <n v="918.79100000000005"/>
    <n v="4.4450000000000003"/>
    <n v="1.9045000000000001"/>
    <n v="3.490499999999999"/>
    <n v="37.299999999999997"/>
    <n v="42.630829724799995"/>
    <n v="1551.2756315353736"/>
  </r>
  <r>
    <x v="0"/>
    <s v="-"/>
    <n v="31.994"/>
    <n v="24.997675316855716"/>
    <x v="0"/>
    <m/>
    <m/>
    <n v="167.345"/>
    <n v="1293.451"/>
    <m/>
    <m/>
    <m/>
    <m/>
    <n v="46.768429266400005"/>
    <n v="1702.3157614470742"/>
  </r>
  <r>
    <x v="0"/>
    <s v="-"/>
    <n v="32.000999999999998"/>
    <n v="25.003144583818834"/>
    <x v="1"/>
    <m/>
    <m/>
    <n v="67.084999999999994"/>
    <n v="1743.559"/>
    <m/>
    <m/>
    <m/>
    <m/>
    <n v="18.748454255199999"/>
    <n v="682.27238590638035"/>
  </r>
  <r>
    <x v="0"/>
    <s v="-"/>
    <n v="31.998000000000001"/>
    <n v="25.000800612263212"/>
    <x v="1"/>
    <m/>
    <m/>
    <n v="66.491"/>
    <n v="1468.0640000000001"/>
    <m/>
    <m/>
    <m/>
    <m/>
    <n v="18.582447221919999"/>
    <n v="676.29464773595726"/>
  </r>
  <r>
    <x v="0"/>
    <s v="-"/>
    <n v="32.000999999999998"/>
    <n v="25.003144583818834"/>
    <x v="1"/>
    <m/>
    <m/>
    <n v="75.721000000000004"/>
    <n v="1903.3109999999999"/>
    <m/>
    <m/>
    <m/>
    <m/>
    <n v="21.16198411952"/>
    <n v="770.10281483516474"/>
  </r>
  <r>
    <x v="0"/>
    <s v="-"/>
    <n v="32"/>
    <n v="25.002363259966963"/>
    <x v="1"/>
    <n v="6.59"/>
    <n v="4.38"/>
    <n v="65.471999999999994"/>
    <n v="1847.0119999999999"/>
    <n v="0.22544999999999998"/>
    <n v="4.99"/>
    <n v="20.134550000000001"/>
    <n v="216.6"/>
    <n v="18.29766411264"/>
    <n v="665.88855302025945"/>
  </r>
  <r>
    <x v="0"/>
    <s v="-"/>
    <n v="32.008000000000003"/>
    <n v="25.008613850781956"/>
    <x v="1"/>
    <n v="6.65"/>
    <n v="4.46"/>
    <n v="51.396999999999998"/>
    <n v="2008.479"/>
    <n v="0.18059999999999998"/>
    <n v="5.1149999999999993"/>
    <n v="17.554400000000005"/>
    <n v="235.79999999999998"/>
    <n v="14.364079948639999"/>
    <n v="522.60691485825794"/>
  </r>
  <r>
    <x v="0"/>
    <s v="-"/>
    <n v="31.997"/>
    <n v="25.000019288411337"/>
    <x v="1"/>
    <m/>
    <m/>
    <n v="65.066000000000003"/>
    <n v="1776.7090000000001"/>
    <m/>
    <m/>
    <m/>
    <m/>
    <n v="18.184198025920001"/>
    <n v="661.82134118720069"/>
  </r>
  <r>
    <x v="0"/>
    <s v="-"/>
    <n v="31.995999999999999"/>
    <n v="24.999237964559462"/>
    <x v="2"/>
    <m/>
    <m/>
    <n v="1.417"/>
    <n v="99.738"/>
    <m/>
    <m/>
    <m/>
    <m/>
    <n v="0.39601341103999999"/>
    <n v="14.413520892666986"/>
  </r>
  <r>
    <x v="0"/>
    <s v="-"/>
    <n v="31.997"/>
    <n v="25.000019288411337"/>
    <x v="2"/>
    <m/>
    <m/>
    <n v="0.248"/>
    <n v="127.745"/>
    <m/>
    <m/>
    <m/>
    <m/>
    <n v="6.9309333760000008E-2"/>
    <n v="2.5225416133529919"/>
  </r>
  <r>
    <x v="0"/>
    <s v="-"/>
    <n v="32.003999999999998"/>
    <n v="25.005488555374455"/>
    <x v="2"/>
    <m/>
    <m/>
    <n v="1.3180000000000001"/>
    <n v="88.021000000000001"/>
    <m/>
    <m/>
    <m/>
    <m/>
    <n v="0.36834557216000002"/>
    <n v="13.403155875076679"/>
  </r>
  <r>
    <x v="0"/>
    <s v="-"/>
    <n v="32.01"/>
    <n v="25.010176498485698"/>
    <x v="2"/>
    <n v="8.16"/>
    <n v="5.3"/>
    <n v="0.999"/>
    <n v="79.447999999999993"/>
    <n v="12.97"/>
    <n v="20.07"/>
    <n v="374.15999999999997"/>
    <n v="4760"/>
    <n v="0.27919364688000003"/>
    <n v="10.157240458935872"/>
  </r>
  <r>
    <x v="0"/>
    <s v="-"/>
    <n v="31.998000000000001"/>
    <n v="25.000800612263212"/>
    <x v="2"/>
    <n v="8.2200000000000006"/>
    <n v="5.32"/>
    <n v="1.0189999999999999"/>
    <n v="95.165999999999997"/>
    <n v="12.62"/>
    <n v="20.94"/>
    <n v="380.04"/>
    <n v="4755"/>
    <n v="0.28478310927999995"/>
    <n v="10.364474079844495"/>
  </r>
  <r>
    <x v="0"/>
    <s v="-"/>
    <n v="31.992999999999999"/>
    <n v="24.996893993003841"/>
    <x v="2"/>
    <m/>
    <m/>
    <n v="1.006"/>
    <n v="106.883"/>
    <m/>
    <m/>
    <m/>
    <m/>
    <n v="0.28114995871999998"/>
    <n v="10.233847346958759"/>
  </r>
  <r>
    <x v="0"/>
    <s v="-"/>
    <n v="32.003"/>
    <n v="25.004707231522584"/>
    <x v="3"/>
    <m/>
    <m/>
    <n v="1.6639999999999999"/>
    <n v="93.165000000000006"/>
    <m/>
    <m/>
    <m/>
    <m/>
    <n v="0.46504327167999998"/>
    <n v="16.922267279892896"/>
  </r>
  <r>
    <x v="0"/>
    <s v="-"/>
    <n v="32.006999999999998"/>
    <n v="25.007832526930077"/>
    <x v="3"/>
    <m/>
    <m/>
    <n v="0.156"/>
    <n v="62.301000000000002"/>
    <m/>
    <m/>
    <m/>
    <m/>
    <n v="4.359780672E-2"/>
    <n v="1.5862642930406208"/>
  </r>
  <r>
    <x v="0"/>
    <s v="-"/>
    <n v="32"/>
    <n v="25.002363259966963"/>
    <x v="3"/>
    <m/>
    <m/>
    <n v="0.13200000000000001"/>
    <n v="64.015000000000001"/>
    <m/>
    <m/>
    <m/>
    <m/>
    <n v="3.6890451840000005E-2"/>
    <n v="1.3425172439924584"/>
  </r>
  <r>
    <x v="0"/>
    <s v="-"/>
    <n v="31.998999999999999"/>
    <n v="25.001581936115088"/>
    <x v="3"/>
    <n v="8.6199999999999992"/>
    <n v="5.94"/>
    <n v="0.13"/>
    <n v="60.3"/>
    <n v="18.48"/>
    <n v="30.29"/>
    <n v="478.02999999999992"/>
    <n v="5269"/>
    <n v="3.6331505600000001E-2"/>
    <n v="1.322217392922465"/>
  </r>
  <r>
    <x v="0"/>
    <s v="-"/>
    <n v="31.998000000000001"/>
    <n v="25.000800612263212"/>
    <x v="3"/>
    <n v="8.8000000000000007"/>
    <n v="6.06"/>
    <n v="0.158"/>
    <n v="102.024"/>
    <n v="17.95"/>
    <n v="32.5"/>
    <n v="462.05"/>
    <n v="4770"/>
    <n v="4.4156752959999997E-2"/>
    <n v="1.6070528995244655"/>
  </r>
  <r>
    <x v="0"/>
    <s v="-"/>
    <n v="31.998000000000001"/>
    <n v="25.000800612263212"/>
    <x v="3"/>
    <m/>
    <m/>
    <n v="0.21299999999999999"/>
    <n v="63.728999999999999"/>
    <m/>
    <m/>
    <m/>
    <m/>
    <n v="5.9527774559999996E-2"/>
    <n v="2.1664700480931085"/>
  </r>
  <r>
    <x v="1"/>
    <s v="+"/>
    <n v="32.003999999999998"/>
    <n v="25.005488555374455"/>
    <x v="0"/>
    <m/>
    <m/>
    <n v="376.58800000000002"/>
    <n v="3789.703"/>
    <m/>
    <m/>
    <m/>
    <m/>
    <n v="105.24622331456001"/>
    <n v="3829.6416272256265"/>
  </r>
  <r>
    <x v="1"/>
    <s v="+"/>
    <n v="32.003"/>
    <n v="25.004707231522584"/>
    <x v="0"/>
    <m/>
    <m/>
    <n v="357.09500000000003"/>
    <n v="4496.1559999999999"/>
    <m/>
    <m/>
    <m/>
    <m/>
    <n v="99.798453786400003"/>
    <n v="3631.5246600440823"/>
  </r>
  <r>
    <x v="1"/>
    <s v="+"/>
    <n v="31.998999999999999"/>
    <n v="25.001581936115088"/>
    <x v="0"/>
    <m/>
    <m/>
    <n v="397.58800000000002"/>
    <n v="2751.6660000000002"/>
    <m/>
    <m/>
    <m/>
    <m/>
    <n v="111.11515883456001"/>
    <n v="4043.8289909019777"/>
  </r>
  <r>
    <x v="1"/>
    <s v="+"/>
    <n v="32.000999999999998"/>
    <n v="25.003144583818834"/>
    <x v="0"/>
    <n v="4.8"/>
    <n v="5.76"/>
    <n v="368.238"/>
    <n v="3197.6680000000001"/>
    <n v="3.9420000000000002"/>
    <n v="2.2595000000000001"/>
    <n v="5.5384999999999991"/>
    <n v="41.550000000000004"/>
    <n v="102.91262276256001"/>
    <n v="3745.0789124453122"/>
  </r>
  <r>
    <x v="1"/>
    <s v="+"/>
    <n v="32.003"/>
    <n v="25.004707231522584"/>
    <x v="0"/>
    <n v="4.82"/>
    <n v="5.9"/>
    <n v="368.63799999999998"/>
    <n v="3143.0940000000001"/>
    <n v="3.6919999999999997"/>
    <n v="2.6284999999999998"/>
    <n v="5.5695000000000014"/>
    <n v="37.83"/>
    <n v="103.02441201055998"/>
    <n v="3748.91271966656"/>
  </r>
  <r>
    <x v="1"/>
    <s v="+"/>
    <n v="31.998000000000001"/>
    <n v="25.000800612263212"/>
    <x v="0"/>
    <m/>
    <m/>
    <n v="392.29500000000002"/>
    <n v="3421.61"/>
    <m/>
    <m/>
    <m/>
    <m/>
    <n v="109.6359076104"/>
    <n v="3990.1190963224699"/>
  </r>
  <r>
    <x v="1"/>
    <s v="+"/>
    <n v="31.998000000000001"/>
    <n v="25.000800612263212"/>
    <x v="1"/>
    <m/>
    <m/>
    <n v="4.6029999999999998"/>
    <n v="85.436999999999998"/>
    <m/>
    <m/>
    <m/>
    <m/>
    <n v="1.2864147713599998"/>
    <n v="46.818129724753888"/>
  </r>
  <r>
    <x v="1"/>
    <s v="+"/>
    <n v="31.998999999999999"/>
    <n v="25.001581936115088"/>
    <x v="1"/>
    <m/>
    <m/>
    <n v="0.60099999999999998"/>
    <n v="6203.3860000000004"/>
    <m/>
    <m/>
    <m/>
    <m/>
    <n v="0.16796334512"/>
    <n v="6.1127127165107815"/>
  </r>
  <r>
    <x v="1"/>
    <s v="+"/>
    <n v="32"/>
    <n v="25.002363259966963"/>
    <x v="1"/>
    <m/>
    <m/>
    <n v="0.63900000000000001"/>
    <n v="5674.2049999999999"/>
    <m/>
    <m/>
    <m/>
    <m/>
    <n v="0.17858332368000002"/>
    <n v="6.4990039311453112"/>
  </r>
  <r>
    <x v="1"/>
    <s v="+"/>
    <n v="32.006"/>
    <n v="25.007051203078206"/>
    <x v="1"/>
    <n v="6.67"/>
    <n v="5.0999999999999996"/>
    <n v="0.52800000000000002"/>
    <n v="5937.6660000000002"/>
    <n v="0.21575"/>
    <n v="7.9649999999999999"/>
    <n v="14.739249999999998"/>
    <n v="221.9"/>
    <n v="0.14756180736000002"/>
    <n v="5.3690622767929357"/>
  </r>
  <r>
    <x v="1"/>
    <s v="+"/>
    <n v="31.994"/>
    <n v="24.997675316855716"/>
    <x v="1"/>
    <n v="6.67"/>
    <n v="5.24"/>
    <n v="0.44700000000000001"/>
    <n v="6519.1629999999996"/>
    <n v="0.18614999999999998"/>
    <n v="8.7850000000000001"/>
    <n v="20.673850000000002"/>
    <n v="241.70000000000002"/>
    <n v="0.12492448464"/>
    <n v="4.5471041582768654"/>
  </r>
  <r>
    <x v="1"/>
    <s v="+"/>
    <n v="31.997"/>
    <n v="25.000019288411337"/>
    <x v="1"/>
    <m/>
    <m/>
    <n v="0.40600000000000003"/>
    <n v="6414.9080000000004"/>
    <m/>
    <m/>
    <m/>
    <m/>
    <n v="0.11346608672000001"/>
    <n v="4.1296447379891728"/>
  </r>
  <r>
    <x v="1"/>
    <s v="+"/>
    <n v="31.995999999999999"/>
    <n v="24.999237964559462"/>
    <x v="2"/>
    <m/>
    <m/>
    <n v="14.614000000000001"/>
    <n v="612.73599999999999"/>
    <m/>
    <m/>
    <m/>
    <m/>
    <n v="4.0842201756800005"/>
    <n v="148.65151328541666"/>
  </r>
  <r>
    <x v="1"/>
    <s v="+"/>
    <n v="32.003"/>
    <n v="25.004707231522584"/>
    <x v="2"/>
    <m/>
    <m/>
    <n v="11.233000000000001"/>
    <n v="744.46600000000001"/>
    <m/>
    <m/>
    <m/>
    <m/>
    <n v="3.1393215569600001"/>
    <n v="114.23547377105581"/>
  </r>
  <r>
    <x v="1"/>
    <s v="+"/>
    <n v="32.005000000000003"/>
    <n v="25.006269879226334"/>
    <x v="2"/>
    <m/>
    <m/>
    <n v="13.46"/>
    <n v="739.197"/>
    <m/>
    <m/>
    <m/>
    <m/>
    <n v="3.7617081952000002"/>
    <n v="136.87468987621054"/>
  </r>
  <r>
    <x v="1"/>
    <s v="+"/>
    <n v="31.998000000000001"/>
    <n v="25.000800612263212"/>
    <x v="2"/>
    <n v="8.27"/>
    <n v="5.86"/>
    <n v="11.448"/>
    <n v="729.78800000000001"/>
    <n v="3.35"/>
    <n v="28.38"/>
    <n v="331.07"/>
    <n v="4627"/>
    <n v="3.1994082777600004"/>
    <n v="116.44013666934232"/>
  </r>
  <r>
    <x v="1"/>
    <s v="+"/>
    <n v="31.997"/>
    <n v="25.000019288411337"/>
    <x v="2"/>
    <n v="8.35"/>
    <n v="5.9"/>
    <n v="6.2"/>
    <n v="735.43399999999997"/>
    <n v="3.0449999999999999"/>
    <n v="26.36"/>
    <n v="328.19499999999999"/>
    <n v="4536"/>
    <n v="1.7327333440000001"/>
    <n v="63.063540333824804"/>
  </r>
  <r>
    <x v="1"/>
    <s v="+"/>
    <n v="32.006"/>
    <n v="25.007051203078206"/>
    <x v="2"/>
    <m/>
    <m/>
    <n v="14.455"/>
    <n v="611.23"/>
    <m/>
    <m/>
    <m/>
    <m/>
    <n v="4.0397839496000003"/>
    <n v="146.98824850576113"/>
  </r>
  <r>
    <x v="1"/>
    <s v="+"/>
    <n v="31.997"/>
    <n v="25.000019288411337"/>
    <x v="3"/>
    <m/>
    <m/>
    <n v="0.45900000000000002"/>
    <n v="242.761"/>
    <m/>
    <m/>
    <m/>
    <m/>
    <n v="0.12827816208000001"/>
    <n v="4.6687362924557378"/>
  </r>
  <r>
    <x v="1"/>
    <s v="+"/>
    <n v="32"/>
    <n v="25.002363259966963"/>
    <x v="3"/>
    <m/>
    <m/>
    <n v="0.41599999999999998"/>
    <n v="96.352000000000004"/>
    <m/>
    <m/>
    <m/>
    <m/>
    <n v="0.11626081792"/>
    <n v="4.2309634356125967"/>
  </r>
  <r>
    <x v="1"/>
    <s v="+"/>
    <n v="31.997"/>
    <n v="25.000019288411337"/>
    <x v="3"/>
    <m/>
    <m/>
    <n v="0.47299999999999998"/>
    <n v="77.156999999999996"/>
    <m/>
    <m/>
    <m/>
    <m/>
    <n v="0.13219078575999998"/>
    <n v="4.8111378351450202"/>
  </r>
  <r>
    <x v="1"/>
    <s v="+"/>
    <n v="31.998000000000001"/>
    <n v="25.000800612263212"/>
    <x v="3"/>
    <n v="8.94"/>
    <n v="5.84"/>
    <n v="0.42899999999999999"/>
    <n v="205.5"/>
    <n v="18.2"/>
    <n v="31.23"/>
    <n v="554.86999999999989"/>
    <n v="4828"/>
    <n v="0.11989396848"/>
    <n v="4.3634537588354165"/>
  </r>
  <r>
    <x v="1"/>
    <s v="+"/>
    <n v="32.002000000000002"/>
    <n v="25.003925907670713"/>
    <x v="3"/>
    <n v="9"/>
    <n v="5.98"/>
    <n v="0.44"/>
    <n v="93.340999999999994"/>
    <n v="19.079999999999998"/>
    <n v="31.88"/>
    <n v="519.74"/>
    <n v="3796"/>
    <n v="0.12296817280000001"/>
    <n v="4.4747778063619634"/>
  </r>
  <r>
    <x v="1"/>
    <s v="+"/>
    <n v="31.997"/>
    <n v="25.000019288411337"/>
    <x v="3"/>
    <m/>
    <m/>
    <n v="0.39"/>
    <n v="101.244"/>
    <m/>
    <m/>
    <m/>
    <m/>
    <n v="0.1089945168"/>
    <n v="3.9669001177728496"/>
  </r>
  <r>
    <x v="1"/>
    <s v="-"/>
    <n v="32.002000000000002"/>
    <n v="25.003925907670713"/>
    <x v="0"/>
    <m/>
    <m/>
    <n v="386.63600000000002"/>
    <n v="3303.8049999999998"/>
    <m/>
    <m/>
    <m/>
    <m/>
    <n v="108.05436922432001"/>
    <n v="3932.0686180467364"/>
  </r>
  <r>
    <x v="1"/>
    <s v="-"/>
    <n v="31.992000000000001"/>
    <n v="24.996112669151969"/>
    <x v="0"/>
    <m/>
    <m/>
    <n v="409.21800000000002"/>
    <n v="3177.72"/>
    <m/>
    <m/>
    <m/>
    <m/>
    <n v="114.36543122016"/>
    <n v="4163.0272837308248"/>
  </r>
  <r>
    <x v="1"/>
    <s v="-"/>
    <n v="31.998999999999999"/>
    <n v="25.001581936115088"/>
    <x v="0"/>
    <m/>
    <m/>
    <n v="373.68900000000002"/>
    <n v="3277.8359999999998"/>
    <m/>
    <m/>
    <m/>
    <m/>
    <n v="104.43603073968001"/>
    <n v="3800.7545795677161"/>
  </r>
  <r>
    <x v="1"/>
    <s v="-"/>
    <n v="32.008000000000003"/>
    <n v="25.008613850781956"/>
    <x v="0"/>
    <n v="4.71"/>
    <n v="5.88"/>
    <n v="1.7210000000000001"/>
    <n v="88.070999999999998"/>
    <n v="3.8624999999999998"/>
    <n v="2.7679999999999998"/>
    <n v="6.1544999999999996"/>
    <n v="43.67"/>
    <n v="0.48097323951999998"/>
    <n v="17.499202297236451"/>
  </r>
  <r>
    <x v="1"/>
    <s v="-"/>
    <n v="32.003"/>
    <n v="25.004707231522584"/>
    <x v="0"/>
    <n v="4.72"/>
    <n v="6.04"/>
    <n v="405.82"/>
    <n v="3435.16"/>
    <n v="4.1115000000000004"/>
    <n v="2.4285000000000001"/>
    <n v="5.0399999999999983"/>
    <n v="34.92"/>
    <n v="113.4157815584"/>
    <n v="4127.0399684652248"/>
  </r>
  <r>
    <x v="1"/>
    <s v="-"/>
    <n v="31.998999999999999"/>
    <n v="25.001581936115088"/>
    <x v="0"/>
    <m/>
    <m/>
    <n v="395.77800000000002"/>
    <n v="3364.4009999999998"/>
    <m/>
    <m/>
    <m/>
    <m/>
    <n v="110.60931248736"/>
    <n v="4025.4196564312883"/>
  </r>
  <r>
    <x v="1"/>
    <s v="-"/>
    <n v="31.997"/>
    <n v="25.000019288411337"/>
    <x v="1"/>
    <m/>
    <m/>
    <n v="2.46"/>
    <n v="6981.35"/>
    <m/>
    <m/>
    <m/>
    <m/>
    <n v="0.68750387519999989"/>
    <n v="25.021985358259514"/>
  </r>
  <r>
    <x v="1"/>
    <s v="-"/>
    <n v="31.995999999999999"/>
    <n v="24.999237964559462"/>
    <x v="1"/>
    <m/>
    <m/>
    <n v="0.56899999999999995"/>
    <n v="6849.6189999999997"/>
    <m/>
    <m/>
    <m/>
    <m/>
    <n v="0.15902020527999997"/>
    <n v="5.7877864417272509"/>
  </r>
  <r>
    <x v="1"/>
    <s v="-"/>
    <n v="32.01"/>
    <n v="25.010176498485698"/>
    <x v="1"/>
    <m/>
    <m/>
    <n v="0.48699999999999999"/>
    <n v="6810.1"/>
    <m/>
    <m/>
    <m/>
    <m/>
    <n v="0.13610340944000002"/>
    <n v="4.9515276311329028"/>
  </r>
  <r>
    <x v="1"/>
    <s v="-"/>
    <n v="32.003"/>
    <n v="25.004707231522584"/>
    <x v="1"/>
    <n v="6.67"/>
    <n v="5.2"/>
    <n v="0.372"/>
    <n v="7250.8329999999996"/>
    <n v="0.1958"/>
    <n v="7.9649999999999999"/>
    <n v="12.389418340611355"/>
    <n v="220.2"/>
    <n v="0.10396400064"/>
    <n v="3.7831030217068244"/>
  </r>
  <r>
    <x v="1"/>
    <s v="-"/>
    <n v="31.995999999999999"/>
    <n v="24.999237964559462"/>
    <x v="1"/>
    <n v="6.69"/>
    <n v="5.34"/>
    <n v="0.38700000000000001"/>
    <n v="7971.9639999999999"/>
    <n v="0.17165"/>
    <n v="8.0850000000000009"/>
    <n v="15.485708078602624"/>
    <n v="247.89999999999998"/>
    <n v="0.10815609744"/>
    <n v="3.9365085289076389"/>
  </r>
  <r>
    <x v="1"/>
    <s v="-"/>
    <n v="32.003999999999998"/>
    <n v="25.005488555374455"/>
    <x v="1"/>
    <m/>
    <m/>
    <n v="0.46500000000000002"/>
    <n v="7037.8059999999996"/>
    <m/>
    <m/>
    <m/>
    <m/>
    <n v="0.1299550008"/>
    <n v="4.7287310181416196"/>
  </r>
  <r>
    <x v="1"/>
    <s v="-"/>
    <n v="31.995999999999999"/>
    <n v="24.999237964559462"/>
    <x v="2"/>
    <m/>
    <m/>
    <n v="12.884"/>
    <n v="505.46899999999999"/>
    <m/>
    <m/>
    <m/>
    <m/>
    <n v="3.6007316780800003"/>
    <n v="131.05420125696648"/>
  </r>
  <r>
    <x v="1"/>
    <s v="-"/>
    <n v="31.997"/>
    <n v="25.000019288411337"/>
    <x v="2"/>
    <m/>
    <m/>
    <n v="12.266999999999999"/>
    <n v="464.82100000000003"/>
    <m/>
    <m/>
    <m/>
    <m/>
    <n v="3.4282967630400001"/>
    <n v="124.77426601210141"/>
  </r>
  <r>
    <x v="1"/>
    <s v="-"/>
    <n v="31.998999999999999"/>
    <n v="25.001581936115088"/>
    <x v="2"/>
    <m/>
    <m/>
    <n v="13.260999999999999"/>
    <n v="500.2"/>
    <m/>
    <m/>
    <m/>
    <m/>
    <n v="3.7060930443199998"/>
    <n v="134.8763449811139"/>
  </r>
  <r>
    <x v="1"/>
    <s v="-"/>
    <n v="32.009"/>
    <n v="25.009395174633827"/>
    <x v="2"/>
    <n v="8.1999999999999993"/>
    <n v="6.18"/>
    <n v="12.497"/>
    <n v="546.87"/>
    <n v="3.0739999999999998"/>
    <n v="26.01"/>
    <n v="291.11599999999999"/>
    <n v="4661"/>
    <n v="3.4925755806399996"/>
    <n v="127.06606568549375"/>
  </r>
  <r>
    <x v="1"/>
    <s v="-"/>
    <n v="32.002000000000002"/>
    <n v="25.003925907670713"/>
    <x v="2"/>
    <n v="8.26"/>
    <n v="6.14"/>
    <n v="11.282999999999999"/>
    <n v="737.31500000000005"/>
    <n v="3.5760000000000001"/>
    <n v="28.75"/>
    <n v="343.07399999999996"/>
    <n v="5245"/>
    <n v="3.1532952129599998"/>
    <n v="114.7475408845046"/>
  </r>
  <r>
    <x v="1"/>
    <s v="-"/>
    <n v="31.995000000000001"/>
    <n v="24.998456640707591"/>
    <x v="2"/>
    <m/>
    <m/>
    <n v="13.974"/>
    <n v="585.63699999999994"/>
    <m/>
    <m/>
    <m/>
    <m/>
    <n v="3.9053573788800002"/>
    <n v="142.14596763737225"/>
  </r>
  <r>
    <x v="1"/>
    <s v="-"/>
    <n v="31.994"/>
    <n v="24.997675316855716"/>
    <x v="3"/>
    <m/>
    <m/>
    <n v="0.82199999999999995"/>
    <n v="84.308000000000007"/>
    <m/>
    <m/>
    <m/>
    <m/>
    <n v="0.22972690463999998"/>
    <n v="8.3617888548178598"/>
  </r>
  <r>
    <x v="1"/>
    <s v="-"/>
    <n v="32.009"/>
    <n v="25.009395174633827"/>
    <x v="3"/>
    <m/>
    <m/>
    <n v="0.57899999999999996"/>
    <n v="83.555000000000007"/>
    <m/>
    <m/>
    <m/>
    <m/>
    <n v="0.16181493647999998"/>
    <n v="5.8871130696887954"/>
  </r>
  <r>
    <x v="1"/>
    <s v="-"/>
    <n v="31.997"/>
    <n v="25.000019288411337"/>
    <x v="3"/>
    <m/>
    <m/>
    <n v="0.36"/>
    <n v="84.308000000000007"/>
    <m/>
    <m/>
    <m/>
    <m/>
    <n v="0.1006103232"/>
    <n v="3.6617539548672458"/>
  </r>
  <r>
    <x v="1"/>
    <s v="-"/>
    <n v="32.009"/>
    <n v="25.009395174633827"/>
    <x v="3"/>
    <n v="8.94"/>
    <n v="6.06"/>
    <n v="0.37"/>
    <n v="87.319000000000003"/>
    <n v="18.36"/>
    <n v="30.56"/>
    <n v="428.68"/>
    <n v="8225"/>
    <n v="0.1034050544"/>
    <n v="3.7620584383158122"/>
  </r>
  <r>
    <x v="1"/>
    <s v="-"/>
    <n v="32.000999999999998"/>
    <n v="25.003144583818834"/>
    <x v="3"/>
    <n v="8.65"/>
    <n v="6.02"/>
    <n v="0"/>
    <n v="61.348999999999997"/>
    <n v="18.21"/>
    <n v="30.28"/>
    <n v="459.71"/>
    <n v="7134.9999999999991"/>
    <n v="0"/>
    <n v="0"/>
  </r>
  <r>
    <x v="1"/>
    <s v="-"/>
    <n v="31.995000000000001"/>
    <n v="24.998456640707591"/>
    <x v="3"/>
    <m/>
    <m/>
    <n v="0.38600000000000001"/>
    <n v="86.941999999999993"/>
    <m/>
    <m/>
    <m/>
    <m/>
    <n v="0.10787662432"/>
    <n v="3.9264593894393647"/>
  </r>
  <r>
    <x v="2"/>
    <s v="+"/>
    <n v="31.995999999999999"/>
    <n v="24.999237964559462"/>
    <x v="0"/>
    <m/>
    <m/>
    <n v="450.59087999999997"/>
    <n v="4930.2280000000001"/>
    <m/>
    <m/>
    <m/>
    <m/>
    <n v="125.92803907714558"/>
    <n v="4583.3458453953444"/>
  </r>
  <r>
    <x v="2"/>
    <s v="+"/>
    <n v="32.006999999999998"/>
    <n v="25.007832526930077"/>
    <x v="0"/>
    <m/>
    <m/>
    <n v="449.59447999999998"/>
    <n v="7157.6959999999999"/>
    <m/>
    <m/>
    <m/>
    <m/>
    <n v="125.64957206037759"/>
    <n v="4571.6389100779843"/>
  </r>
  <r>
    <x v="2"/>
    <s v="+"/>
    <n v="31.991"/>
    <n v="24.995331345300094"/>
    <x v="0"/>
    <m/>
    <m/>
    <n v="440.85623999999996"/>
    <n v="4794.0389999999998"/>
    <m/>
    <m/>
    <m/>
    <m/>
    <n v="123.20746886426879"/>
    <n v="4485.0273557747032"/>
  </r>
  <r>
    <x v="2"/>
    <s v="+"/>
    <n v="31.995999999999999"/>
    <n v="24.999237964559462"/>
    <x v="0"/>
    <n v="4.62"/>
    <n v="6.38"/>
    <n v="451.85799999999995"/>
    <n v="5931.9949999999999"/>
    <n v="5.6050000000000004"/>
    <n v="2.9835000000000003"/>
    <n v="6.5465000000000018"/>
    <n v="42.569999999999993"/>
    <n v="126.28216505696"/>
    <n v="4596.2348084112355"/>
  </r>
  <r>
    <x v="2"/>
    <s v="+"/>
    <n v="32.012"/>
    <n v="25.011739146189448"/>
    <x v="0"/>
    <n v="4.6399999999999997"/>
    <n v="6.48"/>
    <n v="441.09499999999997"/>
    <n v="4823.2879999999996"/>
    <n v="4.5279999999999996"/>
    <n v="2.7600000000000002"/>
    <n v="6.4520000000000026"/>
    <n v="46.5"/>
    <n v="123.27419586639999"/>
    <n v="4484.5125785319397"/>
  </r>
  <r>
    <x v="2"/>
    <s v="+"/>
    <n v="32.005000000000003"/>
    <n v="25.006269879226334"/>
    <x v="0"/>
    <m/>
    <m/>
    <n v="456.56363999999996"/>
    <n v="5209.4610000000002"/>
    <m/>
    <m/>
    <m/>
    <m/>
    <n v="127.59726494935678"/>
    <n v="4642.793954959423"/>
  </r>
  <r>
    <x v="2"/>
    <s v="+"/>
    <n v="31.992000000000001"/>
    <n v="24.996112669151969"/>
    <x v="1"/>
    <m/>
    <m/>
    <n v="2.7170000000000001"/>
    <n v="11662.447"/>
    <m/>
    <m/>
    <m/>
    <m/>
    <n v="0.75932846704000001"/>
    <n v="27.640390036353853"/>
  </r>
  <r>
    <x v="2"/>
    <s v="+"/>
    <n v="31.994"/>
    <n v="24.997675316855716"/>
    <x v="1"/>
    <m/>
    <m/>
    <n v="0.20699999999999999"/>
    <n v="12013.432000000001"/>
    <m/>
    <m/>
    <m/>
    <m/>
    <n v="5.7850935839999999E-2"/>
    <n v="2.1057059524906285"/>
  </r>
  <r>
    <x v="2"/>
    <s v="+"/>
    <n v="32.006999999999998"/>
    <n v="25.007832526930077"/>
    <x v="1"/>
    <m/>
    <m/>
    <n v="0.14099999999999999"/>
    <n v="11013.036"/>
    <m/>
    <m/>
    <m/>
    <m/>
    <n v="3.940570991999999E-2"/>
    <n v="1.4337388802482531"/>
  </r>
  <r>
    <x v="2"/>
    <s v="+"/>
    <n v="32.002000000000002"/>
    <n v="25.003925907670713"/>
    <x v="1"/>
    <n v="6.61"/>
    <n v="5.64"/>
    <n v="7.1999999999999995E-2"/>
    <n v="11822.401"/>
    <n v="0.27615000000000001"/>
    <n v="10.004999999999999"/>
    <n v="17.959024672489086"/>
    <n v="303.5"/>
    <n v="2.0122064639999999E-2"/>
    <n v="0.7322363683137757"/>
  </r>
  <r>
    <x v="2"/>
    <s v="+"/>
    <n v="31.998999999999999"/>
    <n v="25.001581936115088"/>
    <x v="1"/>
    <n v="6.66"/>
    <n v="5.64"/>
    <n v="0.13500000000000001"/>
    <n v="11451.308999999999"/>
    <n v="0.21095"/>
    <n v="10.004999999999999"/>
    <n v="18.613744323144108"/>
    <n v="259.89999999999998"/>
    <n v="3.77288712E-2"/>
    <n v="1.3730719080348677"/>
  </r>
  <r>
    <x v="2"/>
    <s v="+"/>
    <n v="31.998999999999999"/>
    <n v="25.001581936115088"/>
    <x v="1"/>
    <m/>
    <m/>
    <n v="5.3999999999999999E-2"/>
    <n v="11620.859"/>
    <m/>
    <m/>
    <m/>
    <m/>
    <n v="1.5091548480000001E-2"/>
    <n v="0.54922876321394709"/>
  </r>
  <r>
    <x v="2"/>
    <s v="+"/>
    <n v="31.995000000000001"/>
    <n v="24.998456640707591"/>
    <x v="2"/>
    <m/>
    <m/>
    <n v="2.1000000000000001E-2"/>
    <n v="1670.83"/>
    <m/>
    <m/>
    <m/>
    <m/>
    <n v="5.8689355200000001E-3"/>
    <n v="0.21361566626483591"/>
  </r>
  <r>
    <x v="2"/>
    <s v="+"/>
    <n v="31.998000000000001"/>
    <n v="25.000800612263212"/>
    <x v="2"/>
    <m/>
    <m/>
    <n v="0"/>
    <n v="2481.1089999999999"/>
    <m/>
    <m/>
    <m/>
    <m/>
    <n v="0"/>
    <n v="0"/>
  </r>
  <r>
    <x v="2"/>
    <s v="+"/>
    <n v="31.995999999999999"/>
    <n v="24.999237964559462"/>
    <x v="2"/>
    <m/>
    <m/>
    <n v="0.68700000000000006"/>
    <n v="5808.1450000000004"/>
    <m/>
    <m/>
    <m/>
    <m/>
    <n v="0.19199803343999999"/>
    <n v="6.9880655280608464"/>
  </r>
  <r>
    <x v="2"/>
    <s v="+"/>
    <n v="31.995999999999999"/>
    <n v="24.999237964559462"/>
    <x v="2"/>
    <n v="8.19"/>
    <n v="6.2"/>
    <n v="0"/>
    <n v="1918.0730000000001"/>
    <n v="3.4820000000000002"/>
    <n v="31.28"/>
    <n v="330.738"/>
    <n v="4796"/>
    <n v="0"/>
    <n v="0"/>
  </r>
  <r>
    <x v="2"/>
    <s v="+"/>
    <n v="32.006999999999998"/>
    <n v="25.007832526930077"/>
    <x v="2"/>
    <n v="8.32"/>
    <n v="6.34"/>
    <n v="0"/>
    <n v="2434.0369999999998"/>
    <n v="4.2779999999999996"/>
    <n v="35.58"/>
    <n v="334.04199999999997"/>
    <n v="4474"/>
    <n v="0"/>
    <n v="0"/>
  </r>
  <r>
    <x v="2"/>
    <s v="+"/>
    <n v="31.992000000000001"/>
    <n v="24.996112669151969"/>
    <x v="2"/>
    <m/>
    <m/>
    <n v="0"/>
    <n v="2126.0120000000002"/>
    <m/>
    <m/>
    <m/>
    <m/>
    <n v="0"/>
    <n v="0"/>
  </r>
  <r>
    <x v="2"/>
    <s v="+"/>
    <n v="32.005000000000003"/>
    <n v="25.006269879226334"/>
    <x v="3"/>
    <m/>
    <m/>
    <n v="0.60799999999999998"/>
    <n v="205.655"/>
    <m/>
    <m/>
    <m/>
    <m/>
    <n v="0.16991965696"/>
    <n v="6.182749735864487"/>
  </r>
  <r>
    <x v="2"/>
    <s v="+"/>
    <n v="31.997"/>
    <n v="25.000019288411337"/>
    <x v="3"/>
    <m/>
    <m/>
    <n v="1.8919999999999999"/>
    <n v="260.49599999999998"/>
    <m/>
    <m/>
    <m/>
    <m/>
    <n v="0.52876314303999994"/>
    <n v="19.244551340580081"/>
  </r>
  <r>
    <x v="2"/>
    <s v="+"/>
    <n v="31.995999999999999"/>
    <n v="24.999237964559462"/>
    <x v="3"/>
    <m/>
    <m/>
    <n v="0.435"/>
    <n v="138.47399999999999"/>
    <m/>
    <m/>
    <m/>
    <m/>
    <n v="0.12157080719999999"/>
    <n v="4.4247576487721521"/>
  </r>
  <r>
    <x v="2"/>
    <s v="+"/>
    <n v="31.995000000000001"/>
    <n v="24.998456640707591"/>
    <x v="3"/>
    <n v="8.76"/>
    <n v="6.2"/>
    <n v="0.72699999999999998"/>
    <n v="137.56"/>
    <n v="19.84"/>
    <n v="31.78"/>
    <n v="449.08"/>
    <n v="4256"/>
    <n v="0.20317695823999998"/>
    <n v="7.3951709225969378"/>
  </r>
  <r>
    <x v="2"/>
    <s v="+"/>
    <n v="32.006999999999998"/>
    <n v="25.007832526930077"/>
    <x v="3"/>
    <n v="8.74"/>
    <n v="6.1"/>
    <n v="0.42"/>
    <n v="164.98099999999999"/>
    <n v="19.79"/>
    <n v="35.020000000000003"/>
    <n v="520.19000000000005"/>
    <n v="5017"/>
    <n v="0.11737871039999999"/>
    <n v="4.2707115581862869"/>
  </r>
  <r>
    <x v="2"/>
    <s v="+"/>
    <n v="31.991"/>
    <n v="24.995331345300094"/>
    <x v="3"/>
    <m/>
    <m/>
    <n v="0.39200000000000002"/>
    <n v="103.741"/>
    <m/>
    <m/>
    <m/>
    <m/>
    <n v="0.10955346303999999"/>
    <n v="3.9879910137229402"/>
  </r>
  <r>
    <x v="2"/>
    <s v="-"/>
    <n v="31.995999999999999"/>
    <n v="24.999237964559462"/>
    <x v="0"/>
    <m/>
    <m/>
    <n v="441.19839999999999"/>
    <n v="4815.518"/>
    <m/>
    <m/>
    <m/>
    <m/>
    <n v="123.30309338700799"/>
    <n v="4487.806885117323"/>
  </r>
  <r>
    <x v="2"/>
    <s v="-"/>
    <n v="32.003"/>
    <n v="25.004707231522584"/>
    <x v="0"/>
    <m/>
    <m/>
    <n v="373.02199999999999"/>
    <n v="8502.2209999999995"/>
    <m/>
    <m/>
    <m/>
    <m/>
    <n v="104.24962216864"/>
    <n v="3793.4963853847403"/>
  </r>
  <r>
    <x v="2"/>
    <s v="-"/>
    <n v="31.994"/>
    <n v="24.997675316855716"/>
    <x v="0"/>
    <m/>
    <m/>
    <n v="414.18799999999999"/>
    <n v="5421.5140000000001"/>
    <m/>
    <m/>
    <m/>
    <m/>
    <n v="115.75441262656"/>
    <n v="4213.3243335757888"/>
  </r>
  <r>
    <x v="2"/>
    <s v="-"/>
    <n v="32.006"/>
    <n v="25.007051203078206"/>
    <x v="0"/>
    <n v="4.6399999999999997"/>
    <n v="6.4"/>
    <n v="432.666"/>
    <n v="4645.0529999999999"/>
    <n v="4.343"/>
    <n v="2.9085000000000001"/>
    <n v="6.8434999999999988"/>
    <n v="51.19"/>
    <n v="120.91851693792"/>
    <n v="4399.641475475175"/>
  </r>
  <r>
    <x v="2"/>
    <s v="-"/>
    <n v="31.995000000000001"/>
    <n v="24.998456640707591"/>
    <x v="0"/>
    <n v="4.74"/>
    <n v="6.44"/>
    <n v="434.24900000000002"/>
    <n v="5796.72"/>
    <n v="4.2204999999999995"/>
    <n v="3.2309999999999999"/>
    <n v="4.6485000000000003"/>
    <n v="42.39"/>
    <n v="121.36092288688"/>
    <n v="4417.2566409447018"/>
  </r>
  <r>
    <x v="2"/>
    <s v="-"/>
    <n v="32.009"/>
    <n v="25.009395174633827"/>
    <x v="0"/>
    <m/>
    <m/>
    <n v="415.12400000000002"/>
    <n v="5449.3919999999998"/>
    <m/>
    <m/>
    <m/>
    <m/>
    <n v="116.01599946688"/>
    <n v="4220.8668841821964"/>
  </r>
  <r>
    <x v="2"/>
    <s v="-"/>
    <n v="31.998999999999999"/>
    <n v="25.001581936115088"/>
    <x v="1"/>
    <m/>
    <m/>
    <n v="2.5430000000000001"/>
    <n v="10680.789000000001"/>
    <m/>
    <m/>
    <m/>
    <m/>
    <n v="0.71070014416000005"/>
    <n v="25.864606386167914"/>
  </r>
  <r>
    <x v="2"/>
    <s v="-"/>
    <n v="32"/>
    <n v="25.002363259966963"/>
    <x v="1"/>
    <m/>
    <m/>
    <n v="0.188"/>
    <n v="8850.0059999999994"/>
    <m/>
    <m/>
    <m/>
    <m/>
    <n v="5.2540946560000003E-2"/>
    <n v="1.9120700141710769"/>
  </r>
  <r>
    <x v="2"/>
    <s v="-"/>
    <n v="32.012"/>
    <n v="25.011739146189448"/>
    <x v="1"/>
    <m/>
    <m/>
    <n v="0.14899999999999999"/>
    <n v="10569.735000000001"/>
    <m/>
    <m/>
    <m/>
    <m/>
    <n v="4.1641494879999998E-2"/>
    <n v="1.5148491236610231"/>
  </r>
  <r>
    <x v="2"/>
    <s v="-"/>
    <n v="32.003999999999998"/>
    <n v="25.005488555374455"/>
    <x v="1"/>
    <n v="6.63"/>
    <n v="5.62"/>
    <n v="6.4000000000000001E-2"/>
    <n v="11282.215"/>
    <n v="0.2974"/>
    <n v="10.009999999999998"/>
    <n v="15.832337991266382"/>
    <n v="250.6"/>
    <n v="1.7886279680000002E-2"/>
    <n v="0.650836097120567"/>
  </r>
  <r>
    <x v="2"/>
    <s v="-"/>
    <n v="31.998999999999999"/>
    <n v="25.001581936115088"/>
    <x v="1"/>
    <n v="6.63"/>
    <n v="5.74"/>
    <n v="7.3999999999999996E-2"/>
    <n v="11098.954"/>
    <n v="0.19769999999999999"/>
    <n v="10.215"/>
    <n v="13.185553275109173"/>
    <n v="252"/>
    <n v="2.068101088E-2"/>
    <n v="0.75264682366355695"/>
  </r>
  <r>
    <x v="2"/>
    <s v="-"/>
    <n v="31.995000000000001"/>
    <n v="24.998456640707591"/>
    <x v="1"/>
    <m/>
    <m/>
    <n v="7.4999999999999997E-2"/>
    <n v="8601.85"/>
    <m/>
    <m/>
    <m/>
    <m/>
    <n v="2.0960483999999998E-2"/>
    <n v="0.76291309380298533"/>
  </r>
  <r>
    <x v="2"/>
    <s v="-"/>
    <n v="32"/>
    <n v="25.002363259966963"/>
    <x v="2"/>
    <m/>
    <m/>
    <n v="0"/>
    <n v="2095.85"/>
    <m/>
    <m/>
    <m/>
    <m/>
    <n v="0"/>
    <n v="0"/>
  </r>
  <r>
    <x v="2"/>
    <s v="-"/>
    <n v="32.003"/>
    <n v="25.004707231522584"/>
    <x v="2"/>
    <m/>
    <m/>
    <n v="0"/>
    <n v="2078.4830000000002"/>
    <m/>
    <m/>
    <m/>
    <m/>
    <n v="0"/>
    <n v="0"/>
  </r>
  <r>
    <x v="2"/>
    <s v="-"/>
    <n v="32.009"/>
    <n v="25.009395174633827"/>
    <x v="2"/>
    <m/>
    <m/>
    <n v="0"/>
    <n v="2702.3020000000001"/>
    <m/>
    <m/>
    <m/>
    <m/>
    <n v="0"/>
    <n v="0"/>
  </r>
  <r>
    <x v="2"/>
    <s v="-"/>
    <n v="31.998000000000001"/>
    <n v="25.000800612263212"/>
    <x v="2"/>
    <n v="8.24"/>
    <n v="6.08"/>
    <n v="0"/>
    <n v="2098.1350000000002"/>
    <n v="4.7460000000000004"/>
    <n v="38.020000000000003"/>
    <n v="336.93400000000003"/>
    <n v="4509"/>
    <n v="0"/>
    <n v="0"/>
  </r>
  <r>
    <x v="2"/>
    <s v="-"/>
    <n v="32.006"/>
    <n v="25.007051203078206"/>
    <x v="2"/>
    <n v="8.2899999999999991"/>
    <n v="6.14"/>
    <n v="0"/>
    <n v="2263.1149999999998"/>
    <n v="4.117"/>
    <n v="36.92"/>
    <n v="360.26299999999998"/>
    <n v="4655"/>
    <n v="0"/>
    <n v="0"/>
  </r>
  <r>
    <x v="2"/>
    <s v="-"/>
    <n v="32.002000000000002"/>
    <n v="25.003925907670713"/>
    <x v="2"/>
    <m/>
    <m/>
    <n v="0"/>
    <n v="4325.6030000000001"/>
    <m/>
    <m/>
    <m/>
    <m/>
    <n v="0"/>
    <n v="0"/>
  </r>
  <r>
    <x v="2"/>
    <s v="-"/>
    <n v="31.994"/>
    <n v="24.997675316855716"/>
    <x v="3"/>
    <m/>
    <m/>
    <n v="0.54700000000000004"/>
    <n v="132.53299999999999"/>
    <m/>
    <m/>
    <m/>
    <m/>
    <n v="0.15287179664000003"/>
    <n v="5.5643534106877972"/>
  </r>
  <r>
    <x v="2"/>
    <s v="-"/>
    <n v="32.014000000000003"/>
    <n v="25.013301793893199"/>
    <x v="3"/>
    <m/>
    <m/>
    <n v="0.44900000000000001"/>
    <n v="107.854"/>
    <m/>
    <m/>
    <m/>
    <m/>
    <n v="0.12548343088"/>
    <n v="4.5645957359762201"/>
  </r>
  <r>
    <x v="2"/>
    <s v="-"/>
    <n v="31.997"/>
    <n v="25.000019288411337"/>
    <x v="3"/>
    <m/>
    <m/>
    <n v="0.54900000000000004"/>
    <n v="136.64599999999999"/>
    <m/>
    <m/>
    <m/>
    <m/>
    <n v="0.15343074288"/>
    <n v="5.5841747811725497"/>
  </r>
  <r>
    <x v="2"/>
    <s v="-"/>
    <n v="32.002000000000002"/>
    <n v="25.003925907670713"/>
    <x v="3"/>
    <n v="8.74"/>
    <n v="5.96"/>
    <n v="0.55800000000000005"/>
    <n v="149.899"/>
    <n v="17.88"/>
    <n v="30.619999999999997"/>
    <n v="590.6"/>
    <n v="6235"/>
    <n v="0.15594600096000003"/>
    <n v="5.6748318544317629"/>
  </r>
  <r>
    <x v="2"/>
    <s v="-"/>
    <n v="32"/>
    <n v="25.002363259966963"/>
    <x v="3"/>
    <n v="8.7899999999999991"/>
    <n v="6.08"/>
    <n v="0.96299999999999997"/>
    <n v="193.77199999999999"/>
    <n v="17.79"/>
    <n v="30.92"/>
    <n v="611.19000000000005"/>
    <n v="6425"/>
    <n v="0.26913261455999998"/>
    <n v="9.7942735300358894"/>
  </r>
  <r>
    <x v="2"/>
    <s v="-"/>
    <n v="31.992000000000001"/>
    <n v="24.996112669151969"/>
    <x v="3"/>
    <m/>
    <m/>
    <n v="0.877"/>
    <n v="119.28"/>
    <m/>
    <m/>
    <m/>
    <m/>
    <n v="0.24509792623999999"/>
    <n v="8.9218336628201431"/>
  </r>
  <r>
    <x v="3"/>
    <s v="+"/>
    <n v="31.995999999999999"/>
    <n v="24.999237964559462"/>
    <x v="0"/>
    <m/>
    <m/>
    <n v="564.7114499999999"/>
    <n v="3426.951"/>
    <m/>
    <m/>
    <m/>
    <m/>
    <n v="157.82167083122397"/>
    <n v="5744.1639258315226"/>
  </r>
  <r>
    <x v="3"/>
    <s v="+"/>
    <n v="32.002000000000002"/>
    <n v="25.003925907670713"/>
    <x v="0"/>
    <m/>
    <m/>
    <n v="511.23924999999991"/>
    <n v="3327.9720000000002"/>
    <m/>
    <m/>
    <m/>
    <m/>
    <n v="142.87762826395999"/>
    <n v="5199.2773855480345"/>
  </r>
  <r>
    <x v="3"/>
    <s v="+"/>
    <n v="32.000999999999998"/>
    <n v="25.003144583818834"/>
    <x v="0"/>
    <m/>
    <m/>
    <n v="599.93044999999995"/>
    <n v="5283.5230000000001"/>
    <m/>
    <m/>
    <m/>
    <m/>
    <n v="167.66443464450398"/>
    <n v="6101.453074448661"/>
  </r>
  <r>
    <x v="3"/>
    <s v="+"/>
    <n v="31.997"/>
    <n v="25.000019288411337"/>
    <x v="0"/>
    <n v="4.59"/>
    <n v="6.36"/>
    <n v="585.65424999999993"/>
    <n v="4223.0290000000005"/>
    <n v="0.90300000000000002"/>
    <n v="4.0179999999999998"/>
    <n v="7.0590000000000011"/>
    <n v="58.4"/>
    <n v="163.67462048875998"/>
    <n v="5957.0049058953073"/>
  </r>
  <r>
    <x v="3"/>
    <s v="+"/>
    <n v="32.005000000000003"/>
    <n v="25.006269879226334"/>
    <x v="0"/>
    <n v="4.57"/>
    <n v="6.46"/>
    <n v="610.76059999999995"/>
    <n v="3677.2280000000001"/>
    <n v="0.93149999999999999"/>
    <n v="3.383"/>
    <n v="7.1305000000000014"/>
    <n v="54.95"/>
    <n v="170.69117045507198"/>
    <n v="6210.8222669842698"/>
  </r>
  <r>
    <x v="3"/>
    <s v="+"/>
    <n v="31.995000000000001"/>
    <n v="24.998456640707591"/>
    <x v="0"/>
    <m/>
    <m/>
    <n v="672.98219999999992"/>
    <n v="5654.5540000000001"/>
    <m/>
    <m/>
    <m/>
    <m/>
    <n v="188.08043513846397"/>
    <n v="6845.6924303511905"/>
  </r>
  <r>
    <x v="3"/>
    <s v="+"/>
    <n v="32.002000000000002"/>
    <n v="25.003925907670713"/>
    <x v="1"/>
    <m/>
    <m/>
    <n v="4.415"/>
    <n v="7927.9709999999995"/>
    <m/>
    <m/>
    <m/>
    <m/>
    <n v="1.2338738248000001"/>
    <n v="44.900327307018337"/>
  </r>
  <r>
    <x v="3"/>
    <s v="+"/>
    <n v="31.997"/>
    <n v="25.000019288411337"/>
    <x v="1"/>
    <m/>
    <m/>
    <n v="0.24299999999999999"/>
    <n v="8228.02"/>
    <m/>
    <m/>
    <m/>
    <m/>
    <n v="6.7911968160000002E-2"/>
    <n v="2.471683919535391"/>
  </r>
  <r>
    <x v="3"/>
    <s v="+"/>
    <n v="32"/>
    <n v="25.002363259966963"/>
    <x v="1"/>
    <m/>
    <m/>
    <n v="0.13800000000000001"/>
    <n v="8095.1040000000003"/>
    <m/>
    <m/>
    <m/>
    <m/>
    <n v="3.8567290560000002E-2"/>
    <n v="1.4035407550830248"/>
  </r>
  <r>
    <x v="3"/>
    <s v="+"/>
    <n v="31.995000000000001"/>
    <n v="24.998456640707591"/>
    <x v="1"/>
    <n v="6.61"/>
    <n v="5.6"/>
    <n v="0.126"/>
    <n v="8039.11"/>
    <n v="0.31519999999999998"/>
    <n v="12.125"/>
    <n v="19.865476855895192"/>
    <n v="277.3"/>
    <n v="3.5213613120000001E-2"/>
    <n v="1.2816939975890156"/>
  </r>
  <r>
    <x v="3"/>
    <s v="+"/>
    <n v="32.003999999999998"/>
    <n v="25.005488555374455"/>
    <x v="1"/>
    <n v="6.67"/>
    <n v="5.7"/>
    <n v="0.104"/>
    <n v="8200.3060000000005"/>
    <n v="0.18004999999999999"/>
    <n v="12.04"/>
    <n v="17.814884497816593"/>
    <n v="274.20000000000005"/>
    <n v="2.9065204479999999E-2"/>
    <n v="1.0576086578209212"/>
  </r>
  <r>
    <x v="3"/>
    <s v="+"/>
    <n v="31.997"/>
    <n v="25.000019288411337"/>
    <x v="1"/>
    <m/>
    <m/>
    <n v="7.6999999999999999E-2"/>
    <n v="8073.3289999999997"/>
    <m/>
    <m/>
    <m/>
    <m/>
    <n v="2.1519430239999998E-2"/>
    <n v="0.78320848479104976"/>
  </r>
  <r>
    <x v="3"/>
    <s v="+"/>
    <n v="32.006"/>
    <n v="25.007051203078206"/>
    <x v="2"/>
    <m/>
    <m/>
    <n v="5.1999999999999998E-2"/>
    <n v="2563.002"/>
    <m/>
    <m/>
    <m/>
    <m/>
    <n v="1.4532602239999999E-2"/>
    <n v="0.52877128483566782"/>
  </r>
  <r>
    <x v="3"/>
    <s v="+"/>
    <n v="31.997"/>
    <n v="25.000019288411337"/>
    <x v="2"/>
    <m/>
    <m/>
    <n v="4.9000000000000002E-2"/>
    <n v="2317.25"/>
    <m/>
    <m/>
    <m/>
    <m/>
    <n v="1.3694182879999999E-2"/>
    <n v="0.49840539941248618"/>
  </r>
  <r>
    <x v="3"/>
    <s v="+"/>
    <n v="31.995000000000001"/>
    <n v="24.998456640707591"/>
    <x v="2"/>
    <m/>
    <m/>
    <n v="4.2999999999999997E-2"/>
    <n v="2379.7489999999998"/>
    <m/>
    <m/>
    <m/>
    <m/>
    <n v="1.2017344159999999E-2"/>
    <n v="0.43740350711371156"/>
  </r>
  <r>
    <x v="3"/>
    <s v="+"/>
    <n v="31.994"/>
    <n v="24.997675316855716"/>
    <x v="2"/>
    <n v="8.36"/>
    <n v="6.3"/>
    <n v="5.3999999999999999E-2"/>
    <n v="2403.221"/>
    <n v="5.1920000000000002"/>
    <n v="42.29"/>
    <n v="400.11799999999999"/>
    <n v="4634"/>
    <n v="1.5091548480000001E-2"/>
    <n v="0.54931459630190327"/>
  </r>
  <r>
    <x v="3"/>
    <s v="+"/>
    <n v="32.005000000000003"/>
    <n v="25.006269879226334"/>
    <x v="2"/>
    <n v="8.4499999999999993"/>
    <n v="6.24"/>
    <n v="0"/>
    <n v="2245.4189999999999"/>
    <n v="4.57"/>
    <n v="38.590000000000003"/>
    <n v="308.73999999999995"/>
    <n v="4525"/>
    <n v="0"/>
    <n v="0"/>
  </r>
  <r>
    <x v="3"/>
    <s v="+"/>
    <n v="32.000999999999998"/>
    <n v="25.003144583818834"/>
    <x v="2"/>
    <m/>
    <m/>
    <n v="6.3E-2"/>
    <n v="2359.1039999999998"/>
    <m/>
    <m/>
    <m/>
    <m/>
    <n v="1.760680656E-2"/>
    <n v="0.64072684373707933"/>
  </r>
  <r>
    <x v="3"/>
    <s v="+"/>
    <n v="32.01"/>
    <n v="25.010176498485698"/>
    <x v="3"/>
    <m/>
    <m/>
    <n v="0.64700000000000002"/>
    <n v="107.46299999999999"/>
    <m/>
    <m/>
    <m/>
    <m/>
    <n v="0.18081910864"/>
    <n v="6.578312889821329"/>
  </r>
  <r>
    <x v="3"/>
    <s v="+"/>
    <n v="32.006"/>
    <n v="25.007051203078206"/>
    <x v="3"/>
    <m/>
    <m/>
    <n v="0.65300000000000002"/>
    <n v="158.65"/>
    <m/>
    <m/>
    <m/>
    <m/>
    <n v="0.18249594735999999"/>
    <n v="6.6401470961094438"/>
  </r>
  <r>
    <x v="3"/>
    <s v="+"/>
    <n v="32"/>
    <n v="25.002363259966963"/>
    <x v="3"/>
    <m/>
    <m/>
    <n v="1.5209999999999999"/>
    <n v="151.58000000000001"/>
    <m/>
    <m/>
    <m/>
    <m/>
    <n v="0.42507861551999998"/>
    <n v="15.469460061458552"/>
  </r>
  <r>
    <x v="3"/>
    <s v="+"/>
    <n v="32.000999999999998"/>
    <n v="25.003144583818834"/>
    <x v="3"/>
    <n v="8.67"/>
    <n v="6.36"/>
    <n v="1.151"/>
    <n v="91.061000000000007"/>
    <n v="16.220000000000002"/>
    <n v="36.299999999999997"/>
    <n v="304.47999999999996"/>
    <n v="6051"/>
    <n v="0.32167356112000001"/>
    <n v="11.705977732402831"/>
  </r>
  <r>
    <x v="3"/>
    <s v="+"/>
    <n v="31.99"/>
    <n v="24.994550021448219"/>
    <x v="3"/>
    <n v="8.76"/>
    <n v="6.12"/>
    <n v="1.0860000000000001"/>
    <n v="95.302999999999997"/>
    <n v="16.259999999999998"/>
    <n v="35.43"/>
    <n v="299.41000000000003"/>
    <n v="6286"/>
    <n v="0.30350780832000002"/>
    <n v="11.048708228713972"/>
  </r>
  <r>
    <x v="3"/>
    <s v="+"/>
    <n v="32.006999999999998"/>
    <n v="25.007832526930077"/>
    <x v="3"/>
    <m/>
    <m/>
    <n v="1.004"/>
    <n v="105.767"/>
    <m/>
    <m/>
    <m/>
    <m/>
    <n v="0.28059101248000001"/>
    <n v="10.209034296235792"/>
  </r>
  <r>
    <x v="3"/>
    <s v="-"/>
    <n v="32.006"/>
    <n v="25.007051203078206"/>
    <x v="0"/>
    <m/>
    <m/>
    <n v="544.66449999999998"/>
    <n v="3240.587"/>
    <m/>
    <m/>
    <m/>
    <m/>
    <n v="152.21908716823998"/>
    <n v="5538.5182205649344"/>
  </r>
  <r>
    <x v="3"/>
    <s v="-"/>
    <n v="31.998999999999999"/>
    <n v="25.001581936115088"/>
    <x v="0"/>
    <m/>
    <m/>
    <n v="562.91769999999997"/>
    <n v="3371.5230000000001"/>
    <m/>
    <m/>
    <m/>
    <m/>
    <n v="157.32036592222397"/>
    <n v="5725.3813363377703"/>
  </r>
  <r>
    <x v="3"/>
    <s v="-"/>
    <n v="31.995999999999999"/>
    <n v="24.999237964559462"/>
    <x v="0"/>
    <m/>
    <m/>
    <n v="570.7281999999999"/>
    <n v="3366.4319999999998"/>
    <m/>
    <m/>
    <m/>
    <m/>
    <n v="159.50319072598396"/>
    <n v="5805.3654444137055"/>
  </r>
  <r>
    <x v="3"/>
    <s v="-"/>
    <n v="32"/>
    <n v="25.002363259966963"/>
    <x v="0"/>
    <n v="4.6100000000000003"/>
    <n v="6.36"/>
    <n v="3.0954999999999999"/>
    <n v="2844.386"/>
    <n v="1.1865000000000001"/>
    <n v="3.532"/>
    <n v="7.7115000000000009"/>
    <n v="55.29"/>
    <n v="0.86510904296000002"/>
    <n v="31.483046430141325"/>
  </r>
  <r>
    <x v="3"/>
    <s v="-"/>
    <n v="32"/>
    <n v="25.002363259966963"/>
    <x v="0"/>
    <n v="4.58"/>
    <n v="6.42"/>
    <n v="555.19330000000002"/>
    <n v="3150.94"/>
    <n v="0.54300000000000004"/>
    <n v="3.4449999999999998"/>
    <n v="7.4769999999999994"/>
    <n v="51.989999999999995"/>
    <n v="155.16160375409601"/>
    <n v="5646.6407499930156"/>
  </r>
  <r>
    <x v="3"/>
    <s v="-"/>
    <n v="32.003999999999998"/>
    <n v="25.005488555374455"/>
    <x v="0"/>
    <m/>
    <m/>
    <n v="616.50675000000001"/>
    <n v="4120.09"/>
    <m/>
    <m/>
    <m/>
    <m/>
    <n v="172.29706492356001"/>
    <n v="6269.4507346638302"/>
  </r>
  <r>
    <x v="3"/>
    <s v="-"/>
    <n v="32.012999999999998"/>
    <n v="25.01252047004132"/>
    <x v="1"/>
    <m/>
    <m/>
    <n v="2.8690000000000002"/>
    <n v="5589.5110000000004"/>
    <m/>
    <m/>
    <m/>
    <m/>
    <n v="0.80180838128000009"/>
    <n v="29.167559565399003"/>
  </r>
  <r>
    <x v="3"/>
    <s v="-"/>
    <n v="31.992999999999999"/>
    <n v="24.996893993003841"/>
    <x v="1"/>
    <m/>
    <m/>
    <n v="386.86900000000003"/>
    <n v="11126.138000000001"/>
    <m/>
    <m/>
    <m/>
    <m/>
    <n v="108.11948646128"/>
    <n v="3935.5450191556547"/>
  </r>
  <r>
    <x v="3"/>
    <s v="-"/>
    <n v="32.000999999999998"/>
    <n v="25.003144583818834"/>
    <x v="1"/>
    <m/>
    <m/>
    <n v="2.0529999999999999"/>
    <n v="8166.6530000000002"/>
    <m/>
    <m/>
    <m/>
    <m/>
    <n v="0.57375831535999999"/>
    <n v="20.879558891940061"/>
  </r>
  <r>
    <x v="3"/>
    <s v="-"/>
    <n v="31.995000000000001"/>
    <n v="24.998456640707591"/>
    <x v="1"/>
    <n v="6.63"/>
    <n v="5.66"/>
    <n v="0.33600000000000002"/>
    <n v="8063.4309999999996"/>
    <n v="0.29830000000000001"/>
    <n v="11.67"/>
    <n v="17.988031877729266"/>
    <n v="252.60000000000002"/>
    <n v="9.3902968320000002E-2"/>
    <n v="3.4178506602373746"/>
  </r>
  <r>
    <x v="3"/>
    <s v="-"/>
    <n v="31.989000000000001"/>
    <n v="24.993768697596348"/>
    <x v="1"/>
    <n v="6.73"/>
    <n v="5.74"/>
    <n v="0.11899999999999999"/>
    <n v="7694.0969999999998"/>
    <n v="0.34675"/>
    <n v="11.719999999999999"/>
    <n v="16.457267467248908"/>
    <n v="255"/>
    <n v="3.3257301279999998E-2"/>
    <n v="1.2107158201927559"/>
  </r>
  <r>
    <x v="3"/>
    <s v="-"/>
    <n v="32.008000000000003"/>
    <n v="25.008613850781956"/>
    <x v="1"/>
    <m/>
    <m/>
    <n v="9.9000000000000005E-2"/>
    <n v="10259.644"/>
    <m/>
    <m/>
    <m/>
    <m/>
    <n v="2.7667838880000004E-2"/>
    <n v="1.0066362739258625"/>
  </r>
  <r>
    <x v="3"/>
    <s v="-"/>
    <n v="32.003"/>
    <n v="25.004707231522584"/>
    <x v="2"/>
    <m/>
    <m/>
    <n v="0.41799999999999998"/>
    <n v="2889.069"/>
    <m/>
    <m/>
    <m/>
    <m/>
    <n v="0.11681976415999999"/>
    <n v="4.2509060835307872"/>
  </r>
  <r>
    <x v="3"/>
    <s v="-"/>
    <n v="31.995000000000001"/>
    <n v="24.998456640707591"/>
    <x v="2"/>
    <m/>
    <m/>
    <n v="9.4E-2"/>
    <n v="2147.288"/>
    <m/>
    <m/>
    <m/>
    <m/>
    <n v="2.6270473280000001E-2"/>
    <n v="0.9561844108997416"/>
  </r>
  <r>
    <x v="3"/>
    <s v="-"/>
    <n v="31.991"/>
    <n v="24.995331345300094"/>
    <x v="2"/>
    <m/>
    <m/>
    <n v="5.2999999999999999E-2"/>
    <n v="2440.5500000000002"/>
    <m/>
    <m/>
    <m/>
    <m/>
    <n v="1.4812075359999999E-2"/>
    <n v="0.53919266256968323"/>
  </r>
  <r>
    <x v="3"/>
    <s v="-"/>
    <n v="32.015000000000001"/>
    <n v="25.01408311774507"/>
    <x v="2"/>
    <n v="8.3800000000000008"/>
    <n v="6.22"/>
    <n v="2E-3"/>
    <n v="2058.4899999999998"/>
    <n v="5.21"/>
    <n v="43.28"/>
    <n v="367.91"/>
    <n v="4780"/>
    <n v="5.5894624000000007E-4"/>
    <n v="2.0331639907315544E-2"/>
  </r>
  <r>
    <x v="3"/>
    <s v="-"/>
    <n v="32.008000000000003"/>
    <n v="25.008613850781956"/>
    <x v="2"/>
    <n v="8.25"/>
    <n v="6.24"/>
    <n v="1E-3"/>
    <n v="2284.7289999999998"/>
    <n v="5.0579999999999998"/>
    <n v="43.37"/>
    <n v="392.47199999999998"/>
    <n v="4231"/>
    <n v="2.7947312000000003E-4"/>
    <n v="1.0168043170968305E-2"/>
  </r>
  <r>
    <x v="3"/>
    <s v="-"/>
    <n v="32.009"/>
    <n v="25.009395174633827"/>
    <x v="2"/>
    <m/>
    <m/>
    <n v="6.4000000000000001E-2"/>
    <n v="2245.9850000000001"/>
    <m/>
    <m/>
    <m/>
    <m/>
    <n v="1.7886279680000002E-2"/>
    <n v="0.6507344325735458"/>
  </r>
  <r>
    <x v="3"/>
    <s v="-"/>
    <n v="31.992999999999999"/>
    <n v="24.996893993003841"/>
    <x v="3"/>
    <m/>
    <m/>
    <n v="0.92100000000000004"/>
    <n v="105.48399999999999"/>
    <m/>
    <m/>
    <m/>
    <m/>
    <n v="0.25739474352000002"/>
    <n v="9.3691584558141354"/>
  </r>
  <r>
    <x v="3"/>
    <s v="-"/>
    <n v="32.006999999999998"/>
    <n v="25.007832526930077"/>
    <x v="3"/>
    <m/>
    <m/>
    <n v="0.73799999999999999"/>
    <n v="70.134"/>
    <m/>
    <m/>
    <m/>
    <m/>
    <n v="0.20625116255999998"/>
    <n v="7.5042503093844743"/>
  </r>
  <r>
    <x v="3"/>
    <s v="-"/>
    <n v="32.003999999999998"/>
    <n v="25.005488555374455"/>
    <x v="3"/>
    <m/>
    <m/>
    <n v="1.129"/>
    <n v="119.907"/>
    <m/>
    <m/>
    <m/>
    <m/>
    <n v="0.31552515247999996"/>
    <n v="11.4811555257675"/>
  </r>
  <r>
    <x v="3"/>
    <s v="-"/>
    <n v="32.006"/>
    <n v="25.007051203078206"/>
    <x v="3"/>
    <n v="8.86"/>
    <n v="6.1"/>
    <n v="0.76500000000000001"/>
    <n v="77.486999999999995"/>
    <n v="16.37"/>
    <n v="34.5"/>
    <n v="631.83000000000004"/>
    <n v="4521"/>
    <n v="0.2137969368"/>
    <n v="7.7790390942170378"/>
  </r>
  <r>
    <x v="3"/>
    <s v="-"/>
    <n v="31.997"/>
    <n v="25.000019288411337"/>
    <x v="3"/>
    <n v="8.75"/>
    <n v="6"/>
    <n v="0.83499999999999996"/>
    <n v="102.09"/>
    <n v="16.919999999999998"/>
    <n v="34.46"/>
    <n v="615.32000000000005"/>
    <n v="5472"/>
    <n v="0.23336005519999997"/>
    <n v="8.4932348675393055"/>
  </r>
  <r>
    <x v="3"/>
    <s v="-"/>
    <n v="31.997"/>
    <n v="25.000019288411337"/>
    <x v="3"/>
    <m/>
    <m/>
    <n v="0.82899999999999996"/>
    <n v="99.828000000000003"/>
    <m/>
    <m/>
    <m/>
    <m/>
    <n v="0.23168321647999998"/>
    <n v="8.4322056349581853"/>
  </r>
  <r>
    <x v="4"/>
    <s v="+"/>
    <n v="31.995000000000001"/>
    <n v="24.998456640707591"/>
    <x v="0"/>
    <m/>
    <m/>
    <n v="650.55243000000007"/>
    <n v="3858.0990000000002"/>
    <m/>
    <m/>
    <m/>
    <m/>
    <n v="181.81191733568161"/>
    <n v="6617.5328940313348"/>
  </r>
  <r>
    <x v="4"/>
    <s v="+"/>
    <n v="32.002000000000002"/>
    <n v="25.003925907670713"/>
    <x v="0"/>
    <m/>
    <m/>
    <n v="697.17340000000002"/>
    <n v="4048.558"/>
    <m/>
    <m/>
    <m/>
    <m/>
    <n v="194.841225279008"/>
    <n v="7090.2183125134352"/>
  </r>
  <r>
    <x v="4"/>
    <s v="+"/>
    <n v="32.003"/>
    <n v="25.004707231522584"/>
    <x v="0"/>
    <m/>
    <m/>
    <n v="670.0378300000001"/>
    <n v="3903.433"/>
    <m/>
    <m/>
    <m/>
    <m/>
    <n v="187.25756286812964"/>
    <n v="6814.0380089539894"/>
  </r>
  <r>
    <x v="4"/>
    <s v="+"/>
    <n v="31.995999999999999"/>
    <n v="24.999237964559462"/>
    <x v="0"/>
    <n v="4.3899999999999997"/>
    <n v="6.32"/>
    <n v="720.38384000000008"/>
    <n v="4955.5169999999998"/>
    <n v="0.31015000000000004"/>
    <n v="4.4390000000000001"/>
    <n v="8.2808499999999992"/>
    <n v="63.81"/>
    <n v="201.32791936238081"/>
    <n v="7327.6411634295509"/>
  </r>
  <r>
    <x v="4"/>
    <s v="+"/>
    <n v="32.002000000000002"/>
    <n v="25.003925907670713"/>
    <x v="0"/>
    <n v="4.43"/>
    <n v="6.4"/>
    <n v="657.97820000000002"/>
    <n v="3818.0169999999998"/>
    <n v="3.5130000000000002E-2"/>
    <n v="4.548"/>
    <n v="7.5368699999999995"/>
    <n v="57"/>
    <n v="183.88722044598401"/>
    <n v="6691.6051055227117"/>
  </r>
  <r>
    <x v="4"/>
    <s v="+"/>
    <n v="31.998000000000001"/>
    <n v="25.000800612263212"/>
    <x v="0"/>
    <m/>
    <m/>
    <n v="631.40737000000001"/>
    <n v="3734.5360000000001"/>
    <m/>
    <m/>
    <m/>
    <m/>
    <n v="176.46138768489442"/>
    <n v="6422.1838274659322"/>
  </r>
  <r>
    <x v="4"/>
    <s v="+"/>
    <n v="32.002000000000002"/>
    <n v="25.003925907670713"/>
    <x v="1"/>
    <m/>
    <m/>
    <n v="3.5369999999999999"/>
    <n v="10274.812"/>
    <m/>
    <m/>
    <m/>
    <m/>
    <n v="0.98849642543999994"/>
    <n v="35.971111593414236"/>
  </r>
  <r>
    <x v="4"/>
    <s v="+"/>
    <n v="31.995999999999999"/>
    <n v="24.999237964559462"/>
    <x v="1"/>
    <m/>
    <m/>
    <n v="0.24399999999999999"/>
    <n v="10483.237999999999"/>
    <m/>
    <m/>
    <m/>
    <m/>
    <n v="6.8191441279999987E-2"/>
    <n v="2.4819330259779426"/>
  </r>
  <r>
    <x v="4"/>
    <s v="+"/>
    <n v="31.998999999999999"/>
    <n v="25.001581936115088"/>
    <x v="1"/>
    <m/>
    <m/>
    <n v="369.56400000000002"/>
    <n v="20236.432000000001"/>
    <m/>
    <m/>
    <m/>
    <m/>
    <n v="103.28320411967999"/>
    <n v="3758.7996045999835"/>
  </r>
  <r>
    <x v="4"/>
    <s v="+"/>
    <n v="31.994"/>
    <n v="24.997675316855716"/>
    <x v="1"/>
    <n v="6.7"/>
    <n v="5.74"/>
    <n v="1.99"/>
    <n v="9901.9110000000001"/>
    <n v="0.28594999999999998"/>
    <n v="13.81"/>
    <n v="20.16605873362446"/>
    <n v="303.8"/>
    <n v="0.55615150879999997"/>
    <n v="20.243260122977539"/>
  </r>
  <r>
    <x v="4"/>
    <s v="+"/>
    <n v="31.991"/>
    <n v="24.995331345300094"/>
    <x v="1"/>
    <n v="6.74"/>
    <n v="5.86"/>
    <n v="0.22900000000000001"/>
    <n v="9862.1049999999996"/>
    <n v="0.25940000000000002"/>
    <n v="13.64"/>
    <n v="19.122434061135372"/>
    <n v="295.89999999999998"/>
    <n v="6.3999344479999998E-2"/>
    <n v="2.3297192401595752"/>
  </r>
  <r>
    <x v="4"/>
    <s v="+"/>
    <n v="32.011000000000003"/>
    <n v="25.010957822337577"/>
    <x v="1"/>
    <m/>
    <m/>
    <n v="2.4620000000000002"/>
    <n v="8277.0689999999995"/>
    <m/>
    <m/>
    <m/>
    <m/>
    <n v="0.68806282143999997"/>
    <n v="25.031376181933155"/>
  </r>
  <r>
    <x v="4"/>
    <s v="+"/>
    <n v="31.995999999999999"/>
    <n v="24.999237964559462"/>
    <x v="2"/>
    <m/>
    <m/>
    <n v="0.153"/>
    <n v="4399.6210000000001"/>
    <m/>
    <m/>
    <m/>
    <m/>
    <n v="4.2759387359999998E-2"/>
    <n v="1.5562940695681362"/>
  </r>
  <r>
    <x v="4"/>
    <s v="+"/>
    <n v="32"/>
    <n v="25.002363259966963"/>
    <x v="2"/>
    <m/>
    <m/>
    <n v="9.2999999999999999E-2"/>
    <n v="3958.1660000000002"/>
    <m/>
    <m/>
    <m/>
    <m/>
    <n v="2.599100016E-2"/>
    <n v="0.9458644219037774"/>
  </r>
  <r>
    <x v="4"/>
    <s v="+"/>
    <n v="32.003"/>
    <n v="25.004707231522584"/>
    <x v="2"/>
    <m/>
    <m/>
    <n v="0.106"/>
    <n v="3924.7179999999998"/>
    <m/>
    <m/>
    <m/>
    <m/>
    <n v="2.9624150719999999E-2"/>
    <n v="1.0779809685508694"/>
  </r>
  <r>
    <x v="4"/>
    <s v="+"/>
    <n v="31.995000000000001"/>
    <n v="24.998456640707591"/>
    <x v="2"/>
    <n v="8.42"/>
    <n v="6.18"/>
    <n v="5.8000000000000003E-2"/>
    <n v="4250.9030000000002"/>
    <n v="4.8979999999999997"/>
    <n v="45.77"/>
    <n v="352.33199999999999"/>
    <n v="4867"/>
    <n v="1.6209440960000002E-2"/>
    <n v="0.58998612587430876"/>
  </r>
  <r>
    <x v="4"/>
    <s v="+"/>
    <n v="31.995999999999999"/>
    <n v="24.999237964559462"/>
    <x v="2"/>
    <n v="8.48"/>
    <n v="6.42"/>
    <n v="3.5999999999999997E-2"/>
    <n v="4392.4340000000002"/>
    <n v="5.258"/>
    <n v="49"/>
    <n v="313.34200000000004"/>
    <n v="4997"/>
    <n v="1.006103232E-2"/>
    <n v="0.36618683989838502"/>
  </r>
  <r>
    <x v="4"/>
    <s v="+"/>
    <n v="31.995000000000001"/>
    <n v="24.998456640707591"/>
    <x v="2"/>
    <m/>
    <m/>
    <n v="8.2000000000000003E-2"/>
    <n v="2426.2049999999999"/>
    <m/>
    <m/>
    <m/>
    <m/>
    <n v="2.291679584E-2"/>
    <n v="0.83411831589126406"/>
  </r>
  <r>
    <x v="4"/>
    <s v="+"/>
    <n v="32.008000000000003"/>
    <n v="25.008613850781956"/>
    <x v="3"/>
    <m/>
    <m/>
    <n v="2.0979999999999999"/>
    <n v="272.28100000000001"/>
    <m/>
    <m/>
    <m/>
    <m/>
    <n v="0.58633460575999996"/>
    <n v="21.332554572691503"/>
  </r>
  <r>
    <x v="4"/>
    <s v="+"/>
    <n v="31.997"/>
    <n v="25.000019288411337"/>
    <x v="3"/>
    <m/>
    <m/>
    <n v="1.0329999999999999"/>
    <n v="131.85599999999999"/>
    <m/>
    <m/>
    <m/>
    <m/>
    <n v="0.28869573296000001"/>
    <n v="10.507199542716291"/>
  </r>
  <r>
    <x v="4"/>
    <s v="+"/>
    <n v="32.006999999999998"/>
    <n v="25.007832526930077"/>
    <x v="3"/>
    <m/>
    <m/>
    <n v="2.9319999999999999"/>
    <n v="247.126"/>
    <m/>
    <m/>
    <m/>
    <m/>
    <n v="0.81941518783999989"/>
    <n v="29.813634020481409"/>
  </r>
  <r>
    <x v="4"/>
    <s v="+"/>
    <n v="31.995999999999999"/>
    <n v="24.999237964559462"/>
    <x v="3"/>
    <n v="8.69"/>
    <n v="6.38"/>
    <n v="0.79"/>
    <n v="246.02099999999999"/>
    <n v="7.1499999999999995"/>
    <n v="51.11"/>
    <n v="575.94000000000005"/>
    <n v="6141"/>
    <n v="0.2207837648"/>
    <n v="8.0357667644367829"/>
  </r>
  <r>
    <x v="4"/>
    <s v="+"/>
    <n v="32.003"/>
    <n v="25.004707231522584"/>
    <x v="3"/>
    <n v="8.7899999999999991"/>
    <n v="6.32"/>
    <n v="5.5380000000000003"/>
    <n v="265.64699999999999"/>
    <n v="8.9139999999999997"/>
    <n v="50.55"/>
    <n v="587.63600000000008"/>
    <n v="6494"/>
    <n v="1.5477221385600002"/>
    <n v="56.319420790893538"/>
  </r>
  <r>
    <x v="4"/>
    <s v="+"/>
    <n v="31.998999999999999"/>
    <n v="25.001581936115088"/>
    <x v="3"/>
    <m/>
    <m/>
    <n v="6.0999999999999999E-2"/>
    <n v="474.62599999999998"/>
    <m/>
    <m/>
    <m/>
    <m/>
    <n v="1.7047860319999997E-2"/>
    <n v="0.6204250843713105"/>
  </r>
  <r>
    <x v="4"/>
    <s v="-"/>
    <n v="32.009"/>
    <n v="25.009395174633827"/>
    <x v="0"/>
    <m/>
    <m/>
    <n v="659.59948999999995"/>
    <n v="3965.9059999999999"/>
    <m/>
    <m/>
    <m/>
    <m/>
    <n v="184.34032742070877"/>
    <n v="6706.6265601710948"/>
  </r>
  <r>
    <x v="4"/>
    <s v="-"/>
    <n v="32"/>
    <n v="25.002363259966963"/>
    <x v="0"/>
    <m/>
    <m/>
    <n v="539.54923000000008"/>
    <n v="4156.3639999999996"/>
    <m/>
    <m/>
    <m/>
    <m/>
    <n v="150.78950670169763"/>
    <n v="5487.5314034685844"/>
  </r>
  <r>
    <x v="4"/>
    <s v="-"/>
    <n v="32.008000000000003"/>
    <n v="25.008613850781956"/>
    <x v="0"/>
    <m/>
    <m/>
    <n v="710.31015000000014"/>
    <n v="4610.5349999999999"/>
    <m/>
    <m/>
    <m/>
    <m/>
    <n v="198.51259378816806"/>
    <n v="7222.4642699769747"/>
  </r>
  <r>
    <x v="4"/>
    <s v="-"/>
    <n v="31.997"/>
    <n v="25.000019288411337"/>
    <x v="0"/>
    <n v="4.6399999999999997"/>
    <n v="6.28"/>
    <n v="694.80411000000004"/>
    <n v="4144.7539999999999"/>
    <n v="0.32655000000000001"/>
    <n v="5.67"/>
    <n v="5.883449999999999"/>
    <n v="64"/>
    <n v="194.17907241052319"/>
    <n v="7067.2269379181016"/>
  </r>
  <r>
    <x v="4"/>
    <s v="-"/>
    <n v="31.997"/>
    <n v="25.000019288411337"/>
    <x v="0"/>
    <n v="4.4800000000000004"/>
    <n v="6.46"/>
    <n v="714.15487000000007"/>
    <n v="4202.5280000000002"/>
    <n v="0.22055000000000002"/>
    <n v="5.1649999999999991"/>
    <n v="7.9694499999999993"/>
    <n v="66.740000000000009"/>
    <n v="199.58708968209442"/>
    <n v="7264.0539433616786"/>
  </r>
  <r>
    <x v="4"/>
    <s v="-"/>
    <n v="31.998000000000001"/>
    <n v="25.000800612263212"/>
    <x v="0"/>
    <m/>
    <m/>
    <n v="688.72847999999999"/>
    <n v="4294.3019999999997"/>
    <m/>
    <m/>
    <m/>
    <m/>
    <n v="192.48109713845759"/>
    <n v="7005.2094985384683"/>
  </r>
  <r>
    <x v="4"/>
    <s v="-"/>
    <n v="31.997"/>
    <n v="25.000019288411337"/>
    <x v="1"/>
    <m/>
    <m/>
    <n v="3.39"/>
    <n v="10314.894"/>
    <m/>
    <m/>
    <m/>
    <m/>
    <n v="0.9474138768"/>
    <n v="34.481516408333235"/>
  </r>
  <r>
    <x v="4"/>
    <s v="-"/>
    <n v="31.998999999999999"/>
    <n v="25.001581936115088"/>
    <x v="1"/>
    <m/>
    <m/>
    <n v="0.22800000000000001"/>
    <n v="7011.8609999999999"/>
    <m/>
    <m/>
    <m/>
    <m/>
    <n v="6.3719871359999999E-2"/>
    <n v="2.318965889125554"/>
  </r>
  <r>
    <x v="4"/>
    <s v="-"/>
    <n v="32.01"/>
    <n v="25.010176498485698"/>
    <x v="1"/>
    <m/>
    <m/>
    <n v="0.20499999999999999"/>
    <n v="9710.3469999999998"/>
    <m/>
    <m/>
    <m/>
    <m/>
    <n v="5.7291989599999996E-2"/>
    <n v="2.0843186126945477"/>
  </r>
  <r>
    <x v="4"/>
    <s v="-"/>
    <n v="32.003999999999998"/>
    <n v="25.005488555374455"/>
    <x v="1"/>
    <n v="6.73"/>
    <n v="5.7"/>
    <n v="0.13"/>
    <n v="10549.027"/>
    <n v="0.34470000000000001"/>
    <n v="14.66"/>
    <n v="23.955998689956338"/>
    <n v="289.20000000000005"/>
    <n v="3.6331505600000001E-2"/>
    <n v="1.3220108222761517"/>
  </r>
  <r>
    <x v="4"/>
    <s v="-"/>
    <n v="31.995999999999999"/>
    <n v="24.999237964559462"/>
    <x v="1"/>
    <n v="6.73"/>
    <n v="5.64"/>
    <n v="0.36099999999999999"/>
    <n v="10285.868"/>
    <n v="0.23375000000000001"/>
    <n v="15.545"/>
    <n v="22.592429039301315"/>
    <n v="318.2"/>
    <n v="0.10088979631999999"/>
    <n v="3.6720402556476932"/>
  </r>
  <r>
    <x v="4"/>
    <s v="-"/>
    <n v="31.997"/>
    <n v="25.000019288411337"/>
    <x v="1"/>
    <m/>
    <m/>
    <n v="0.17499999999999999"/>
    <n v="8375.4779999999992"/>
    <m/>
    <m/>
    <m/>
    <m/>
    <n v="4.8907795999999996E-2"/>
    <n v="1.7800192836160222"/>
  </r>
  <r>
    <x v="4"/>
    <s v="-"/>
    <n v="31.994"/>
    <n v="24.997675316855716"/>
    <x v="2"/>
    <m/>
    <m/>
    <n v="0.06"/>
    <n v="4745.1549999999997"/>
    <m/>
    <m/>
    <m/>
    <m/>
    <n v="1.6768387199999998E-2"/>
    <n v="0.610349551446559"/>
  </r>
  <r>
    <x v="4"/>
    <s v="-"/>
    <n v="31.995999999999999"/>
    <n v="24.999237964559462"/>
    <x v="2"/>
    <m/>
    <m/>
    <n v="2.306"/>
    <n v="2630.761"/>
    <m/>
    <m/>
    <m/>
    <m/>
    <n v="0.64446501472000006"/>
    <n v="23.456301466824332"/>
  </r>
  <r>
    <x v="4"/>
    <s v="-"/>
    <n v="31.997"/>
    <n v="25.000019288411337"/>
    <x v="2"/>
    <m/>
    <m/>
    <n v="7.2999999999999995E-2"/>
    <n v="4603.8999999999996"/>
    <m/>
    <m/>
    <m/>
    <m/>
    <n v="2.0401537760000001E-2"/>
    <n v="0.74252232973696941"/>
  </r>
  <r>
    <x v="4"/>
    <s v="-"/>
    <n v="32.003"/>
    <n v="25.004707231522584"/>
    <x v="2"/>
    <n v="8.35"/>
    <n v="6.7"/>
    <n v="4.4999999999999998E-2"/>
    <n v="5281.701"/>
    <n v="4.8570000000000002"/>
    <n v="44.19"/>
    <n v="363.25299999999999"/>
    <n v="5184"/>
    <n v="1.2576290400000001E-2"/>
    <n v="0.45763343004518042"/>
  </r>
  <r>
    <x v="4"/>
    <s v="-"/>
    <n v="31.995000000000001"/>
    <n v="24.998456640707591"/>
    <x v="2"/>
    <n v="8.4"/>
    <n v="6.48"/>
    <n v="4.4999999999999998E-2"/>
    <n v="4888.0680000000002"/>
    <n v="4.2050000000000001"/>
    <n v="41.83"/>
    <n v="312.66500000000002"/>
    <n v="4885"/>
    <n v="1.2576290400000001E-2"/>
    <n v="0.45774785628179121"/>
  </r>
  <r>
    <x v="4"/>
    <s v="-"/>
    <n v="32.000999999999998"/>
    <n v="25.003144583818834"/>
    <x v="2"/>
    <m/>
    <m/>
    <n v="4.8000000000000001E-2"/>
    <n v="2793.8530000000001"/>
    <m/>
    <m/>
    <m/>
    <m/>
    <n v="1.3414709759999999E-2"/>
    <n v="0.48817283332348899"/>
  </r>
  <r>
    <x v="4"/>
    <s v="-"/>
    <n v="32.003"/>
    <n v="25.004707231522584"/>
    <x v="3"/>
    <m/>
    <m/>
    <n v="0.14099999999999999"/>
    <n v="344.98200000000003"/>
    <m/>
    <m/>
    <m/>
    <m/>
    <n v="3.940570991999999E-2"/>
    <n v="1.4339180808082317"/>
  </r>
  <r>
    <x v="4"/>
    <s v="-"/>
    <n v="32.01"/>
    <n v="25.010176498485698"/>
    <x v="3"/>
    <m/>
    <m/>
    <n v="2.157"/>
    <n v="281.40300000000002"/>
    <m/>
    <m/>
    <m/>
    <m/>
    <n v="0.60282351984000004"/>
    <n v="21.931098768693367"/>
  </r>
  <r>
    <x v="4"/>
    <s v="-"/>
    <n v="31.998000000000001"/>
    <n v="25.000800612263212"/>
    <x v="3"/>
    <m/>
    <m/>
    <n v="0.06"/>
    <n v="566.67600000000004"/>
    <m/>
    <m/>
    <m/>
    <m/>
    <n v="1.6768387199999998E-2"/>
    <n v="0.61027325298397428"/>
  </r>
  <r>
    <x v="4"/>
    <s v="-"/>
    <n v="32.006999999999998"/>
    <n v="25.007832526930077"/>
    <x v="3"/>
    <n v="8.7100000000000009"/>
    <n v="6.44"/>
    <n v="9.2999999999999999E-2"/>
    <n v="463.56900000000002"/>
    <n v="6.3260000000000005"/>
    <n v="50.87"/>
    <n v="591.10399999999993"/>
    <n v="6140"/>
    <n v="2.599100016E-2"/>
    <n v="0.9456575593126777"/>
  </r>
  <r>
    <x v="4"/>
    <s v="-"/>
    <n v="31.989000000000001"/>
    <n v="24.993768697596348"/>
    <x v="3"/>
    <n v="8.73"/>
    <n v="6.36"/>
    <n v="2.8000000000000001E-2"/>
    <n v="348.02199999999999"/>
    <n v="7.306"/>
    <n v="48.879999999999995"/>
    <n v="390.11400000000003"/>
    <n v="7198"/>
    <n v="7.825247359999999E-3"/>
    <n v="0.28487431063358959"/>
  </r>
  <r>
    <x v="4"/>
    <s v="-"/>
    <n v="31.995000000000001"/>
    <n v="24.998456640707591"/>
    <x v="3"/>
    <m/>
    <m/>
    <n v="1.6419999999999999"/>
    <n v="115.547"/>
    <m/>
    <m/>
    <m/>
    <m/>
    <n v="0.45889486303999999"/>
    <n v="16.702710666993354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20">
  <r>
    <s v="a"/>
    <x v="0"/>
    <x v="0"/>
    <x v="0"/>
    <n v="4.7300000000000004"/>
    <n v="80.41479223688107"/>
    <x v="0"/>
  </r>
  <r>
    <s v="b"/>
    <x v="0"/>
    <x v="0"/>
    <x v="0"/>
    <n v="4.7699999999999996"/>
    <n v="78.310159133396454"/>
    <x v="1"/>
  </r>
  <r>
    <s v="c"/>
    <x v="0"/>
    <x v="0"/>
    <x v="0"/>
    <n v="4.9400000000000004"/>
    <n v="80.869857208166266"/>
    <x v="2"/>
  </r>
  <r>
    <s v="a"/>
    <x v="0"/>
    <x v="0"/>
    <x v="1"/>
    <n v="6.49"/>
    <n v="480.57801043416748"/>
    <x v="3"/>
  </r>
  <r>
    <s v="b"/>
    <x v="0"/>
    <x v="0"/>
    <x v="1"/>
    <n v="6.49"/>
    <n v="444.78497069648091"/>
    <x v="4"/>
  </r>
  <r>
    <s v="c"/>
    <x v="0"/>
    <x v="0"/>
    <x v="1"/>
    <n v="6.52"/>
    <n v="697.71871209530548"/>
    <x v="5"/>
  </r>
  <r>
    <s v="a"/>
    <x v="0"/>
    <x v="0"/>
    <x v="2"/>
    <n v="8.4"/>
    <n v="23.840191453488544"/>
    <x v="6"/>
  </r>
  <r>
    <s v="b"/>
    <x v="0"/>
    <x v="0"/>
    <x v="2"/>
    <n v="8.4"/>
    <n v="41.785127502911855"/>
    <x v="7"/>
  </r>
  <r>
    <s v="c"/>
    <x v="0"/>
    <x v="0"/>
    <x v="2"/>
    <n v="8.32"/>
    <n v="36.900435185886835"/>
    <x v="8"/>
  </r>
  <r>
    <s v="a"/>
    <x v="0"/>
    <x v="0"/>
    <x v="3"/>
    <n v="8.92"/>
    <n v="0.1423959604425952"/>
    <x v="9"/>
  </r>
  <r>
    <s v="b"/>
    <x v="0"/>
    <x v="0"/>
    <x v="3"/>
    <n v="9.08"/>
    <n v="0.23293428877700467"/>
    <x v="10"/>
  </r>
  <r>
    <s v="c"/>
    <x v="0"/>
    <x v="0"/>
    <x v="3"/>
    <n v="8.82"/>
    <n v="0.23705709053271154"/>
    <x v="11"/>
  </r>
  <r>
    <s v="a"/>
    <x v="0"/>
    <x v="1"/>
    <x v="0"/>
    <n v="4.6100000000000003"/>
    <n v="84.321712456022112"/>
    <x v="12"/>
  </r>
  <r>
    <s v="b"/>
    <x v="0"/>
    <x v="1"/>
    <x v="0"/>
    <n v="4.6900000000000004"/>
    <n v="88.48823638024561"/>
    <x v="13"/>
  </r>
  <r>
    <s v="c"/>
    <x v="0"/>
    <x v="1"/>
    <x v="0"/>
    <n v="4.6900000000000004"/>
    <n v="84.67254580188559"/>
    <x v="14"/>
  </r>
  <r>
    <s v="a"/>
    <x v="0"/>
    <x v="1"/>
    <x v="1"/>
    <n v="6.53"/>
    <n v="45.728830736066328"/>
    <x v="15"/>
  </r>
  <r>
    <s v="b"/>
    <x v="0"/>
    <x v="1"/>
    <x v="1"/>
    <n v="6.58"/>
    <n v="55.317407313396437"/>
    <x v="16"/>
  </r>
  <r>
    <s v="c"/>
    <x v="0"/>
    <x v="1"/>
    <x v="1"/>
    <n v="6.53"/>
    <n v="60.599474191311678"/>
    <x v="17"/>
  </r>
  <r>
    <s v="a"/>
    <x v="0"/>
    <x v="1"/>
    <x v="2"/>
    <n v="8.2799999999999994"/>
    <n v="8.7291138928419727"/>
    <x v="18"/>
  </r>
  <r>
    <s v="b"/>
    <x v="0"/>
    <x v="1"/>
    <x v="2"/>
    <n v="8.31"/>
    <n v="17.789313546715924"/>
    <x v="19"/>
  </r>
  <r>
    <s v="c"/>
    <x v="0"/>
    <x v="1"/>
    <x v="2"/>
    <n v="8.18"/>
    <n v="11.595099636039896"/>
    <x v="20"/>
  </r>
  <r>
    <s v="a"/>
    <x v="0"/>
    <x v="1"/>
    <x v="3"/>
    <n v="9.1300000000000008"/>
    <n v="0.11392048087985977"/>
    <x v="21"/>
  </r>
  <r>
    <s v="b"/>
    <x v="0"/>
    <x v="1"/>
    <x v="3"/>
    <n v="9.14"/>
    <n v="8.8480267845265914E-2"/>
    <x v="22"/>
  </r>
  <r>
    <s v="c"/>
    <x v="0"/>
    <x v="1"/>
    <x v="3"/>
    <n v="9.0299999999999994"/>
    <n v="0"/>
    <x v="23"/>
  </r>
  <r>
    <s v="a"/>
    <x v="1"/>
    <x v="0"/>
    <x v="0"/>
    <n v="4.63"/>
    <n v="117.68212439377966"/>
    <x v="24"/>
  </r>
  <r>
    <s v="b"/>
    <x v="1"/>
    <x v="0"/>
    <x v="0"/>
    <n v="4.62"/>
    <n v="124.84260698421635"/>
    <x v="25"/>
  </r>
  <r>
    <s v="c"/>
    <x v="1"/>
    <x v="0"/>
    <x v="0"/>
    <n v="4.8499999999999996"/>
    <n v="121.70328156325876"/>
    <x v="26"/>
  </r>
  <r>
    <s v="a"/>
    <x v="1"/>
    <x v="0"/>
    <x v="1"/>
    <n v="6.73"/>
    <n v="1017.7452775398083"/>
    <x v="27"/>
  </r>
  <r>
    <s v="b"/>
    <x v="1"/>
    <x v="0"/>
    <x v="1"/>
    <n v="6.62"/>
    <n v="884.59291048779789"/>
    <x v="28"/>
  </r>
  <r>
    <s v="c"/>
    <x v="1"/>
    <x v="0"/>
    <x v="1"/>
    <n v="6.56"/>
    <n v="859.90805603285628"/>
    <x v="29"/>
  </r>
  <r>
    <s v="a"/>
    <x v="1"/>
    <x v="0"/>
    <x v="2"/>
    <n v="8.3800000000000008"/>
    <n v="2949.9007760929244"/>
    <x v="30"/>
  </r>
  <r>
    <s v="b"/>
    <x v="1"/>
    <x v="0"/>
    <x v="2"/>
    <n v="8.44"/>
    <n v="3258.6172895245709"/>
    <x v="31"/>
  </r>
  <r>
    <s v="c"/>
    <x v="1"/>
    <x v="0"/>
    <x v="2"/>
    <n v="8.3699999999999992"/>
    <n v="2993.0806516348352"/>
    <x v="32"/>
  </r>
  <r>
    <s v="a"/>
    <x v="1"/>
    <x v="0"/>
    <x v="3"/>
    <n v="8.89"/>
    <n v="27.749131665345047"/>
    <x v="33"/>
  </r>
  <r>
    <s v="b"/>
    <x v="1"/>
    <x v="0"/>
    <x v="3"/>
    <n v="8.82"/>
    <n v="2.3600121254520148"/>
    <x v="34"/>
  </r>
  <r>
    <s v="c"/>
    <x v="1"/>
    <x v="0"/>
    <x v="3"/>
    <n v="9"/>
    <n v="1.1373929169180146"/>
    <x v="35"/>
  </r>
  <r>
    <s v="a"/>
    <x v="1"/>
    <x v="1"/>
    <x v="0"/>
    <n v="4.6500000000000004"/>
    <n v="113.24776873793807"/>
    <x v="36"/>
  </r>
  <r>
    <s v="b"/>
    <x v="1"/>
    <x v="1"/>
    <x v="0"/>
    <n v="4.6900000000000004"/>
    <n v="133.82316647539187"/>
    <x v="37"/>
  </r>
  <r>
    <s v="c"/>
    <x v="1"/>
    <x v="1"/>
    <x v="0"/>
    <n v="4.63"/>
    <n v="124.47943803276738"/>
    <x v="38"/>
  </r>
  <r>
    <s v="a"/>
    <x v="1"/>
    <x v="1"/>
    <x v="1"/>
    <n v="6.68"/>
    <n v="60.667398760797838"/>
    <x v="39"/>
  </r>
  <r>
    <s v="b"/>
    <x v="1"/>
    <x v="1"/>
    <x v="1"/>
    <n v="6.65"/>
    <n v="47.147388813762554"/>
    <x v="40"/>
  </r>
  <r>
    <s v="c"/>
    <x v="1"/>
    <x v="1"/>
    <x v="1"/>
    <n v="6.58"/>
    <n v="60.432217293197652"/>
    <x v="41"/>
  </r>
  <r>
    <s v="a"/>
    <x v="1"/>
    <x v="1"/>
    <x v="2"/>
    <n v="8.3000000000000007"/>
    <n v="20.951908101303914"/>
    <x v="42"/>
  </r>
  <r>
    <s v="b"/>
    <x v="1"/>
    <x v="1"/>
    <x v="2"/>
    <n v="8.3800000000000008"/>
    <n v="21.472106354625762"/>
    <x v="43"/>
  </r>
  <r>
    <s v="c"/>
    <x v="1"/>
    <x v="1"/>
    <x v="2"/>
    <n v="8.33"/>
    <n v="18.150305507135503"/>
    <x v="44"/>
  </r>
  <r>
    <s v="a"/>
    <x v="1"/>
    <x v="1"/>
    <x v="3"/>
    <n v="8.92"/>
    <n v="0.55654272784174785"/>
    <x v="45"/>
  </r>
  <r>
    <s v="b"/>
    <x v="1"/>
    <x v="1"/>
    <x v="3"/>
    <n v="9.0500000000000007"/>
    <n v="0.24915233263522144"/>
    <x v="46"/>
  </r>
  <r>
    <s v="c"/>
    <x v="1"/>
    <x v="1"/>
    <x v="3"/>
    <n v="9.1300000000000008"/>
    <n v="7.7318302044516188E-2"/>
    <x v="47"/>
  </r>
  <r>
    <s v="a"/>
    <x v="2"/>
    <x v="0"/>
    <x v="0"/>
    <n v="4.57"/>
    <n v="111.38776626547828"/>
    <x v="48"/>
  </r>
  <r>
    <s v="b"/>
    <x v="2"/>
    <x v="0"/>
    <x v="0"/>
    <n v="4.6500000000000004"/>
    <n v="119.71787045293652"/>
    <x v="49"/>
  </r>
  <r>
    <s v="c"/>
    <x v="2"/>
    <x v="0"/>
    <x v="0"/>
    <n v="4.6100000000000003"/>
    <n v="113.98438264949388"/>
    <x v="50"/>
  </r>
  <r>
    <s v="a"/>
    <x v="2"/>
    <x v="0"/>
    <x v="1"/>
    <n v="6.64"/>
    <n v="925.09537376138985"/>
    <x v="51"/>
  </r>
  <r>
    <s v="b"/>
    <x v="2"/>
    <x v="0"/>
    <x v="1"/>
    <n v="6.62"/>
    <n v="715.35580716317111"/>
    <x v="52"/>
  </r>
  <r>
    <s v="c"/>
    <x v="2"/>
    <x v="0"/>
    <x v="1"/>
    <n v="6.65"/>
    <n v="720.7500917218066"/>
    <x v="53"/>
  </r>
  <r>
    <s v="a"/>
    <x v="2"/>
    <x v="0"/>
    <x v="2"/>
    <n v="8.4"/>
    <n v="1978.7530161495695"/>
    <x v="54"/>
  </r>
  <r>
    <s v="b"/>
    <x v="2"/>
    <x v="0"/>
    <x v="2"/>
    <n v="8.4499999999999993"/>
    <n v="1606.6011130167528"/>
    <x v="55"/>
  </r>
  <r>
    <s v="c"/>
    <x v="2"/>
    <x v="0"/>
    <x v="2"/>
    <n v="8.41"/>
    <n v="2159.1282120439623"/>
    <x v="56"/>
  </r>
  <r>
    <s v="a"/>
    <x v="2"/>
    <x v="0"/>
    <x v="3"/>
    <n v="9.01"/>
    <n v="29.374312250689407"/>
    <x v="57"/>
  </r>
  <r>
    <s v="b"/>
    <x v="2"/>
    <x v="0"/>
    <x v="3"/>
    <n v="9.0399999999999991"/>
    <n v="1.2859254445298485"/>
    <x v="58"/>
  </r>
  <r>
    <s v="c"/>
    <x v="2"/>
    <x v="0"/>
    <x v="3"/>
    <n v="9.0399999999999991"/>
    <n v="0.72437402001206119"/>
    <x v="59"/>
  </r>
  <r>
    <s v="a"/>
    <x v="2"/>
    <x v="1"/>
    <x v="0"/>
    <n v="4.78"/>
    <n v="109.3682684709222"/>
    <x v="60"/>
  </r>
  <r>
    <s v="b"/>
    <x v="2"/>
    <x v="1"/>
    <x v="0"/>
    <n v="4.79"/>
    <n v="112.79755042547259"/>
    <x v="61"/>
  </r>
  <r>
    <s v="c"/>
    <x v="2"/>
    <x v="1"/>
    <x v="0"/>
    <n v="4.76"/>
    <n v="115.9542020497489"/>
    <x v="62"/>
  </r>
  <r>
    <s v="a"/>
    <x v="2"/>
    <x v="1"/>
    <x v="1"/>
    <n v="6.64"/>
    <n v="64.916690709132652"/>
    <x v="63"/>
  </r>
  <r>
    <s v="b"/>
    <x v="2"/>
    <x v="1"/>
    <x v="1"/>
    <n v="6.66"/>
    <n v="90.6702417146183"/>
    <x v="64"/>
  </r>
  <r>
    <s v="c"/>
    <x v="2"/>
    <x v="1"/>
    <x v="1"/>
    <n v="6.66"/>
    <n v="35.8286708964471"/>
    <x v="65"/>
  </r>
  <r>
    <s v="a"/>
    <x v="2"/>
    <x v="1"/>
    <x v="2"/>
    <n v="8.3699999999999992"/>
    <n v="9.8672920762433414"/>
    <x v="66"/>
  </r>
  <r>
    <s v="b"/>
    <x v="2"/>
    <x v="1"/>
    <x v="2"/>
    <n v="8.36"/>
    <n v="6.9379607150136007"/>
    <x v="67"/>
  </r>
  <r>
    <s v="c"/>
    <x v="2"/>
    <x v="1"/>
    <x v="2"/>
    <n v="8.3800000000000008"/>
    <n v="14.445750551360492"/>
    <x v="68"/>
  </r>
  <r>
    <s v="a"/>
    <x v="2"/>
    <x v="1"/>
    <x v="3"/>
    <n v="8.8800000000000008"/>
    <n v="0.58096142156789388"/>
    <x v="69"/>
  </r>
  <r>
    <s v="b"/>
    <x v="2"/>
    <x v="1"/>
    <x v="3"/>
    <n v="8.93"/>
    <n v="0.22572574642185431"/>
    <x v="70"/>
  </r>
  <r>
    <s v="c"/>
    <x v="2"/>
    <x v="1"/>
    <x v="3"/>
    <n v="8.9"/>
    <n v="0.59413011044733488"/>
    <x v="71"/>
  </r>
  <r>
    <s v="a"/>
    <x v="3"/>
    <x v="0"/>
    <x v="0"/>
    <n v="4.5999999999999996"/>
    <n v="82.46367442707529"/>
    <x v="72"/>
  </r>
  <r>
    <s v="b"/>
    <x v="3"/>
    <x v="0"/>
    <x v="0"/>
    <n v="4.72"/>
    <n v="89.580017509713855"/>
    <x v="73"/>
  </r>
  <r>
    <s v="c"/>
    <x v="3"/>
    <x v="0"/>
    <x v="0"/>
    <n v="4.8099999999999996"/>
    <n v="99.62893713230001"/>
    <x v="74"/>
  </r>
  <r>
    <s v="a"/>
    <x v="3"/>
    <x v="0"/>
    <x v="1"/>
    <n v="6.52"/>
    <n v="627.30017711887626"/>
    <x v="75"/>
  </r>
  <r>
    <s v="b"/>
    <x v="3"/>
    <x v="0"/>
    <x v="1"/>
    <n v="6.57"/>
    <n v="658.64511208092699"/>
    <x v="76"/>
  </r>
  <r>
    <s v="c"/>
    <x v="3"/>
    <x v="0"/>
    <x v="1"/>
    <n v="6.63"/>
    <n v="1546.4252074114681"/>
    <x v="77"/>
  </r>
  <r>
    <s v="a"/>
    <x v="3"/>
    <x v="0"/>
    <x v="2"/>
    <n v="8.2899999999999991"/>
    <n v="1839.6884869422345"/>
    <x v="78"/>
  </r>
  <r>
    <s v="b"/>
    <x v="3"/>
    <x v="0"/>
    <x v="2"/>
    <n v="8.3800000000000008"/>
    <n v="1944.6685779055381"/>
    <x v="79"/>
  </r>
  <r>
    <s v="c"/>
    <x v="3"/>
    <x v="0"/>
    <x v="2"/>
    <n v="8.3800000000000008"/>
    <n v="1478.2900513868003"/>
    <x v="80"/>
  </r>
  <r>
    <s v="a"/>
    <x v="3"/>
    <x v="0"/>
    <x v="3"/>
    <n v="9.1999999999999993"/>
    <n v="9.7583178882582775"/>
    <x v="81"/>
  </r>
  <r>
    <s v="b"/>
    <x v="3"/>
    <x v="0"/>
    <x v="3"/>
    <n v="8.99"/>
    <n v="10.531529081287774"/>
    <x v="82"/>
  </r>
  <r>
    <s v="c"/>
    <x v="3"/>
    <x v="0"/>
    <x v="3"/>
    <n v="8.8000000000000007"/>
    <n v="4.6457652486807532"/>
    <x v="83"/>
  </r>
  <r>
    <s v="a"/>
    <x v="3"/>
    <x v="1"/>
    <x v="0"/>
    <n v="4.59"/>
    <n v="90.489786281933107"/>
    <x v="84"/>
  </r>
  <r>
    <s v="b"/>
    <x v="3"/>
    <x v="1"/>
    <x v="0"/>
    <n v="4.6100000000000003"/>
    <n v="97.678185432666922"/>
    <x v="85"/>
  </r>
  <r>
    <s v="c"/>
    <x v="3"/>
    <x v="1"/>
    <x v="0"/>
    <n v="4.62"/>
    <n v="97.156665434117699"/>
    <x v="86"/>
  </r>
  <r>
    <s v="a"/>
    <x v="3"/>
    <x v="1"/>
    <x v="1"/>
    <n v="6.64"/>
    <n v="50.370002718550872"/>
    <x v="87"/>
  </r>
  <r>
    <s v="b"/>
    <x v="3"/>
    <x v="1"/>
    <x v="1"/>
    <n v="6.61"/>
    <n v="142.69427096173729"/>
    <x v="88"/>
  </r>
  <r>
    <s v="c"/>
    <x v="3"/>
    <x v="1"/>
    <x v="1"/>
    <n v="6.66"/>
    <n v="54.472797569727248"/>
    <x v="89"/>
  </r>
  <r>
    <s v="a"/>
    <x v="3"/>
    <x v="1"/>
    <x v="2"/>
    <n v="8.2799999999999994"/>
    <n v="20.625709922158897"/>
    <x v="90"/>
  </r>
  <r>
    <s v="b"/>
    <x v="3"/>
    <x v="1"/>
    <x v="2"/>
    <n v="8.41"/>
    <n v="15.558270508267057"/>
    <x v="91"/>
  </r>
  <r>
    <s v="c"/>
    <x v="3"/>
    <x v="1"/>
    <x v="2"/>
    <n v="8.3800000000000008"/>
    <n v="37.944256144043649"/>
    <x v="92"/>
  </r>
  <r>
    <s v="a"/>
    <x v="3"/>
    <x v="1"/>
    <x v="3"/>
    <n v="9"/>
    <n v="1.3817361291903276"/>
    <x v="93"/>
  </r>
  <r>
    <s v="b"/>
    <x v="3"/>
    <x v="1"/>
    <x v="3"/>
    <n v="8.98"/>
    <n v="0.65597439954248871"/>
    <x v="94"/>
  </r>
  <r>
    <s v="c"/>
    <x v="3"/>
    <x v="1"/>
    <x v="3"/>
    <n v="8.94"/>
    <n v="0.87776938472828359"/>
    <x v="95"/>
  </r>
  <r>
    <s v="a"/>
    <x v="4"/>
    <x v="0"/>
    <x v="0"/>
    <n v="4.46"/>
    <n v="70.547376212610345"/>
    <x v="96"/>
  </r>
  <r>
    <s v="b"/>
    <x v="4"/>
    <x v="0"/>
    <x v="0"/>
    <n v="4.49"/>
    <n v="92.487118808074939"/>
    <x v="97"/>
  </r>
  <r>
    <s v="c"/>
    <x v="4"/>
    <x v="0"/>
    <x v="0"/>
    <n v="4.3499999999999996"/>
    <n v="91.480180440828846"/>
    <x v="98"/>
  </r>
  <r>
    <s v="a"/>
    <x v="4"/>
    <x v="0"/>
    <x v="1"/>
    <n v="6.63"/>
    <n v="660.30055760268567"/>
    <x v="99"/>
  </r>
  <r>
    <s v="b"/>
    <x v="4"/>
    <x v="0"/>
    <x v="1"/>
    <n v="6.61"/>
    <n v="668.36627538329162"/>
    <x v="100"/>
  </r>
  <r>
    <s v="c"/>
    <x v="4"/>
    <x v="0"/>
    <x v="1"/>
    <n v="6.6"/>
    <n v="359.27269341750059"/>
    <x v="101"/>
  </r>
  <r>
    <s v="a"/>
    <x v="4"/>
    <x v="0"/>
    <x v="2"/>
    <n v="8.41"/>
    <n v="517.2334263259678"/>
    <x v="102"/>
  </r>
  <r>
    <s v="b"/>
    <x v="4"/>
    <x v="0"/>
    <x v="2"/>
    <n v="8.3800000000000008"/>
    <n v="715.28508883990867"/>
    <x v="103"/>
  </r>
  <r>
    <s v="c"/>
    <x v="4"/>
    <x v="0"/>
    <x v="2"/>
    <n v="8.36"/>
    <n v="760.21883188437334"/>
    <x v="104"/>
  </r>
  <r>
    <s v="a"/>
    <x v="4"/>
    <x v="0"/>
    <x v="3"/>
    <n v="8.82"/>
    <n v="156.29697087902377"/>
    <x v="105"/>
  </r>
  <r>
    <s v="b"/>
    <x v="4"/>
    <x v="0"/>
    <x v="3"/>
    <n v="8.8800000000000008"/>
    <n v="38.131148406980408"/>
    <x v="106"/>
  </r>
  <r>
    <s v="c"/>
    <x v="4"/>
    <x v="0"/>
    <x v="3"/>
    <n v="8.8800000000000008"/>
    <n v="0"/>
    <x v="107"/>
  </r>
  <r>
    <s v="a"/>
    <x v="4"/>
    <x v="1"/>
    <x v="0"/>
    <n v="4.54"/>
    <n v="91.566024614185068"/>
    <x v="108"/>
  </r>
  <r>
    <s v="b"/>
    <x v="4"/>
    <x v="1"/>
    <x v="0"/>
    <n v="4.6399999999999997"/>
    <n v="115.31100624687012"/>
    <x v="109"/>
  </r>
  <r>
    <s v="c"/>
    <x v="4"/>
    <x v="1"/>
    <x v="0"/>
    <n v="4.4800000000000004"/>
    <n v="94.13485244450743"/>
    <x v="110"/>
  </r>
  <r>
    <s v="a"/>
    <x v="4"/>
    <x v="1"/>
    <x v="1"/>
    <n v="6.72"/>
    <n v="51.956881627835344"/>
    <x v="111"/>
  </r>
  <r>
    <s v="b"/>
    <x v="4"/>
    <x v="1"/>
    <x v="1"/>
    <n v="6.68"/>
    <n v="50.104080099929647"/>
    <x v="112"/>
  </r>
  <r>
    <s v="c"/>
    <x v="4"/>
    <x v="1"/>
    <x v="1"/>
    <n v="6.62"/>
    <n v="50.853893388497305"/>
    <x v="113"/>
  </r>
  <r>
    <s v="a"/>
    <x v="4"/>
    <x v="1"/>
    <x v="2"/>
    <n v="8.4"/>
    <n v="12.056730027284663"/>
    <x v="114"/>
  </r>
  <r>
    <s v="b"/>
    <x v="4"/>
    <x v="1"/>
    <x v="2"/>
    <n v="8.3699999999999992"/>
    <n v="38.566812290192729"/>
    <x v="115"/>
  </r>
  <r>
    <s v="c"/>
    <x v="4"/>
    <x v="1"/>
    <x v="2"/>
    <n v="8.42"/>
    <n v="13.045428777853042"/>
    <x v="116"/>
  </r>
  <r>
    <s v="a"/>
    <x v="4"/>
    <x v="1"/>
    <x v="3"/>
    <n v="8.8000000000000007"/>
    <n v="67.391084470492018"/>
    <x v="117"/>
  </r>
  <r>
    <s v="b"/>
    <x v="4"/>
    <x v="1"/>
    <x v="3"/>
    <n v="8.86"/>
    <n v="5.3215170393138367"/>
    <x v="118"/>
  </r>
  <r>
    <s v="c"/>
    <x v="4"/>
    <x v="1"/>
    <x v="3"/>
    <n v="8.75"/>
    <n v="10.978841027772813"/>
    <x v="1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X16:AC23" firstHeaderRow="1" firstDataRow="2" firstDataCol="1"/>
  <pivotFields count="15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numFmtId="2" showAll="0"/>
    <pivotField axis="axisCol" numFmtId="1" showAll="0">
      <items count="5">
        <item x="0"/>
        <item x="1"/>
        <item x="2"/>
        <item x="3"/>
        <item t="default"/>
      </items>
    </pivotField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numFmtId="165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StdDev of N2O-N ng g-1" fld="14" subtotal="stdDev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X8:BL14" firstHeaderRow="1" firstDataRow="3" firstDataCol="1"/>
  <pivotFields count="13">
    <pivotField axis="axisCol" showAll="0" defaultSubtotal="0">
      <items count="5">
        <item x="0"/>
        <item x="1"/>
        <item x="2"/>
        <item x="3"/>
        <item x="4"/>
      </items>
    </pivotField>
    <pivotField showAll="0" defaultSubtotal="0"/>
    <pivotField showAll="0" defaultSubtotal="0"/>
    <pivotField numFmtId="2" showAll="0" defaultSubtotal="0"/>
    <pivotField axis="axisRow" numFmtId="1" showAll="0" defaultSubtotal="0">
      <items count="4">
        <item x="0"/>
        <item x="1"/>
        <item x="2"/>
        <item x="3"/>
      </items>
    </pivotField>
    <pivotField dataField="1" showAll="0"/>
    <pivotField dataField="1" showAll="0" defaultSubtota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4"/>
  </rowFields>
  <rowItems count="4">
    <i>
      <x/>
    </i>
    <i>
      <x v="1"/>
    </i>
    <i>
      <x v="2"/>
    </i>
    <i>
      <x v="3"/>
    </i>
  </rowItems>
  <colFields count="2">
    <field x="-2"/>
    <field x="0"/>
  </colFields>
  <colItems count="40">
    <i>
      <x/>
      <x/>
    </i>
    <i r="1">
      <x v="1"/>
    </i>
    <i r="1">
      <x v="2"/>
    </i>
    <i r="1">
      <x v="3"/>
    </i>
    <i r="1">
      <x v="4"/>
    </i>
    <i i="1">
      <x v="1"/>
      <x/>
    </i>
    <i r="1" i="1">
      <x v="1"/>
    </i>
    <i r="1" i="1">
      <x v="2"/>
    </i>
    <i r="1" i="1">
      <x v="3"/>
    </i>
    <i r="1" i="1">
      <x v="4"/>
    </i>
    <i i="2">
      <x v="2"/>
      <x/>
    </i>
    <i r="1" i="2">
      <x v="1"/>
    </i>
    <i r="1" i="2">
      <x v="2"/>
    </i>
    <i r="1" i="2">
      <x v="3"/>
    </i>
    <i r="1" i="2">
      <x v="4"/>
    </i>
    <i i="3">
      <x v="3"/>
      <x/>
    </i>
    <i r="1" i="3">
      <x v="1"/>
    </i>
    <i r="1" i="3">
      <x v="2"/>
    </i>
    <i r="1" i="3">
      <x v="3"/>
    </i>
    <i r="1" i="3">
      <x v="4"/>
    </i>
    <i i="4">
      <x v="4"/>
      <x/>
    </i>
    <i r="1" i="4">
      <x v="1"/>
    </i>
    <i r="1" i="4">
      <x v="2"/>
    </i>
    <i r="1" i="4">
      <x v="3"/>
    </i>
    <i r="1" i="4">
      <x v="4"/>
    </i>
    <i i="5">
      <x v="5"/>
      <x/>
    </i>
    <i r="1" i="5">
      <x v="1"/>
    </i>
    <i r="1" i="5">
      <x v="2"/>
    </i>
    <i r="1" i="5">
      <x v="3"/>
    </i>
    <i r="1" i="5">
      <x v="4"/>
    </i>
    <i i="6">
      <x v="6"/>
      <x/>
    </i>
    <i r="1" i="6">
      <x v="1"/>
    </i>
    <i r="1" i="6">
      <x v="2"/>
    </i>
    <i r="1" i="6">
      <x v="3"/>
    </i>
    <i r="1" i="6">
      <x v="4"/>
    </i>
    <i i="7">
      <x v="7"/>
      <x/>
    </i>
    <i r="1" i="7">
      <x v="1"/>
    </i>
    <i r="1" i="7">
      <x v="2"/>
    </i>
    <i r="1" i="7">
      <x v="3"/>
    </i>
    <i r="1" i="7">
      <x v="4"/>
    </i>
  </colItems>
  <dataFields count="8">
    <dataField name="pH" fld="5" subtotal="stdDev" baseField="0" baseItem="0"/>
    <dataField name="N2O evolved" fld="7" subtotal="stdDev" baseField="0" baseItem="0"/>
    <dataField name="CO2 evolved" fld="8" subtotal="stdDev" baseField="0" baseItem="0"/>
    <dataField name="NO3-" fld="9" subtotal="stdDev" baseField="0" baseItem="0"/>
    <dataField name="NH4" fld="10" subtotal="stdDev" baseField="0" baseItem="0"/>
    <dataField name="DON" fld="11" subtotal="stdDev" baseField="0" baseItem="0"/>
    <dataField name="DOC" fld="12" subtotal="stdDev" baseField="0" baseItem="0"/>
    <dataField name="EC" fld="6" subtotal="stdDev" baseField="0" baseItem="0" numFmtId="2"/>
  </dataFields>
  <formats count="11">
    <format dxfId="26">
      <pivotArea type="all" dataOnly="0" outline="0" fieldPosition="0"/>
    </format>
    <format dxfId="25">
      <pivotArea collapsedLevelsAreSubtotals="1" fieldPosition="0">
        <references count="1">
          <reference field="4" count="1">
            <x v="1"/>
          </reference>
        </references>
      </pivotArea>
    </format>
    <format dxfId="24">
      <pivotArea collapsedLevelsAreSubtotals="1" fieldPosition="0">
        <references count="1">
          <reference field="4" count="1">
            <x v="2"/>
          </reference>
        </references>
      </pivotArea>
    </format>
    <format dxfId="23">
      <pivotArea collapsedLevelsAreSubtotals="1" fieldPosition="0">
        <references count="1">
          <reference field="4" count="1">
            <x v="3"/>
          </reference>
        </references>
      </pivotArea>
    </format>
    <format dxfId="22">
      <pivotArea field="4" type="button" dataOnly="0" labelOnly="1" outline="0" axis="axisRow" fieldPosition="0"/>
    </format>
    <format dxfId="21">
      <pivotArea field="-2" type="button" dataOnly="0" labelOnly="1" outline="0" axis="axisCol" fieldPosition="0"/>
    </format>
    <format dxfId="20">
      <pivotArea type="all" dataOnly="0" outline="0" fieldPosition="0"/>
    </format>
    <format dxfId="19">
      <pivotArea dataOnly="0" labelOnly="1" outline="0" fieldPosition="0">
        <references count="1">
          <reference field="4294967294" count="6">
            <x v="1"/>
            <x v="2"/>
            <x v="3"/>
            <x v="4"/>
            <x v="5"/>
            <x v="6"/>
          </reference>
        </references>
      </pivotArea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>
        <references count="1">
          <reference field="4294967294" count="1">
            <x v="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F1:K8" firstHeaderRow="1" firstDataRow="2" firstDataCol="1"/>
  <pivotFields count="4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tdDev of Total" fld="3" subtotal="stdDev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R1:BA15" firstHeaderRow="1" firstDataRow="3" firstDataCol="1"/>
  <pivotFields count="16">
    <pivotField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numFmtId="2" showAll="0"/>
    <pivotField axis="axisRow" numFmtId="1" showAll="0">
      <items count="51">
        <item x="0"/>
        <item m="1" x="40"/>
        <item m="1" x="15"/>
        <item m="1" x="27"/>
        <item m="1" x="5"/>
        <item m="1" x="48"/>
        <item m="1" x="11"/>
        <item m="1" x="23"/>
        <item m="1" x="35"/>
        <item m="1" x="16"/>
        <item m="1" x="36"/>
        <item m="1" x="12"/>
        <item m="1" x="30"/>
        <item m="1" x="44"/>
        <item m="1" x="37"/>
        <item m="1" x="49"/>
        <item m="1" x="7"/>
        <item m="1" x="42"/>
        <item m="1" x="39"/>
        <item m="1" x="32"/>
        <item m="1" x="17"/>
        <item m="1" x="28"/>
        <item m="1" x="19"/>
        <item m="1" x="14"/>
        <item m="1" x="8"/>
        <item m="1" x="18"/>
        <item m="1" x="10"/>
        <item m="1" x="24"/>
        <item m="1" x="38"/>
        <item m="1" x="34"/>
        <item m="1" x="25"/>
        <item m="1" x="31"/>
        <item m="1" x="26"/>
        <item m="1" x="4"/>
        <item m="1" x="33"/>
        <item m="1" x="41"/>
        <item m="1" x="6"/>
        <item m="1" x="47"/>
        <item m="1" x="45"/>
        <item m="1" x="20"/>
        <item m="1" x="21"/>
        <item m="1" x="9"/>
        <item m="1" x="22"/>
        <item m="1" x="29"/>
        <item m="1" x="43"/>
        <item m="1" x="46"/>
        <item m="1" x="13"/>
        <item x="1"/>
        <item x="2"/>
        <item x="3"/>
        <item t="default"/>
      </items>
    </pivotField>
    <pivotField dataField="1" showAll="0"/>
    <pivotField showAll="0">
      <items count="22">
        <item x="1"/>
        <item x="3"/>
        <item x="0"/>
        <item x="4"/>
        <item x="5"/>
        <item x="6"/>
        <item x="7"/>
        <item x="8"/>
        <item x="10"/>
        <item x="9"/>
        <item x="11"/>
        <item x="17"/>
        <item x="19"/>
        <item x="20"/>
        <item x="12"/>
        <item x="18"/>
        <item x="13"/>
        <item x="15"/>
        <item x="16"/>
        <item x="14"/>
        <item x="2"/>
        <item t="default"/>
      </items>
    </pivotField>
    <pivotField dataField="1" numFmtId="165" showAll="0"/>
    <pivotField dataField="1" numFmtId="165" showAll="0"/>
    <pivotField dataField="1" showAll="0"/>
    <pivotField dataField="1" showAll="0"/>
    <pivotField dataField="1" showAll="0"/>
    <pivotField dataField="1" showAll="0"/>
  </pivotFields>
  <rowFields count="2">
    <field x="7"/>
    <field x="4"/>
  </rowFields>
  <rowItems count="12">
    <i>
      <x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</rowItems>
  <colFields count="2">
    <field x="-2"/>
    <field x="3"/>
  </colFields>
  <colItems count="35">
    <i>
      <x/>
      <x/>
    </i>
    <i r="1">
      <x v="1"/>
    </i>
    <i r="1">
      <x v="2"/>
    </i>
    <i r="1">
      <x v="3"/>
    </i>
    <i r="1">
      <x v="4"/>
    </i>
    <i i="1">
      <x v="1"/>
      <x/>
    </i>
    <i r="1" i="1">
      <x v="1"/>
    </i>
    <i r="1" i="1">
      <x v="2"/>
    </i>
    <i r="1" i="1">
      <x v="3"/>
    </i>
    <i r="1" i="1">
      <x v="4"/>
    </i>
    <i i="2">
      <x v="2"/>
      <x/>
    </i>
    <i r="1" i="2">
      <x v="1"/>
    </i>
    <i r="1" i="2">
      <x v="2"/>
    </i>
    <i r="1" i="2">
      <x v="3"/>
    </i>
    <i r="1" i="2">
      <x v="4"/>
    </i>
    <i i="3">
      <x v="3"/>
      <x/>
    </i>
    <i r="1" i="3">
      <x v="1"/>
    </i>
    <i r="1" i="3">
      <x v="2"/>
    </i>
    <i r="1" i="3">
      <x v="3"/>
    </i>
    <i r="1" i="3">
      <x v="4"/>
    </i>
    <i i="4">
      <x v="4"/>
      <x/>
    </i>
    <i r="1" i="4">
      <x v="1"/>
    </i>
    <i r="1" i="4">
      <x v="2"/>
    </i>
    <i r="1" i="4">
      <x v="3"/>
    </i>
    <i r="1" i="4">
      <x v="4"/>
    </i>
    <i i="5">
      <x v="5"/>
      <x/>
    </i>
    <i r="1" i="5">
      <x v="1"/>
    </i>
    <i r="1" i="5">
      <x v="2"/>
    </i>
    <i r="1" i="5">
      <x v="3"/>
    </i>
    <i r="1" i="5">
      <x v="4"/>
    </i>
    <i i="6">
      <x v="6"/>
      <x/>
    </i>
    <i r="1" i="6">
      <x v="1"/>
    </i>
    <i r="1" i="6">
      <x v="2"/>
    </i>
    <i r="1" i="6">
      <x v="3"/>
    </i>
    <i r="1" i="6">
      <x v="4"/>
    </i>
  </colItems>
  <dataFields count="7">
    <dataField name="StdDev pH" fld="8" subtotal="stdDev" baseField="0" baseItem="0"/>
    <dataField name="StdDev N2O" fld="10" subtotal="stdDev" baseField="0" baseItem="0"/>
    <dataField name="CO2 evolved" fld="11" subtotal="average" baseField="0" baseItem="0"/>
    <dataField name="StdDev of NO3-" fld="12" subtotal="stdDev" baseField="0" baseItem="0"/>
    <dataField name="StdDev of NH4" fld="13" subtotal="stdDev" baseField="0" baseItem="0"/>
    <dataField name="StdDev of DON" fld="14" subtotal="stdDev" baseField="0" baseItem="0"/>
    <dataField name="StdDev of DOC" fld="15" subtotal="stdDev" baseField="0" baseItem="0" numFmtId="165"/>
  </dataFields>
  <formats count="6">
    <format dxfId="15">
      <pivotArea type="all" dataOnly="0" outline="0" fieldPosition="0"/>
    </format>
    <format dxfId="14">
      <pivotArea outline="0" fieldPosition="0">
        <references count="1">
          <reference field="4294967294" count="1">
            <x v="6"/>
          </reference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4294967294" count="6">
            <x v="1"/>
            <x v="2"/>
            <x v="3"/>
            <x v="4"/>
            <x v="5"/>
            <x v="6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field="-2" type="button" dataOnly="0" labelOnly="1" outline="0" axis="axisCol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Q1:W13" firstHeaderRow="1" firstDataRow="2" firstDataCol="1"/>
  <pivotFields count="7">
    <pivotField showAll="0"/>
    <pivotField axis="axisCol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2">
        <item x="1"/>
        <item x="0"/>
      </items>
    </pivotField>
    <pivotField name="OH added" axis="axisRow" showAll="0" defaultSubtotal="0">
      <items count="4">
        <item x="0"/>
        <item x="1"/>
        <item x="2"/>
        <item x="3"/>
      </items>
    </pivotField>
    <pivotField numFmtId="2" showAll="0"/>
    <pivotField numFmtId="2" showAll="0"/>
    <pivotField dataField="1" numFmtId="2" showAll="0"/>
  </pivotFields>
  <rowFields count="2">
    <field x="2"/>
    <field x="3"/>
  </rowFields>
  <rowItems count="1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Average of N2O-N240" fld="6" subtotal="average" baseField="0" baseItem="0"/>
  </dataFields>
  <formats count="3">
    <format dxfId="2">
      <pivotArea collapsedLevelsAreSubtotals="1" fieldPosition="0">
        <references count="3">
          <reference field="1" count="0" selected="0"/>
          <reference field="2" count="1" selected="0">
            <x v="0"/>
          </reference>
          <reference field="3" count="0"/>
        </references>
      </pivotArea>
    </format>
    <format dxfId="1">
      <pivotArea collapsedLevelsAreSubtotals="1" fieldPosition="0">
        <references count="2">
          <reference field="1" count="0" selected="0"/>
          <reference field="2" count="1">
            <x v="1"/>
          </reference>
        </references>
      </pivotArea>
    </format>
    <format dxfId="0">
      <pivotArea collapsedLevelsAreSubtotals="1" fieldPosition="0">
        <references count="3">
          <reference field="1" count="0" selected="0"/>
          <reference field="2" count="1" selected="0">
            <x v="1"/>
          </reference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Values" updatedVersion="3" minRefreshableVersion="3" showCalcMbrs="0" useAutoFormatting="1" rowGrandTotals="0" colGrandTotals="0" itemPrintTitles="1" createdVersion="3" indent="0" outline="1" outlineData="1" multipleFieldFilters="0">
  <location ref="J1:O12" firstHeaderRow="1" firstDataRow="2" firstDataCol="1"/>
  <pivotFields count="7"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 defaultSubtotal="0">
      <items count="2">
        <item x="0"/>
        <item x="1"/>
      </items>
    </pivotField>
    <pivotField name="OH added" axis="axisRow" showAll="0">
      <items count="5">
        <item x="0"/>
        <item x="1"/>
        <item x="2"/>
        <item x="3"/>
        <item t="default"/>
      </items>
    </pivotField>
    <pivotField numFmtId="2" showAll="0" defaultSubtotal="0"/>
    <pivotField dataField="1" numFmtId="2" showAll="0"/>
  </pivotFields>
  <rowFields count="2">
    <field x="3"/>
    <field x="4"/>
  </rowFields>
  <rowItems count="10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1">
    <dataField name="Average of Rate of N2O evolved" fld="6" subtotal="average" baseField="0" baseItem="0"/>
  </dataFields>
  <formats count="7">
    <format dxfId="9">
      <pivotArea collapsedLevelsAreSubtotals="1" fieldPosition="0">
        <references count="2">
          <reference field="3" count="1" selected="0">
            <x v="1"/>
          </reference>
          <reference field="4" count="0"/>
        </references>
      </pivotArea>
    </format>
    <format dxfId="8">
      <pivotArea collapsedLevelsAreSubtotals="1" fieldPosition="0">
        <references count="1">
          <reference field="3" count="1">
            <x v="0"/>
          </reference>
        </references>
      </pivotArea>
    </format>
    <format dxfId="7">
      <pivotArea collapsedLevelsAreSubtotals="1" fieldPosition="0">
        <references count="2">
          <reference field="3" count="1" selected="0">
            <x v="0"/>
          </reference>
          <reference field="4" count="0"/>
        </references>
      </pivotArea>
    </format>
    <format dxfId="6">
      <pivotArea type="origin" dataOnly="0" labelOnly="1" outline="0" fieldPosition="0"/>
    </format>
    <format dxfId="5">
      <pivotArea field="2" type="button" dataOnly="0" labelOnly="1" outline="0" axis="axisCol" fieldPosition="0"/>
    </format>
    <format dxfId="4">
      <pivotArea field="3" type="button" dataOnly="0" labelOnly="1" outline="0" axis="axisRow" fieldPosition="0"/>
    </format>
    <format dxfId="3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47"/>
  <sheetViews>
    <sheetView workbookViewId="0">
      <pane ySplit="7" topLeftCell="A11" activePane="bottomLeft" state="frozen"/>
      <selection pane="bottomLeft" activeCell="A7" sqref="A7:C247"/>
    </sheetView>
  </sheetViews>
  <sheetFormatPr defaultColWidth="8.85546875" defaultRowHeight="12.75"/>
  <cols>
    <col min="1" max="2" width="11.42578125" style="107" bestFit="1" customWidth="1"/>
    <col min="3" max="3" width="7" style="107" bestFit="1" customWidth="1"/>
    <col min="4" max="4" width="9.42578125" style="107" bestFit="1" customWidth="1"/>
    <col min="5" max="5" width="8.85546875" style="107" bestFit="1" customWidth="1"/>
    <col min="6" max="6" width="10.85546875" style="107" bestFit="1" customWidth="1"/>
    <col min="7" max="7" width="5.42578125" style="107" bestFit="1" customWidth="1"/>
    <col min="8" max="8" width="9.140625" style="107" bestFit="1" customWidth="1"/>
    <col min="9" max="9" width="10.42578125" style="107" bestFit="1" customWidth="1"/>
    <col min="10" max="10" width="6" style="107" bestFit="1" customWidth="1"/>
    <col min="11" max="11" width="14" style="107" bestFit="1" customWidth="1"/>
    <col min="12" max="12" width="8.28515625" style="107" bestFit="1" customWidth="1"/>
    <col min="13" max="13" width="13.7109375" style="107" bestFit="1" customWidth="1"/>
    <col min="14" max="14" width="18.42578125" style="107" bestFit="1" customWidth="1"/>
    <col min="15" max="17" width="12.85546875" style="107" customWidth="1"/>
    <col min="18" max="16384" width="8.85546875" style="107"/>
  </cols>
  <sheetData>
    <row r="1" spans="1:17" ht="39" thickBot="1">
      <c r="A1" s="104" t="s">
        <v>52</v>
      </c>
      <c r="B1" s="104" t="s">
        <v>53</v>
      </c>
      <c r="C1" s="105" t="s">
        <v>54</v>
      </c>
      <c r="D1" s="1" t="s">
        <v>55</v>
      </c>
      <c r="E1" s="1" t="s">
        <v>56</v>
      </c>
      <c r="F1" s="106" t="s">
        <v>57</v>
      </c>
      <c r="G1" s="106" t="s">
        <v>58</v>
      </c>
    </row>
    <row r="2" spans="1:17" ht="13.5" thickTop="1">
      <c r="A2" s="108">
        <v>14.214</v>
      </c>
      <c r="B2" s="108">
        <v>11.057</v>
      </c>
      <c r="C2" s="42">
        <f>A2/B2</f>
        <v>1.2855204847607851</v>
      </c>
      <c r="D2" s="6">
        <f>((A2-B2)/B2)*100</f>
        <v>28.5520484760785</v>
      </c>
      <c r="E2" s="6">
        <f>(D2/100*25)+25</f>
        <v>32.138012119019628</v>
      </c>
      <c r="F2" s="109">
        <f>E2/C2</f>
        <v>25</v>
      </c>
      <c r="G2" s="110">
        <f>E2-F2</f>
        <v>7.1380121190196277</v>
      </c>
    </row>
    <row r="3" spans="1:17">
      <c r="A3" s="108">
        <v>15.417</v>
      </c>
      <c r="B3" s="108">
        <v>12.099</v>
      </c>
      <c r="C3" s="42">
        <f>A3/B3</f>
        <v>1.2742375402925861</v>
      </c>
      <c r="D3" s="6">
        <f>((A3-B3)/B3)*100</f>
        <v>27.423754029258614</v>
      </c>
      <c r="E3" s="6">
        <f>(D3/100*25)+25</f>
        <v>31.855938507314654</v>
      </c>
      <c r="F3" s="109">
        <f>E3/C3</f>
        <v>25.000000000000004</v>
      </c>
      <c r="G3" s="110">
        <f>E3-F3</f>
        <v>6.8559385073146508</v>
      </c>
    </row>
    <row r="4" spans="1:17">
      <c r="A4" s="108">
        <v>13.717000000000001</v>
      </c>
      <c r="B4" s="108">
        <v>10.731</v>
      </c>
      <c r="C4" s="42">
        <f>A4/B4</f>
        <v>1.2782592489050415</v>
      </c>
      <c r="D4" s="6">
        <f>((A4-B4)/B4)*100</f>
        <v>27.825924890504155</v>
      </c>
      <c r="E4" s="6">
        <f>(D4/100*25)+25</f>
        <v>31.956481222626039</v>
      </c>
      <c r="F4" s="109">
        <f>E4/C4</f>
        <v>25</v>
      </c>
      <c r="G4" s="110">
        <f>E4-F4</f>
        <v>6.9564812226260386</v>
      </c>
    </row>
    <row r="5" spans="1:17">
      <c r="B5" s="108"/>
      <c r="C5" s="42">
        <f>AVERAGE(C2:C4)</f>
        <v>1.2793390913194711</v>
      </c>
      <c r="D5" s="6"/>
      <c r="E5" s="6">
        <f>AVERAGE(E2:E3)</f>
        <v>31.996975313167141</v>
      </c>
      <c r="F5" s="109"/>
      <c r="G5" s="110"/>
    </row>
    <row r="7" spans="1:17" ht="38.25">
      <c r="A7" s="9" t="s">
        <v>59</v>
      </c>
      <c r="B7" s="10" t="s">
        <v>60</v>
      </c>
      <c r="C7" s="11" t="s">
        <v>61</v>
      </c>
      <c r="D7" s="11" t="s">
        <v>79</v>
      </c>
      <c r="E7" s="11" t="s">
        <v>80</v>
      </c>
      <c r="F7" s="11" t="s">
        <v>62</v>
      </c>
      <c r="G7" s="11" t="s">
        <v>63</v>
      </c>
      <c r="H7" s="10" t="s">
        <v>64</v>
      </c>
      <c r="I7" s="10" t="s">
        <v>65</v>
      </c>
      <c r="J7" s="10" t="s">
        <v>66</v>
      </c>
      <c r="K7" s="12" t="s">
        <v>67</v>
      </c>
      <c r="L7" s="10" t="s">
        <v>93</v>
      </c>
      <c r="M7" s="10" t="s">
        <v>92</v>
      </c>
      <c r="N7" s="10" t="s">
        <v>167</v>
      </c>
      <c r="O7" s="15"/>
      <c r="P7" s="15"/>
      <c r="Q7" s="15"/>
    </row>
    <row r="8" spans="1:17">
      <c r="A8" s="14">
        <v>1</v>
      </c>
      <c r="B8" s="14" t="s">
        <v>74</v>
      </c>
      <c r="C8" s="15" t="s">
        <v>75</v>
      </c>
      <c r="D8" s="27">
        <v>16</v>
      </c>
      <c r="E8" s="27" t="s">
        <v>81</v>
      </c>
      <c r="F8" s="16">
        <v>32.000999999999998</v>
      </c>
      <c r="G8" s="17">
        <f>F8/AVERAGE($C$2:$C$3)</f>
        <v>25.003144583818834</v>
      </c>
      <c r="H8" s="15">
        <v>0</v>
      </c>
      <c r="I8" s="18">
        <v>10.3</v>
      </c>
      <c r="J8" s="18">
        <f>25-H8-I8- (AVERAGE($G$2:$G$3))</f>
        <v>7.70302468683286</v>
      </c>
      <c r="K8" s="19">
        <f t="shared" ref="K8:K26" si="0">H8*1/G8*100</f>
        <v>0</v>
      </c>
      <c r="L8" s="15">
        <v>27.184999999999999</v>
      </c>
      <c r="M8" s="15">
        <v>70.290000000000006</v>
      </c>
      <c r="N8" s="15">
        <v>46.95</v>
      </c>
      <c r="O8" s="15"/>
      <c r="P8" s="15"/>
      <c r="Q8" s="15"/>
    </row>
    <row r="9" spans="1:17">
      <c r="A9" s="14">
        <v>2</v>
      </c>
      <c r="B9" s="14" t="s">
        <v>74</v>
      </c>
      <c r="C9" s="15" t="s">
        <v>76</v>
      </c>
      <c r="D9" s="27">
        <v>16</v>
      </c>
      <c r="E9" s="27" t="s">
        <v>81</v>
      </c>
      <c r="F9" s="16">
        <v>32.003</v>
      </c>
      <c r="G9" s="17">
        <f t="shared" ref="G9:G72" si="1">F9/AVERAGE($C$2:$C$3)</f>
        <v>25.004707231522584</v>
      </c>
      <c r="H9" s="15">
        <v>0</v>
      </c>
      <c r="I9" s="18">
        <v>10.3</v>
      </c>
      <c r="J9" s="18">
        <f t="shared" ref="J9:J11" si="2">25-H9-I9- (AVERAGE($G$2:$G$3))</f>
        <v>7.70302468683286</v>
      </c>
      <c r="K9" s="19">
        <f t="shared" si="0"/>
        <v>0</v>
      </c>
      <c r="L9" s="15">
        <v>28.812999999999999</v>
      </c>
      <c r="M9" s="15">
        <v>71.02</v>
      </c>
      <c r="N9" s="15">
        <v>48.37</v>
      </c>
      <c r="O9" s="15"/>
      <c r="P9" s="15"/>
      <c r="Q9" s="15"/>
    </row>
    <row r="10" spans="1:17">
      <c r="A10" s="14">
        <v>3</v>
      </c>
      <c r="B10" s="14" t="s">
        <v>74</v>
      </c>
      <c r="C10" s="15" t="s">
        <v>77</v>
      </c>
      <c r="D10" s="27">
        <v>16</v>
      </c>
      <c r="E10" s="27" t="s">
        <v>81</v>
      </c>
      <c r="F10" s="16">
        <v>31.997</v>
      </c>
      <c r="G10" s="17">
        <f t="shared" si="1"/>
        <v>25.000019288411337</v>
      </c>
      <c r="H10" s="15">
        <v>0</v>
      </c>
      <c r="I10" s="18">
        <v>10.3</v>
      </c>
      <c r="J10" s="18">
        <f t="shared" si="2"/>
        <v>7.70302468683286</v>
      </c>
      <c r="K10" s="19">
        <f t="shared" si="0"/>
        <v>0</v>
      </c>
      <c r="L10" s="15">
        <v>28.681999999999999</v>
      </c>
      <c r="M10" s="107">
        <v>71.02</v>
      </c>
      <c r="N10" s="15">
        <v>47.53</v>
      </c>
      <c r="O10" s="15"/>
      <c r="P10" s="15"/>
      <c r="Q10" s="15"/>
    </row>
    <row r="11" spans="1:17">
      <c r="A11" s="14">
        <v>4</v>
      </c>
      <c r="B11" s="14" t="s">
        <v>74</v>
      </c>
      <c r="C11" s="15" t="s">
        <v>78</v>
      </c>
      <c r="D11" s="27">
        <v>16</v>
      </c>
      <c r="E11" s="27" t="s">
        <v>81</v>
      </c>
      <c r="F11" s="16">
        <v>31.997</v>
      </c>
      <c r="G11" s="17">
        <f t="shared" si="1"/>
        <v>25.000019288411337</v>
      </c>
      <c r="H11" s="15">
        <v>0</v>
      </c>
      <c r="I11" s="18">
        <v>10.3</v>
      </c>
      <c r="J11" s="18">
        <f t="shared" si="2"/>
        <v>7.70302468683286</v>
      </c>
      <c r="K11" s="19">
        <f t="shared" si="0"/>
        <v>0</v>
      </c>
      <c r="L11" s="15">
        <v>27.308</v>
      </c>
      <c r="M11" s="15">
        <v>64.81</v>
      </c>
      <c r="N11" s="15">
        <v>46.27</v>
      </c>
      <c r="O11" s="15"/>
      <c r="P11" s="15"/>
      <c r="Q11" s="15"/>
    </row>
    <row r="12" spans="1:17">
      <c r="A12" s="14">
        <v>5</v>
      </c>
      <c r="B12" s="14" t="s">
        <v>74</v>
      </c>
      <c r="C12" s="15" t="s">
        <v>83</v>
      </c>
      <c r="D12" s="27">
        <v>16</v>
      </c>
      <c r="E12" s="27" t="s">
        <v>81</v>
      </c>
      <c r="F12" s="16">
        <v>32.008000000000003</v>
      </c>
      <c r="G12" s="17">
        <f t="shared" si="1"/>
        <v>25.008613850781956</v>
      </c>
      <c r="H12" s="15">
        <v>0</v>
      </c>
      <c r="I12" s="18">
        <v>10.3</v>
      </c>
      <c r="J12" s="18">
        <f t="shared" ref="J12:J13" si="3">25-H12-I12- (AVERAGE($G$2:$G$3))</f>
        <v>7.70302468683286</v>
      </c>
      <c r="K12" s="19">
        <f t="shared" ref="K12:K13" si="4">H12*1/G12*100</f>
        <v>0</v>
      </c>
      <c r="L12" s="15">
        <v>27.221</v>
      </c>
      <c r="M12" s="15">
        <v>63.86</v>
      </c>
      <c r="N12" s="15">
        <v>45.69</v>
      </c>
      <c r="O12" s="15"/>
      <c r="P12" s="15"/>
      <c r="Q12" s="15"/>
    </row>
    <row r="13" spans="1:17">
      <c r="A13" s="14">
        <v>6</v>
      </c>
      <c r="B13" s="14" t="s">
        <v>74</v>
      </c>
      <c r="C13" s="15" t="s">
        <v>84</v>
      </c>
      <c r="D13" s="27">
        <v>16</v>
      </c>
      <c r="E13" s="27" t="s">
        <v>81</v>
      </c>
      <c r="F13" s="16">
        <v>31.997</v>
      </c>
      <c r="G13" s="17">
        <f t="shared" si="1"/>
        <v>25.000019288411337</v>
      </c>
      <c r="H13" s="15">
        <v>0</v>
      </c>
      <c r="I13" s="18">
        <v>10.3</v>
      </c>
      <c r="J13" s="18">
        <f t="shared" si="3"/>
        <v>7.70302468683286</v>
      </c>
      <c r="K13" s="19">
        <f t="shared" si="4"/>
        <v>0</v>
      </c>
      <c r="L13" s="15"/>
      <c r="M13" s="15"/>
      <c r="N13" s="15"/>
      <c r="O13" s="15"/>
      <c r="P13" s="15"/>
      <c r="Q13" s="15"/>
    </row>
    <row r="14" spans="1:17">
      <c r="A14" s="14">
        <v>7</v>
      </c>
      <c r="B14" s="14" t="s">
        <v>74</v>
      </c>
      <c r="C14" s="15" t="s">
        <v>75</v>
      </c>
      <c r="D14" s="27">
        <v>16</v>
      </c>
      <c r="E14" s="27" t="s">
        <v>81</v>
      </c>
      <c r="F14" s="16">
        <v>31.997</v>
      </c>
      <c r="G14" s="17">
        <f t="shared" si="1"/>
        <v>25.000019288411337</v>
      </c>
      <c r="H14" s="15">
        <v>1.5</v>
      </c>
      <c r="I14" s="18">
        <v>8.3000000000000007</v>
      </c>
      <c r="J14" s="18">
        <f>25-H14-I14- (AVERAGE($G$2:$G$3))</f>
        <v>8.20302468683286</v>
      </c>
      <c r="K14" s="19">
        <f t="shared" si="0"/>
        <v>5.9999953707848501</v>
      </c>
      <c r="L14" s="15">
        <v>27.591000000000001</v>
      </c>
      <c r="M14" s="15">
        <v>69.55</v>
      </c>
      <c r="N14" s="15">
        <v>45.91</v>
      </c>
      <c r="O14" s="15"/>
      <c r="P14" s="15"/>
      <c r="Q14" s="15"/>
    </row>
    <row r="15" spans="1:17">
      <c r="A15" s="14">
        <v>8</v>
      </c>
      <c r="B15" s="14" t="s">
        <v>74</v>
      </c>
      <c r="C15" s="15" t="s">
        <v>76</v>
      </c>
      <c r="D15" s="27">
        <v>16</v>
      </c>
      <c r="E15" s="27" t="s">
        <v>81</v>
      </c>
      <c r="F15" s="16">
        <v>32.003999999999998</v>
      </c>
      <c r="G15" s="17">
        <f t="shared" si="1"/>
        <v>25.005488555374455</v>
      </c>
      <c r="H15" s="15">
        <v>1.5</v>
      </c>
      <c r="I15" s="18">
        <v>8.3000000000000007</v>
      </c>
      <c r="J15" s="18">
        <f t="shared" ref="J15:J17" si="5">25-H15-I15- (AVERAGE($G$2:$G$3))</f>
        <v>8.20302468683286</v>
      </c>
      <c r="K15" s="19">
        <f t="shared" ref="K15:K17" si="6">H15*1/G15*100</f>
        <v>5.9986830358393597</v>
      </c>
      <c r="L15" s="15">
        <v>27.486000000000001</v>
      </c>
      <c r="M15" s="15">
        <v>69.17</v>
      </c>
      <c r="N15" s="15">
        <v>45.29</v>
      </c>
      <c r="O15" s="15"/>
      <c r="P15" s="15"/>
      <c r="Q15" s="15"/>
    </row>
    <row r="16" spans="1:17">
      <c r="A16" s="14">
        <v>9</v>
      </c>
      <c r="B16" s="14" t="s">
        <v>74</v>
      </c>
      <c r="C16" s="15" t="s">
        <v>77</v>
      </c>
      <c r="D16" s="27">
        <v>16</v>
      </c>
      <c r="E16" s="27" t="s">
        <v>81</v>
      </c>
      <c r="F16" s="16">
        <v>32.01</v>
      </c>
      <c r="G16" s="17">
        <f t="shared" si="1"/>
        <v>25.010176498485698</v>
      </c>
      <c r="H16" s="15">
        <v>1.5</v>
      </c>
      <c r="I16" s="18">
        <v>8.3000000000000007</v>
      </c>
      <c r="J16" s="18">
        <f t="shared" si="5"/>
        <v>8.20302468683286</v>
      </c>
      <c r="K16" s="19">
        <f t="shared" si="6"/>
        <v>5.997558634145669</v>
      </c>
      <c r="L16" s="15">
        <v>27.047000000000001</v>
      </c>
      <c r="M16" s="15">
        <v>67.97</v>
      </c>
      <c r="N16" s="15">
        <v>44.66</v>
      </c>
      <c r="O16" s="15"/>
      <c r="P16" s="15"/>
      <c r="Q16" s="15"/>
    </row>
    <row r="17" spans="1:17">
      <c r="A17" s="14">
        <v>10</v>
      </c>
      <c r="B17" s="14" t="s">
        <v>74</v>
      </c>
      <c r="C17" s="15" t="s">
        <v>78</v>
      </c>
      <c r="D17" s="27">
        <v>16</v>
      </c>
      <c r="E17" s="27" t="s">
        <v>81</v>
      </c>
      <c r="F17" s="16">
        <v>31.998999999999999</v>
      </c>
      <c r="G17" s="17">
        <f t="shared" si="1"/>
        <v>25.001581936115088</v>
      </c>
      <c r="H17" s="15">
        <v>1.5</v>
      </c>
      <c r="I17" s="18">
        <v>8.3000000000000007</v>
      </c>
      <c r="J17" s="18">
        <f t="shared" si="5"/>
        <v>8.20302468683286</v>
      </c>
      <c r="K17" s="19">
        <f t="shared" si="6"/>
        <v>5.9996203593550685</v>
      </c>
      <c r="L17" s="15">
        <v>27.061</v>
      </c>
      <c r="M17" s="15">
        <v>65.27</v>
      </c>
      <c r="N17" s="15">
        <v>46.79</v>
      </c>
      <c r="O17" s="15"/>
      <c r="P17" s="15"/>
      <c r="Q17" s="15"/>
    </row>
    <row r="18" spans="1:17">
      <c r="A18" s="14">
        <v>11</v>
      </c>
      <c r="B18" s="14" t="s">
        <v>74</v>
      </c>
      <c r="C18" s="15" t="s">
        <v>83</v>
      </c>
      <c r="D18" s="27">
        <v>16</v>
      </c>
      <c r="E18" s="27" t="s">
        <v>81</v>
      </c>
      <c r="F18" s="16">
        <v>32.003</v>
      </c>
      <c r="G18" s="17">
        <f t="shared" si="1"/>
        <v>25.004707231522584</v>
      </c>
      <c r="H18" s="15">
        <v>1.5</v>
      </c>
      <c r="I18" s="18">
        <v>8.3000000000000007</v>
      </c>
      <c r="J18" s="18">
        <f t="shared" ref="J18:J19" si="7">25-H18-I18- (AVERAGE($G$2:$G$3))</f>
        <v>8.20302468683286</v>
      </c>
      <c r="K18" s="19">
        <f t="shared" ref="K18:K19" si="8">H18*1/G18*100</f>
        <v>5.9988704771116099</v>
      </c>
      <c r="L18" s="15">
        <v>27.123999999999999</v>
      </c>
      <c r="M18" s="15">
        <v>63.38</v>
      </c>
      <c r="N18" s="15">
        <v>45.26</v>
      </c>
      <c r="O18" s="15"/>
      <c r="P18" s="15"/>
      <c r="Q18" s="15"/>
    </row>
    <row r="19" spans="1:17">
      <c r="A19" s="14">
        <v>12</v>
      </c>
      <c r="B19" s="14" t="s">
        <v>74</v>
      </c>
      <c r="C19" s="15" t="s">
        <v>84</v>
      </c>
      <c r="D19" s="27">
        <v>16</v>
      </c>
      <c r="E19" s="27" t="s">
        <v>81</v>
      </c>
      <c r="F19" s="16">
        <v>32.008000000000003</v>
      </c>
      <c r="G19" s="17">
        <f t="shared" si="1"/>
        <v>25.008613850781956</v>
      </c>
      <c r="H19" s="15">
        <v>1.5</v>
      </c>
      <c r="I19" s="18">
        <v>8.3000000000000007</v>
      </c>
      <c r="J19" s="18">
        <f t="shared" si="7"/>
        <v>8.20302468683286</v>
      </c>
      <c r="K19" s="19">
        <f t="shared" si="8"/>
        <v>5.9979333878718704</v>
      </c>
      <c r="L19" s="15"/>
      <c r="M19" s="15"/>
      <c r="N19" s="15"/>
      <c r="O19" s="15"/>
      <c r="P19" s="15"/>
      <c r="Q19" s="15"/>
    </row>
    <row r="20" spans="1:17">
      <c r="A20" s="14">
        <v>13</v>
      </c>
      <c r="B20" s="14" t="s">
        <v>74</v>
      </c>
      <c r="C20" s="15" t="s">
        <v>75</v>
      </c>
      <c r="D20" s="27">
        <v>16</v>
      </c>
      <c r="E20" s="27" t="s">
        <v>81</v>
      </c>
      <c r="F20" s="16">
        <v>32</v>
      </c>
      <c r="G20" s="17">
        <f t="shared" si="1"/>
        <v>25.002363259966963</v>
      </c>
      <c r="H20" s="15">
        <v>4</v>
      </c>
      <c r="I20" s="18">
        <v>2.9</v>
      </c>
      <c r="J20" s="18">
        <f>25-H20-I20- (AVERAGE($G$2:$G$3))</f>
        <v>11.103024686832862</v>
      </c>
      <c r="K20" s="19">
        <f t="shared" si="0"/>
        <v>15.998487656583571</v>
      </c>
      <c r="L20" s="15">
        <v>26.974</v>
      </c>
      <c r="M20" s="15">
        <v>67.39</v>
      </c>
      <c r="N20" s="15">
        <v>44.35</v>
      </c>
      <c r="O20" s="15"/>
      <c r="P20" s="15"/>
      <c r="Q20" s="15"/>
    </row>
    <row r="21" spans="1:17">
      <c r="A21" s="14">
        <v>14</v>
      </c>
      <c r="B21" s="14" t="s">
        <v>74</v>
      </c>
      <c r="C21" s="15" t="s">
        <v>76</v>
      </c>
      <c r="D21" s="27">
        <v>16</v>
      </c>
      <c r="E21" s="27" t="s">
        <v>81</v>
      </c>
      <c r="F21" s="16">
        <v>31.995000000000001</v>
      </c>
      <c r="G21" s="17">
        <f t="shared" si="1"/>
        <v>24.998456640707591</v>
      </c>
      <c r="H21" s="15">
        <v>4</v>
      </c>
      <c r="I21" s="18">
        <v>2.9</v>
      </c>
      <c r="J21" s="18">
        <f t="shared" ref="J21:J23" si="9">25-H21-I21- (AVERAGE($G$2:$G$3))</f>
        <v>11.103024686832862</v>
      </c>
      <c r="K21" s="19">
        <f t="shared" ref="K21:K23" si="10">H21*1/G21*100</f>
        <v>16.000987810929029</v>
      </c>
      <c r="L21" s="15">
        <v>27.597000000000001</v>
      </c>
      <c r="M21" s="15">
        <v>68.31</v>
      </c>
      <c r="N21" s="15">
        <v>44.9</v>
      </c>
      <c r="O21" s="15"/>
      <c r="P21" s="15"/>
      <c r="Q21" s="15"/>
    </row>
    <row r="22" spans="1:17">
      <c r="A22" s="14">
        <v>15</v>
      </c>
      <c r="B22" s="14" t="s">
        <v>74</v>
      </c>
      <c r="C22" s="15" t="s">
        <v>77</v>
      </c>
      <c r="D22" s="27">
        <v>16</v>
      </c>
      <c r="E22" s="27" t="s">
        <v>81</v>
      </c>
      <c r="F22" s="16">
        <v>32.000999999999998</v>
      </c>
      <c r="G22" s="17">
        <f t="shared" si="1"/>
        <v>25.003144583818834</v>
      </c>
      <c r="H22" s="15">
        <v>4</v>
      </c>
      <c r="I22" s="18">
        <v>2.9</v>
      </c>
      <c r="J22" s="18">
        <f t="shared" si="9"/>
        <v>11.103024686832862</v>
      </c>
      <c r="K22" s="19">
        <f t="shared" si="10"/>
        <v>15.997987719467337</v>
      </c>
      <c r="L22" s="15">
        <v>27.757000000000001</v>
      </c>
      <c r="M22" s="15">
        <v>68.37</v>
      </c>
      <c r="N22" s="15">
        <v>44.43</v>
      </c>
      <c r="O22" s="15"/>
      <c r="P22" s="15"/>
      <c r="Q22" s="15"/>
    </row>
    <row r="23" spans="1:17">
      <c r="A23" s="14">
        <v>16</v>
      </c>
      <c r="B23" s="14" t="s">
        <v>74</v>
      </c>
      <c r="C23" s="15" t="s">
        <v>78</v>
      </c>
      <c r="D23" s="27">
        <v>16</v>
      </c>
      <c r="E23" s="27" t="s">
        <v>81</v>
      </c>
      <c r="F23" s="16">
        <v>31.997</v>
      </c>
      <c r="G23" s="17">
        <f t="shared" si="1"/>
        <v>25.000019288411337</v>
      </c>
      <c r="H23" s="15">
        <v>4</v>
      </c>
      <c r="I23" s="18">
        <v>2.9</v>
      </c>
      <c r="J23" s="18">
        <f t="shared" si="9"/>
        <v>11.103024686832862</v>
      </c>
      <c r="K23" s="19">
        <f t="shared" si="10"/>
        <v>15.999987655426267</v>
      </c>
      <c r="L23" s="15">
        <v>27.015999999999998</v>
      </c>
      <c r="M23" s="15">
        <v>63.18</v>
      </c>
      <c r="N23" s="15">
        <v>44.88</v>
      </c>
      <c r="O23" s="15"/>
      <c r="P23" s="15"/>
      <c r="Q23" s="15"/>
    </row>
    <row r="24" spans="1:17">
      <c r="A24" s="14">
        <v>17</v>
      </c>
      <c r="B24" s="14" t="s">
        <v>74</v>
      </c>
      <c r="C24" s="15" t="s">
        <v>83</v>
      </c>
      <c r="D24" s="27">
        <v>16</v>
      </c>
      <c r="E24" s="27" t="s">
        <v>81</v>
      </c>
      <c r="F24" s="16">
        <v>31.995000000000001</v>
      </c>
      <c r="G24" s="17">
        <f t="shared" si="1"/>
        <v>24.998456640707591</v>
      </c>
      <c r="H24" s="15">
        <v>4</v>
      </c>
      <c r="I24" s="18">
        <v>2.9</v>
      </c>
      <c r="J24" s="18">
        <f t="shared" ref="J24:J25" si="11">25-H24-I24- (AVERAGE($G$2:$G$3))</f>
        <v>11.103024686832862</v>
      </c>
      <c r="K24" s="19">
        <f t="shared" ref="K24:K25" si="12">H24*1/G24*100</f>
        <v>16.000987810929029</v>
      </c>
      <c r="L24" s="15">
        <v>27.789000000000001</v>
      </c>
      <c r="M24" s="15">
        <v>64.290000000000006</v>
      </c>
      <c r="N24" s="15">
        <v>45.92</v>
      </c>
      <c r="O24" s="15"/>
      <c r="P24" s="15"/>
      <c r="Q24" s="15"/>
    </row>
    <row r="25" spans="1:17">
      <c r="A25" s="14">
        <v>18</v>
      </c>
      <c r="B25" s="14" t="s">
        <v>74</v>
      </c>
      <c r="C25" s="15" t="s">
        <v>84</v>
      </c>
      <c r="D25" s="27">
        <v>16</v>
      </c>
      <c r="E25" s="27" t="s">
        <v>81</v>
      </c>
      <c r="F25" s="16">
        <v>32</v>
      </c>
      <c r="G25" s="17">
        <f t="shared" si="1"/>
        <v>25.002363259966963</v>
      </c>
      <c r="H25" s="15">
        <v>4</v>
      </c>
      <c r="I25" s="18">
        <v>2.9</v>
      </c>
      <c r="J25" s="18">
        <f t="shared" si="11"/>
        <v>11.103024686832862</v>
      </c>
      <c r="K25" s="19">
        <f t="shared" si="12"/>
        <v>15.998487656583571</v>
      </c>
      <c r="L25" s="15"/>
      <c r="M25" s="15"/>
      <c r="N25" s="15"/>
      <c r="O25" s="15"/>
      <c r="P25" s="15"/>
      <c r="Q25" s="15"/>
    </row>
    <row r="26" spans="1:17">
      <c r="A26" s="14">
        <v>19</v>
      </c>
      <c r="B26" s="14" t="s">
        <v>74</v>
      </c>
      <c r="C26" s="15" t="s">
        <v>75</v>
      </c>
      <c r="D26" s="27">
        <v>16</v>
      </c>
      <c r="E26" s="27" t="s">
        <v>81</v>
      </c>
      <c r="F26" s="16">
        <v>32.003999999999998</v>
      </c>
      <c r="G26" s="17">
        <f t="shared" si="1"/>
        <v>25.005488555374455</v>
      </c>
      <c r="H26" s="15">
        <v>5</v>
      </c>
      <c r="I26" s="18">
        <f t="shared" ref="I26:I29" si="13">((4.24-0.1641)*2.07)*($H$26-H26)/$H$26</f>
        <v>0</v>
      </c>
      <c r="J26" s="18">
        <f>25-H26-I26- (AVERAGE($G$2:$G$3))</f>
        <v>13.003024686832861</v>
      </c>
      <c r="K26" s="19">
        <f t="shared" si="0"/>
        <v>19.995610119464533</v>
      </c>
      <c r="L26" s="15">
        <v>27.927</v>
      </c>
      <c r="M26" s="15">
        <v>60.84</v>
      </c>
      <c r="N26" s="15">
        <v>40.17</v>
      </c>
      <c r="O26" s="15"/>
      <c r="P26" s="15"/>
      <c r="Q26" s="15"/>
    </row>
    <row r="27" spans="1:17">
      <c r="A27" s="14">
        <v>20</v>
      </c>
      <c r="B27" s="14" t="s">
        <v>74</v>
      </c>
      <c r="C27" s="15" t="s">
        <v>76</v>
      </c>
      <c r="D27" s="27">
        <v>16</v>
      </c>
      <c r="E27" s="27" t="s">
        <v>81</v>
      </c>
      <c r="F27" s="16">
        <v>32.002000000000002</v>
      </c>
      <c r="G27" s="17">
        <f t="shared" si="1"/>
        <v>25.003925907670713</v>
      </c>
      <c r="H27" s="15">
        <v>5</v>
      </c>
      <c r="I27" s="18">
        <f t="shared" si="13"/>
        <v>0</v>
      </c>
      <c r="J27" s="18">
        <f t="shared" ref="J27:J29" si="14">25-H27-I27- (AVERAGE($G$2:$G$3))</f>
        <v>13.003024686832861</v>
      </c>
      <c r="K27" s="19">
        <f t="shared" ref="K27:K29" si="15">H27*1/G27*100</f>
        <v>19.996859766994024</v>
      </c>
      <c r="L27" s="15">
        <v>27.54</v>
      </c>
      <c r="M27" s="15">
        <v>62.77</v>
      </c>
      <c r="N27" s="15">
        <v>42.09</v>
      </c>
      <c r="O27" s="15"/>
      <c r="P27" s="15"/>
      <c r="Q27" s="15"/>
    </row>
    <row r="28" spans="1:17">
      <c r="A28" s="14">
        <v>21</v>
      </c>
      <c r="B28" s="14" t="s">
        <v>74</v>
      </c>
      <c r="C28" s="15" t="s">
        <v>77</v>
      </c>
      <c r="D28" s="27">
        <v>16</v>
      </c>
      <c r="E28" s="27" t="s">
        <v>81</v>
      </c>
      <c r="F28" s="16">
        <v>31.995000000000001</v>
      </c>
      <c r="G28" s="17">
        <f t="shared" si="1"/>
        <v>24.998456640707591</v>
      </c>
      <c r="H28" s="15">
        <v>5</v>
      </c>
      <c r="I28" s="18">
        <f t="shared" si="13"/>
        <v>0</v>
      </c>
      <c r="J28" s="18">
        <f t="shared" si="14"/>
        <v>13.003024686832861</v>
      </c>
      <c r="K28" s="19">
        <f t="shared" si="15"/>
        <v>20.001234763661284</v>
      </c>
      <c r="L28" s="15">
        <v>27.739000000000001</v>
      </c>
      <c r="M28" s="15">
        <v>64.510000000000005</v>
      </c>
      <c r="N28" s="15">
        <v>42.79</v>
      </c>
      <c r="O28" s="15"/>
      <c r="P28" s="15"/>
      <c r="Q28" s="15"/>
    </row>
    <row r="29" spans="1:17">
      <c r="A29" s="14">
        <v>22</v>
      </c>
      <c r="B29" s="14" t="s">
        <v>74</v>
      </c>
      <c r="C29" s="15" t="s">
        <v>78</v>
      </c>
      <c r="D29" s="27">
        <v>16</v>
      </c>
      <c r="E29" s="27" t="s">
        <v>81</v>
      </c>
      <c r="F29" s="16">
        <v>32.005000000000003</v>
      </c>
      <c r="G29" s="17">
        <f t="shared" si="1"/>
        <v>25.006269879226334</v>
      </c>
      <c r="H29" s="15">
        <v>5</v>
      </c>
      <c r="I29" s="18">
        <f t="shared" si="13"/>
        <v>0</v>
      </c>
      <c r="J29" s="18">
        <f t="shared" si="14"/>
        <v>13.003024686832861</v>
      </c>
      <c r="K29" s="19">
        <f t="shared" si="15"/>
        <v>19.994985354267858</v>
      </c>
      <c r="L29" s="15">
        <v>27.65</v>
      </c>
      <c r="M29" s="15">
        <v>65.239999999999995</v>
      </c>
      <c r="N29" s="15">
        <v>46.55</v>
      </c>
      <c r="O29" s="15"/>
      <c r="P29" s="15"/>
      <c r="Q29" s="15"/>
    </row>
    <row r="30" spans="1:17">
      <c r="A30" s="14">
        <v>23</v>
      </c>
      <c r="B30" s="14" t="s">
        <v>74</v>
      </c>
      <c r="C30" s="15" t="s">
        <v>83</v>
      </c>
      <c r="D30" s="27">
        <v>16</v>
      </c>
      <c r="E30" s="27" t="s">
        <v>81</v>
      </c>
      <c r="F30" s="16">
        <v>31.992000000000001</v>
      </c>
      <c r="G30" s="17">
        <f t="shared" si="1"/>
        <v>24.996112669151969</v>
      </c>
      <c r="H30" s="15">
        <v>5</v>
      </c>
      <c r="I30" s="18">
        <f t="shared" ref="I30:I31" si="16">((4.24-0.1641)*2.07)*($H$26-H30)/$H$26</f>
        <v>0</v>
      </c>
      <c r="J30" s="18">
        <f t="shared" ref="J30:J31" si="17">25-H30-I30- (AVERAGE($G$2:$G$3))</f>
        <v>13.003024686832861</v>
      </c>
      <c r="K30" s="19">
        <f t="shared" ref="K30:K53" si="18">H30*1/G30*100</f>
        <v>20.003110348316543</v>
      </c>
      <c r="L30" s="15">
        <v>27.035</v>
      </c>
      <c r="M30" s="15">
        <v>63.63</v>
      </c>
      <c r="N30" s="15">
        <v>45.56</v>
      </c>
      <c r="O30" s="15"/>
      <c r="P30" s="15"/>
      <c r="Q30" s="15"/>
    </row>
    <row r="31" spans="1:17">
      <c r="A31" s="14">
        <v>24</v>
      </c>
      <c r="B31" s="14" t="s">
        <v>74</v>
      </c>
      <c r="C31" s="15" t="s">
        <v>84</v>
      </c>
      <c r="D31" s="27">
        <v>16</v>
      </c>
      <c r="E31" s="27" t="s">
        <v>81</v>
      </c>
      <c r="F31" s="16">
        <v>31.995000000000001</v>
      </c>
      <c r="G31" s="17">
        <f t="shared" si="1"/>
        <v>24.998456640707591</v>
      </c>
      <c r="H31" s="15">
        <v>5</v>
      </c>
      <c r="I31" s="18">
        <f t="shared" si="16"/>
        <v>0</v>
      </c>
      <c r="J31" s="18">
        <f t="shared" si="17"/>
        <v>13.003024686832861</v>
      </c>
      <c r="K31" s="19">
        <f t="shared" si="18"/>
        <v>20.001234763661284</v>
      </c>
      <c r="L31" s="15"/>
      <c r="M31" s="15"/>
      <c r="N31" s="15"/>
      <c r="O31" s="15"/>
      <c r="P31" s="15"/>
      <c r="Q31" s="15"/>
    </row>
    <row r="32" spans="1:17">
      <c r="A32" s="14">
        <v>25</v>
      </c>
      <c r="B32" s="14" t="s">
        <v>74</v>
      </c>
      <c r="C32" s="15" t="s">
        <v>75</v>
      </c>
      <c r="D32" s="27">
        <v>16</v>
      </c>
      <c r="E32" s="27" t="s">
        <v>82</v>
      </c>
      <c r="F32" s="16">
        <v>31.997</v>
      </c>
      <c r="G32" s="17">
        <f t="shared" si="1"/>
        <v>25.000019288411337</v>
      </c>
      <c r="H32" s="15">
        <v>0</v>
      </c>
      <c r="I32" s="18">
        <v>10.3</v>
      </c>
      <c r="J32" s="18">
        <f>25-H32-I32- (AVERAGE($G$2:$G$3))</f>
        <v>7.70302468683286</v>
      </c>
      <c r="K32" s="19">
        <f t="shared" si="18"/>
        <v>0</v>
      </c>
      <c r="L32" s="15">
        <v>27.036999999999999</v>
      </c>
      <c r="M32" s="15">
        <v>69.53</v>
      </c>
      <c r="N32" s="15">
        <v>46.66</v>
      </c>
      <c r="O32" s="15"/>
      <c r="P32" s="15"/>
      <c r="Q32" s="15"/>
    </row>
    <row r="33" spans="1:17">
      <c r="A33" s="14">
        <v>26</v>
      </c>
      <c r="B33" s="14" t="s">
        <v>74</v>
      </c>
      <c r="C33" s="15" t="s">
        <v>76</v>
      </c>
      <c r="D33" s="27">
        <v>16</v>
      </c>
      <c r="E33" s="27" t="s">
        <v>82</v>
      </c>
      <c r="F33" s="16">
        <v>32.006</v>
      </c>
      <c r="G33" s="17">
        <f t="shared" si="1"/>
        <v>25.007051203078206</v>
      </c>
      <c r="H33" s="15">
        <v>0</v>
      </c>
      <c r="I33" s="18">
        <v>10.3</v>
      </c>
      <c r="J33" s="18">
        <f t="shared" ref="J33:J37" si="19">25-H33-I33- (AVERAGE($G$2:$G$3))</f>
        <v>7.70302468683286</v>
      </c>
      <c r="K33" s="19">
        <f t="shared" si="18"/>
        <v>0</v>
      </c>
      <c r="L33" s="15">
        <v>28.013999999999999</v>
      </c>
      <c r="M33" s="15">
        <v>70.099999999999994</v>
      </c>
      <c r="N33" s="15">
        <v>47.52</v>
      </c>
      <c r="O33" s="15"/>
      <c r="P33" s="15"/>
      <c r="Q33" s="15"/>
    </row>
    <row r="34" spans="1:17">
      <c r="A34" s="14">
        <v>27</v>
      </c>
      <c r="B34" s="14" t="s">
        <v>74</v>
      </c>
      <c r="C34" s="15" t="s">
        <v>77</v>
      </c>
      <c r="D34" s="27">
        <v>16</v>
      </c>
      <c r="E34" s="27" t="s">
        <v>82</v>
      </c>
      <c r="F34" s="16">
        <v>31.992999999999999</v>
      </c>
      <c r="G34" s="17">
        <f t="shared" si="1"/>
        <v>24.996893993003841</v>
      </c>
      <c r="H34" s="15">
        <v>0</v>
      </c>
      <c r="I34" s="18">
        <v>10.3</v>
      </c>
      <c r="J34" s="18">
        <f t="shared" si="19"/>
        <v>7.70302468683286</v>
      </c>
      <c r="K34" s="19">
        <f t="shared" si="18"/>
        <v>0</v>
      </c>
      <c r="L34" s="15">
        <v>27.539000000000001</v>
      </c>
      <c r="M34" s="15">
        <v>69.34</v>
      </c>
      <c r="N34" s="15">
        <v>47.07</v>
      </c>
      <c r="O34" s="15"/>
      <c r="P34" s="15"/>
      <c r="Q34" s="15"/>
    </row>
    <row r="35" spans="1:17">
      <c r="A35" s="14">
        <v>28</v>
      </c>
      <c r="B35" s="14" t="s">
        <v>74</v>
      </c>
      <c r="C35" s="15" t="s">
        <v>78</v>
      </c>
      <c r="D35" s="27">
        <v>16</v>
      </c>
      <c r="E35" s="27" t="s">
        <v>82</v>
      </c>
      <c r="F35" s="16">
        <v>32.003</v>
      </c>
      <c r="G35" s="17">
        <f t="shared" si="1"/>
        <v>25.004707231522584</v>
      </c>
      <c r="H35" s="15">
        <v>0</v>
      </c>
      <c r="I35" s="18">
        <v>10.3</v>
      </c>
      <c r="J35" s="18">
        <f t="shared" si="19"/>
        <v>7.70302468683286</v>
      </c>
      <c r="K35" s="19">
        <f t="shared" si="18"/>
        <v>0</v>
      </c>
      <c r="L35" s="15">
        <v>27.599</v>
      </c>
      <c r="M35" s="15">
        <v>64.84</v>
      </c>
      <c r="N35" s="15">
        <v>46.53</v>
      </c>
      <c r="O35" s="15"/>
      <c r="P35" s="15"/>
      <c r="Q35" s="15"/>
    </row>
    <row r="36" spans="1:17">
      <c r="A36" s="14">
        <v>29</v>
      </c>
      <c r="B36" s="14" t="s">
        <v>74</v>
      </c>
      <c r="C36" s="15" t="s">
        <v>83</v>
      </c>
      <c r="D36" s="27">
        <v>16</v>
      </c>
      <c r="E36" s="27" t="s">
        <v>82</v>
      </c>
      <c r="F36" s="16">
        <v>32.003</v>
      </c>
      <c r="G36" s="17">
        <f t="shared" si="1"/>
        <v>25.004707231522584</v>
      </c>
      <c r="H36" s="15">
        <v>0</v>
      </c>
      <c r="I36" s="18">
        <v>10.3</v>
      </c>
      <c r="J36" s="18">
        <f t="shared" si="19"/>
        <v>7.70302468683286</v>
      </c>
      <c r="K36" s="19">
        <f t="shared" si="18"/>
        <v>0</v>
      </c>
      <c r="L36" s="15">
        <v>27.638000000000002</v>
      </c>
      <c r="M36" s="15">
        <v>64.28</v>
      </c>
      <c r="N36" s="15">
        <v>46.28</v>
      </c>
      <c r="O36" s="15"/>
      <c r="P36" s="15"/>
      <c r="Q36" s="15"/>
    </row>
    <row r="37" spans="1:17">
      <c r="A37" s="14">
        <v>30</v>
      </c>
      <c r="B37" s="14" t="s">
        <v>74</v>
      </c>
      <c r="C37" s="15" t="s">
        <v>84</v>
      </c>
      <c r="D37" s="27">
        <v>16</v>
      </c>
      <c r="E37" s="27" t="s">
        <v>82</v>
      </c>
      <c r="F37" s="16">
        <v>31.994</v>
      </c>
      <c r="G37" s="17">
        <f t="shared" si="1"/>
        <v>24.997675316855716</v>
      </c>
      <c r="H37" s="15">
        <v>0</v>
      </c>
      <c r="I37" s="18">
        <v>10.3</v>
      </c>
      <c r="J37" s="18">
        <f t="shared" si="19"/>
        <v>7.70302468683286</v>
      </c>
      <c r="K37" s="19">
        <f t="shared" si="18"/>
        <v>0</v>
      </c>
      <c r="L37" s="15"/>
      <c r="M37" s="15"/>
      <c r="N37" s="15"/>
      <c r="O37" s="15"/>
      <c r="P37" s="15"/>
      <c r="Q37" s="15"/>
    </row>
    <row r="38" spans="1:17">
      <c r="A38" s="14">
        <v>31</v>
      </c>
      <c r="B38" s="14" t="s">
        <v>74</v>
      </c>
      <c r="C38" s="15" t="s">
        <v>75</v>
      </c>
      <c r="D38" s="27">
        <v>16</v>
      </c>
      <c r="E38" s="27" t="s">
        <v>82</v>
      </c>
      <c r="F38" s="16">
        <v>32.000999999999998</v>
      </c>
      <c r="G38" s="17">
        <f t="shared" si="1"/>
        <v>25.003144583818834</v>
      </c>
      <c r="H38" s="15">
        <v>1.5</v>
      </c>
      <c r="I38" s="18">
        <v>8.3000000000000007</v>
      </c>
      <c r="J38" s="18">
        <f>25-H38-I38- (AVERAGE($G$2:$G$3))</f>
        <v>8.20302468683286</v>
      </c>
      <c r="K38" s="19">
        <f t="shared" si="18"/>
        <v>5.9992453948002522</v>
      </c>
      <c r="L38" s="15">
        <v>27.053999999999998</v>
      </c>
      <c r="M38" s="15">
        <v>64.5</v>
      </c>
      <c r="N38" s="15">
        <v>42.8</v>
      </c>
      <c r="O38" s="15"/>
      <c r="P38" s="15"/>
      <c r="Q38" s="15"/>
    </row>
    <row r="39" spans="1:17">
      <c r="A39" s="14">
        <v>32</v>
      </c>
      <c r="B39" s="14" t="s">
        <v>74</v>
      </c>
      <c r="C39" s="15" t="s">
        <v>76</v>
      </c>
      <c r="D39" s="27">
        <v>16</v>
      </c>
      <c r="E39" s="27" t="s">
        <v>82</v>
      </c>
      <c r="F39" s="16">
        <v>31.998000000000001</v>
      </c>
      <c r="G39" s="17">
        <f t="shared" si="1"/>
        <v>25.000800612263212</v>
      </c>
      <c r="H39" s="15">
        <v>1.5</v>
      </c>
      <c r="I39" s="18">
        <v>8.3000000000000007</v>
      </c>
      <c r="J39" s="18">
        <f t="shared" ref="J39:J43" si="20">25-H39-I39- (AVERAGE($G$2:$G$3))</f>
        <v>8.20302468683286</v>
      </c>
      <c r="K39" s="19">
        <f t="shared" si="18"/>
        <v>5.9998078592100397</v>
      </c>
      <c r="L39" s="15">
        <v>27.367999999999999</v>
      </c>
      <c r="M39" s="15">
        <v>67.95</v>
      </c>
      <c r="N39" s="15">
        <v>45.2</v>
      </c>
      <c r="O39" s="15"/>
      <c r="P39" s="15"/>
      <c r="Q39" s="15"/>
    </row>
    <row r="40" spans="1:17">
      <c r="A40" s="14">
        <v>33</v>
      </c>
      <c r="B40" s="14" t="s">
        <v>74</v>
      </c>
      <c r="C40" s="15" t="s">
        <v>77</v>
      </c>
      <c r="D40" s="27">
        <v>16</v>
      </c>
      <c r="E40" s="27" t="s">
        <v>82</v>
      </c>
      <c r="F40" s="16">
        <v>32.000999999999998</v>
      </c>
      <c r="G40" s="17">
        <f t="shared" si="1"/>
        <v>25.003144583818834</v>
      </c>
      <c r="H40" s="15">
        <v>1.5</v>
      </c>
      <c r="I40" s="18">
        <v>8.3000000000000007</v>
      </c>
      <c r="J40" s="18">
        <f t="shared" si="20"/>
        <v>8.20302468683286</v>
      </c>
      <c r="K40" s="19">
        <f t="shared" si="18"/>
        <v>5.9992453948002522</v>
      </c>
      <c r="L40" s="15">
        <v>27.744</v>
      </c>
      <c r="M40" s="15">
        <v>67.23</v>
      </c>
      <c r="N40" s="15">
        <v>44.86</v>
      </c>
      <c r="O40" s="15"/>
      <c r="P40" s="15"/>
      <c r="Q40" s="15"/>
    </row>
    <row r="41" spans="1:17">
      <c r="A41" s="14">
        <v>34</v>
      </c>
      <c r="B41" s="14" t="s">
        <v>74</v>
      </c>
      <c r="C41" s="15" t="s">
        <v>78</v>
      </c>
      <c r="D41" s="27">
        <v>16</v>
      </c>
      <c r="E41" s="27" t="s">
        <v>82</v>
      </c>
      <c r="F41" s="16">
        <v>32</v>
      </c>
      <c r="G41" s="17">
        <f t="shared" si="1"/>
        <v>25.002363259966963</v>
      </c>
      <c r="H41" s="15">
        <v>1.5</v>
      </c>
      <c r="I41" s="18">
        <v>8.3000000000000007</v>
      </c>
      <c r="J41" s="18">
        <f t="shared" si="20"/>
        <v>8.20302468683286</v>
      </c>
      <c r="K41" s="19">
        <f t="shared" si="18"/>
        <v>5.9994328712188389</v>
      </c>
      <c r="L41" s="15">
        <v>27.023</v>
      </c>
      <c r="M41" s="15">
        <v>63.33</v>
      </c>
      <c r="N41" s="15">
        <v>45.5</v>
      </c>
      <c r="O41" s="15"/>
      <c r="P41" s="15"/>
      <c r="Q41" s="15"/>
    </row>
    <row r="42" spans="1:17">
      <c r="A42" s="14">
        <v>35</v>
      </c>
      <c r="B42" s="14" t="s">
        <v>74</v>
      </c>
      <c r="C42" s="15" t="s">
        <v>83</v>
      </c>
      <c r="D42" s="27">
        <v>16</v>
      </c>
      <c r="E42" s="27" t="s">
        <v>82</v>
      </c>
      <c r="F42" s="16">
        <v>32.008000000000003</v>
      </c>
      <c r="G42" s="17">
        <f t="shared" si="1"/>
        <v>25.008613850781956</v>
      </c>
      <c r="H42" s="15">
        <v>1.5</v>
      </c>
      <c r="I42" s="18">
        <v>8.3000000000000007</v>
      </c>
      <c r="J42" s="18">
        <f t="shared" si="20"/>
        <v>8.20302468683286</v>
      </c>
      <c r="K42" s="19">
        <f t="shared" si="18"/>
        <v>5.9979333878718704</v>
      </c>
      <c r="L42" s="15">
        <v>27.335999999999999</v>
      </c>
      <c r="M42" s="15"/>
      <c r="N42" s="15"/>
      <c r="O42" s="15"/>
      <c r="P42" s="15"/>
      <c r="Q42" s="15"/>
    </row>
    <row r="43" spans="1:17">
      <c r="A43" s="14">
        <v>36</v>
      </c>
      <c r="B43" s="14" t="s">
        <v>74</v>
      </c>
      <c r="C43" s="15" t="s">
        <v>84</v>
      </c>
      <c r="D43" s="27">
        <v>16</v>
      </c>
      <c r="E43" s="27" t="s">
        <v>82</v>
      </c>
      <c r="F43" s="16">
        <v>31.997</v>
      </c>
      <c r="G43" s="17">
        <f t="shared" si="1"/>
        <v>25.000019288411337</v>
      </c>
      <c r="H43" s="15">
        <v>1.5</v>
      </c>
      <c r="I43" s="18">
        <v>8.3000000000000007</v>
      </c>
      <c r="J43" s="18">
        <f t="shared" si="20"/>
        <v>8.20302468683286</v>
      </c>
      <c r="K43" s="19">
        <f t="shared" si="18"/>
        <v>5.9999953707848501</v>
      </c>
      <c r="L43" s="15"/>
      <c r="M43" s="15">
        <v>63.48</v>
      </c>
      <c r="N43" s="15">
        <v>45.72</v>
      </c>
      <c r="O43" s="15"/>
      <c r="P43" s="15"/>
      <c r="Q43" s="15"/>
    </row>
    <row r="44" spans="1:17">
      <c r="A44" s="14">
        <v>37</v>
      </c>
      <c r="B44" s="14" t="s">
        <v>74</v>
      </c>
      <c r="C44" s="15" t="s">
        <v>75</v>
      </c>
      <c r="D44" s="27">
        <v>16</v>
      </c>
      <c r="E44" s="27" t="s">
        <v>82</v>
      </c>
      <c r="F44" s="16">
        <v>31.995999999999999</v>
      </c>
      <c r="G44" s="17">
        <f t="shared" si="1"/>
        <v>24.999237964559462</v>
      </c>
      <c r="H44" s="15">
        <v>4</v>
      </c>
      <c r="I44" s="18">
        <v>2.9</v>
      </c>
      <c r="J44" s="18">
        <f>25-H44-I44- (AVERAGE($G$2:$G$3))</f>
        <v>11.103024686832862</v>
      </c>
      <c r="K44" s="19">
        <f t="shared" si="18"/>
        <v>16.000487717548268</v>
      </c>
      <c r="L44" s="15">
        <v>27.556000000000001</v>
      </c>
      <c r="M44" s="15">
        <v>59.98</v>
      </c>
      <c r="N44" s="15">
        <v>39.89</v>
      </c>
      <c r="O44" s="15"/>
      <c r="P44" s="15"/>
      <c r="Q44" s="15"/>
    </row>
    <row r="45" spans="1:17">
      <c r="A45" s="14">
        <v>38</v>
      </c>
      <c r="B45" s="14" t="s">
        <v>74</v>
      </c>
      <c r="C45" s="15" t="s">
        <v>76</v>
      </c>
      <c r="D45" s="27">
        <v>16</v>
      </c>
      <c r="E45" s="27" t="s">
        <v>82</v>
      </c>
      <c r="F45" s="16">
        <v>31.997</v>
      </c>
      <c r="G45" s="17">
        <f t="shared" si="1"/>
        <v>25.000019288411337</v>
      </c>
      <c r="H45" s="15">
        <v>4</v>
      </c>
      <c r="I45" s="18">
        <v>2.9</v>
      </c>
      <c r="J45" s="18">
        <f t="shared" ref="J45:J49" si="21">25-H45-I45- (AVERAGE($G$2:$G$3))</f>
        <v>11.103024686832862</v>
      </c>
      <c r="K45" s="19">
        <f t="shared" si="18"/>
        <v>15.999987655426267</v>
      </c>
      <c r="L45" s="15">
        <v>28.1</v>
      </c>
      <c r="M45" s="15">
        <v>59.95</v>
      </c>
      <c r="N45" s="15">
        <v>40.35</v>
      </c>
      <c r="O45" s="15"/>
      <c r="P45" s="15"/>
      <c r="Q45" s="15"/>
    </row>
    <row r="46" spans="1:17">
      <c r="A46" s="14">
        <v>39</v>
      </c>
      <c r="B46" s="14" t="s">
        <v>74</v>
      </c>
      <c r="C46" s="15" t="s">
        <v>77</v>
      </c>
      <c r="D46" s="27">
        <v>16</v>
      </c>
      <c r="E46" s="27" t="s">
        <v>82</v>
      </c>
      <c r="F46" s="16">
        <v>32.003999999999998</v>
      </c>
      <c r="G46" s="17">
        <f t="shared" si="1"/>
        <v>25.005488555374455</v>
      </c>
      <c r="H46" s="15">
        <v>4</v>
      </c>
      <c r="I46" s="18">
        <v>2.9</v>
      </c>
      <c r="J46" s="18">
        <f t="shared" si="21"/>
        <v>11.103024686832862</v>
      </c>
      <c r="K46" s="19">
        <f t="shared" si="18"/>
        <v>15.996488095571626</v>
      </c>
      <c r="L46" s="15">
        <v>27.512</v>
      </c>
      <c r="M46" s="15">
        <v>61.17</v>
      </c>
      <c r="N46" s="15">
        <v>40.619999999999997</v>
      </c>
      <c r="O46" s="15"/>
      <c r="P46" s="15"/>
      <c r="Q46" s="15"/>
    </row>
    <row r="47" spans="1:17">
      <c r="A47" s="14">
        <v>40</v>
      </c>
      <c r="B47" s="14" t="s">
        <v>74</v>
      </c>
      <c r="C47" s="15" t="s">
        <v>78</v>
      </c>
      <c r="D47" s="27">
        <v>16</v>
      </c>
      <c r="E47" s="27" t="s">
        <v>82</v>
      </c>
      <c r="F47" s="16">
        <v>32.01</v>
      </c>
      <c r="G47" s="17">
        <f t="shared" si="1"/>
        <v>25.010176498485698</v>
      </c>
      <c r="H47" s="15">
        <v>4</v>
      </c>
      <c r="I47" s="18">
        <v>2.9</v>
      </c>
      <c r="J47" s="18">
        <f t="shared" si="21"/>
        <v>11.103024686832862</v>
      </c>
      <c r="K47" s="19">
        <f t="shared" si="18"/>
        <v>15.993489691055117</v>
      </c>
      <c r="L47" s="15">
        <v>27.234999999999999</v>
      </c>
      <c r="M47" s="15">
        <v>63.46</v>
      </c>
      <c r="N47" s="15">
        <v>45.84</v>
      </c>
      <c r="O47" s="15"/>
      <c r="P47" s="15"/>
      <c r="Q47" s="15"/>
    </row>
    <row r="48" spans="1:17">
      <c r="A48" s="14">
        <v>41</v>
      </c>
      <c r="B48" s="14" t="s">
        <v>74</v>
      </c>
      <c r="C48" s="15" t="s">
        <v>83</v>
      </c>
      <c r="D48" s="27">
        <v>16</v>
      </c>
      <c r="E48" s="27" t="s">
        <v>82</v>
      </c>
      <c r="F48" s="16">
        <v>31.998000000000001</v>
      </c>
      <c r="G48" s="17">
        <f t="shared" si="1"/>
        <v>25.000800612263212</v>
      </c>
      <c r="H48" s="15">
        <v>4</v>
      </c>
      <c r="I48" s="18">
        <v>2.9</v>
      </c>
      <c r="J48" s="18">
        <f t="shared" si="21"/>
        <v>11.103024686832862</v>
      </c>
      <c r="K48" s="19">
        <f t="shared" si="18"/>
        <v>15.999487624560107</v>
      </c>
      <c r="L48" s="15">
        <v>27.818999999999999</v>
      </c>
      <c r="M48" s="15">
        <v>63.17</v>
      </c>
      <c r="N48" s="15">
        <v>45.58</v>
      </c>
      <c r="O48" s="15"/>
      <c r="P48" s="15"/>
      <c r="Q48" s="15"/>
    </row>
    <row r="49" spans="1:17">
      <c r="A49" s="14">
        <v>42</v>
      </c>
      <c r="B49" s="14" t="s">
        <v>74</v>
      </c>
      <c r="C49" s="15" t="s">
        <v>84</v>
      </c>
      <c r="D49" s="27">
        <v>16</v>
      </c>
      <c r="E49" s="27" t="s">
        <v>82</v>
      </c>
      <c r="F49" s="16">
        <v>31.992999999999999</v>
      </c>
      <c r="G49" s="17">
        <f t="shared" si="1"/>
        <v>24.996893993003841</v>
      </c>
      <c r="H49" s="15">
        <v>4</v>
      </c>
      <c r="I49" s="18">
        <v>2.9</v>
      </c>
      <c r="J49" s="18">
        <f t="shared" si="21"/>
        <v>11.103024686832862</v>
      </c>
      <c r="K49" s="19">
        <f t="shared" si="18"/>
        <v>16.001988091478584</v>
      </c>
      <c r="L49" s="15"/>
      <c r="M49" s="15"/>
      <c r="N49" s="15"/>
      <c r="O49" s="15"/>
      <c r="P49" s="15"/>
      <c r="Q49" s="15"/>
    </row>
    <row r="50" spans="1:17">
      <c r="A50" s="14">
        <v>43</v>
      </c>
      <c r="B50" s="14" t="s">
        <v>74</v>
      </c>
      <c r="C50" s="15" t="s">
        <v>75</v>
      </c>
      <c r="D50" s="27">
        <v>16</v>
      </c>
      <c r="E50" s="27" t="s">
        <v>82</v>
      </c>
      <c r="F50" s="16">
        <v>32.003</v>
      </c>
      <c r="G50" s="17">
        <f t="shared" si="1"/>
        <v>25.004707231522584</v>
      </c>
      <c r="H50" s="15">
        <v>5</v>
      </c>
      <c r="I50" s="18">
        <f t="shared" ref="I50:I55" si="22">((4.24-0.1641)*2.07)*($H$26-H50)/$H$26</f>
        <v>0</v>
      </c>
      <c r="J50" s="18">
        <f>25-H50-I50- (AVERAGE($G$2:$G$3))</f>
        <v>13.003024686832861</v>
      </c>
      <c r="K50" s="19">
        <f t="shared" si="18"/>
        <v>19.996234923705366</v>
      </c>
      <c r="L50" s="15">
        <v>27.402000000000001</v>
      </c>
      <c r="M50" s="15">
        <v>61.03</v>
      </c>
      <c r="N50" s="15">
        <v>40.619999999999997</v>
      </c>
      <c r="O50" s="15"/>
      <c r="P50" s="15"/>
      <c r="Q50" s="15"/>
    </row>
    <row r="51" spans="1:17">
      <c r="A51" s="14">
        <v>44</v>
      </c>
      <c r="B51" s="14" t="s">
        <v>74</v>
      </c>
      <c r="C51" s="15" t="s">
        <v>76</v>
      </c>
      <c r="D51" s="27">
        <v>16</v>
      </c>
      <c r="E51" s="27" t="s">
        <v>82</v>
      </c>
      <c r="F51" s="16">
        <v>32.006999999999998</v>
      </c>
      <c r="G51" s="17">
        <f t="shared" si="1"/>
        <v>25.007832526930077</v>
      </c>
      <c r="H51" s="15">
        <v>5</v>
      </c>
      <c r="I51" s="18">
        <f t="shared" si="22"/>
        <v>0</v>
      </c>
      <c r="J51" s="18">
        <f t="shared" ref="J51:J55" si="23">25-H51-I51- (AVERAGE($G$2:$G$3))</f>
        <v>13.003024686832861</v>
      </c>
      <c r="K51" s="19">
        <f t="shared" si="18"/>
        <v>19.993735940992373</v>
      </c>
      <c r="L51" s="15">
        <v>27.116</v>
      </c>
      <c r="M51" s="15">
        <v>60.27</v>
      </c>
      <c r="N51" s="15">
        <v>39.96</v>
      </c>
      <c r="O51" s="15"/>
      <c r="P51" s="15"/>
      <c r="Q51" s="15"/>
    </row>
    <row r="52" spans="1:17">
      <c r="A52" s="14">
        <v>45</v>
      </c>
      <c r="B52" s="14" t="s">
        <v>74</v>
      </c>
      <c r="C52" s="15" t="s">
        <v>77</v>
      </c>
      <c r="D52" s="27">
        <v>16</v>
      </c>
      <c r="E52" s="27" t="s">
        <v>82</v>
      </c>
      <c r="F52" s="16">
        <v>32</v>
      </c>
      <c r="G52" s="17">
        <f t="shared" si="1"/>
        <v>25.002363259966963</v>
      </c>
      <c r="H52" s="15">
        <v>5</v>
      </c>
      <c r="I52" s="18">
        <f t="shared" si="22"/>
        <v>0</v>
      </c>
      <c r="J52" s="18">
        <f t="shared" si="23"/>
        <v>13.003024686832861</v>
      </c>
      <c r="K52" s="19">
        <f t="shared" si="18"/>
        <v>19.998109570729465</v>
      </c>
      <c r="L52" s="15">
        <v>27.826000000000001</v>
      </c>
      <c r="M52" s="15">
        <v>62.46</v>
      </c>
      <c r="N52" s="15">
        <v>42.06</v>
      </c>
      <c r="O52" s="15"/>
      <c r="P52" s="15"/>
      <c r="Q52" s="15"/>
    </row>
    <row r="53" spans="1:17">
      <c r="A53" s="14">
        <v>46</v>
      </c>
      <c r="B53" s="14" t="s">
        <v>74</v>
      </c>
      <c r="C53" s="15" t="s">
        <v>78</v>
      </c>
      <c r="D53" s="27">
        <v>16</v>
      </c>
      <c r="E53" s="27" t="s">
        <v>82</v>
      </c>
      <c r="F53" s="16">
        <v>31.998999999999999</v>
      </c>
      <c r="G53" s="17">
        <f t="shared" si="1"/>
        <v>25.001581936115088</v>
      </c>
      <c r="H53" s="15">
        <v>5</v>
      </c>
      <c r="I53" s="18">
        <f t="shared" si="22"/>
        <v>0</v>
      </c>
      <c r="J53" s="18">
        <f t="shared" si="23"/>
        <v>13.003024686832861</v>
      </c>
      <c r="K53" s="19">
        <f t="shared" si="18"/>
        <v>19.998734531183562</v>
      </c>
      <c r="L53" s="15">
        <v>27.768999999999998</v>
      </c>
      <c r="M53" s="15">
        <v>62.16</v>
      </c>
      <c r="N53" s="15">
        <v>45.84</v>
      </c>
      <c r="O53" s="15"/>
      <c r="P53" s="15"/>
      <c r="Q53" s="15"/>
    </row>
    <row r="54" spans="1:17">
      <c r="A54" s="14">
        <v>47</v>
      </c>
      <c r="B54" s="14" t="s">
        <v>74</v>
      </c>
      <c r="C54" s="15" t="s">
        <v>83</v>
      </c>
      <c r="D54" s="27">
        <v>16</v>
      </c>
      <c r="E54" s="27" t="s">
        <v>82</v>
      </c>
      <c r="F54" s="16">
        <v>31.998000000000001</v>
      </c>
      <c r="G54" s="17">
        <f t="shared" si="1"/>
        <v>25.000800612263212</v>
      </c>
      <c r="H54" s="15">
        <v>5</v>
      </c>
      <c r="I54" s="18">
        <f t="shared" si="22"/>
        <v>0</v>
      </c>
      <c r="J54" s="18">
        <f t="shared" si="23"/>
        <v>13.003024686832861</v>
      </c>
      <c r="K54" s="19">
        <f t="shared" ref="K54:K117" si="24">H54*1/G54*100</f>
        <v>19.999359530700133</v>
      </c>
      <c r="L54" s="15">
        <v>27.431999999999999</v>
      </c>
      <c r="M54" s="15">
        <v>62.18</v>
      </c>
      <c r="N54" s="15">
        <v>45.89</v>
      </c>
      <c r="O54" s="15"/>
      <c r="P54" s="15"/>
      <c r="Q54" s="15"/>
    </row>
    <row r="55" spans="1:17" ht="13.5" thickBot="1">
      <c r="A55" s="97">
        <v>48</v>
      </c>
      <c r="B55" s="97" t="s">
        <v>74</v>
      </c>
      <c r="C55" s="97" t="s">
        <v>84</v>
      </c>
      <c r="D55" s="101">
        <v>16</v>
      </c>
      <c r="E55" s="101" t="s">
        <v>82</v>
      </c>
      <c r="F55" s="102">
        <v>31.998000000000001</v>
      </c>
      <c r="G55" s="100">
        <f t="shared" si="1"/>
        <v>25.000800612263212</v>
      </c>
      <c r="H55" s="97">
        <v>5</v>
      </c>
      <c r="I55" s="100">
        <f t="shared" si="22"/>
        <v>0</v>
      </c>
      <c r="J55" s="100">
        <f t="shared" si="23"/>
        <v>13.003024686832861</v>
      </c>
      <c r="K55" s="103">
        <f t="shared" si="24"/>
        <v>19.999359530700133</v>
      </c>
      <c r="L55" s="97"/>
      <c r="M55" s="97"/>
      <c r="N55" s="97"/>
      <c r="O55" s="97"/>
      <c r="P55" s="97"/>
      <c r="Q55" s="97"/>
    </row>
    <row r="56" spans="1:17">
      <c r="A56" s="14">
        <v>49</v>
      </c>
      <c r="B56" s="14" t="s">
        <v>74</v>
      </c>
      <c r="C56" s="14" t="s">
        <v>75</v>
      </c>
      <c r="D56" s="27">
        <v>24</v>
      </c>
      <c r="E56" s="27" t="s">
        <v>81</v>
      </c>
      <c r="F56" s="16">
        <v>32.003999999999998</v>
      </c>
      <c r="G56" s="17">
        <f t="shared" si="1"/>
        <v>25.005488555374455</v>
      </c>
      <c r="H56" s="14">
        <v>0</v>
      </c>
      <c r="I56" s="17">
        <v>10.3</v>
      </c>
      <c r="J56" s="17">
        <f>25-H56-I56- (AVERAGE($G$2:$G$3))</f>
        <v>7.70302468683286</v>
      </c>
      <c r="K56" s="25">
        <f t="shared" si="24"/>
        <v>0</v>
      </c>
      <c r="L56" s="14">
        <v>27.08</v>
      </c>
      <c r="M56" s="14">
        <v>67.09</v>
      </c>
      <c r="N56" s="14">
        <v>45.86</v>
      </c>
      <c r="O56" s="14"/>
      <c r="P56" s="14"/>
      <c r="Q56" s="14"/>
    </row>
    <row r="57" spans="1:17">
      <c r="A57" s="14">
        <v>50</v>
      </c>
      <c r="B57" s="14" t="s">
        <v>74</v>
      </c>
      <c r="C57" s="15" t="s">
        <v>76</v>
      </c>
      <c r="D57" s="27">
        <v>24</v>
      </c>
      <c r="E57" s="27" t="s">
        <v>81</v>
      </c>
      <c r="F57" s="16">
        <v>32.003</v>
      </c>
      <c r="G57" s="17">
        <f t="shared" si="1"/>
        <v>25.004707231522584</v>
      </c>
      <c r="H57" s="15">
        <v>0</v>
      </c>
      <c r="I57" s="18">
        <v>10.3</v>
      </c>
      <c r="J57" s="18">
        <f t="shared" ref="J57:J61" si="25">25-H57-I57- (AVERAGE($G$2:$G$3))</f>
        <v>7.70302468683286</v>
      </c>
      <c r="K57" s="19">
        <f t="shared" si="24"/>
        <v>0</v>
      </c>
      <c r="L57" s="15">
        <v>27.25</v>
      </c>
      <c r="M57" s="15">
        <v>70.08</v>
      </c>
      <c r="N57" s="15">
        <v>48.04</v>
      </c>
      <c r="O57" s="15"/>
      <c r="P57" s="15"/>
      <c r="Q57" s="15"/>
    </row>
    <row r="58" spans="1:17">
      <c r="A58" s="14">
        <v>51</v>
      </c>
      <c r="B58" s="14" t="s">
        <v>74</v>
      </c>
      <c r="C58" s="15" t="s">
        <v>77</v>
      </c>
      <c r="D58" s="27">
        <v>24</v>
      </c>
      <c r="E58" s="27" t="s">
        <v>81</v>
      </c>
      <c r="F58" s="16">
        <v>31.998999999999999</v>
      </c>
      <c r="G58" s="17">
        <f t="shared" si="1"/>
        <v>25.001581936115088</v>
      </c>
      <c r="H58" s="15">
        <v>0</v>
      </c>
      <c r="I58" s="18">
        <v>10.3</v>
      </c>
      <c r="J58" s="18">
        <f t="shared" si="25"/>
        <v>7.70302468683286</v>
      </c>
      <c r="K58" s="19">
        <f t="shared" si="24"/>
        <v>0</v>
      </c>
      <c r="L58" s="15">
        <v>27.16</v>
      </c>
      <c r="M58" s="15">
        <v>70.19</v>
      </c>
      <c r="N58" s="15">
        <v>48.34</v>
      </c>
      <c r="O58" s="15"/>
      <c r="P58" s="15"/>
      <c r="Q58" s="15"/>
    </row>
    <row r="59" spans="1:17">
      <c r="A59" s="14">
        <v>52</v>
      </c>
      <c r="B59" s="14" t="s">
        <v>74</v>
      </c>
      <c r="C59" s="15" t="s">
        <v>78</v>
      </c>
      <c r="D59" s="27">
        <v>24</v>
      </c>
      <c r="E59" s="27" t="s">
        <v>81</v>
      </c>
      <c r="F59" s="16">
        <v>32.000999999999998</v>
      </c>
      <c r="G59" s="17">
        <f t="shared" si="1"/>
        <v>25.003144583818834</v>
      </c>
      <c r="H59" s="15">
        <v>0</v>
      </c>
      <c r="I59" s="18">
        <v>10.3</v>
      </c>
      <c r="J59" s="18">
        <f t="shared" si="25"/>
        <v>7.70302468683286</v>
      </c>
      <c r="K59" s="19">
        <f t="shared" si="24"/>
        <v>0</v>
      </c>
      <c r="L59" s="15">
        <v>28.54</v>
      </c>
      <c r="M59" s="15">
        <v>63.14</v>
      </c>
      <c r="N59" s="15">
        <v>46.39</v>
      </c>
      <c r="O59" s="15"/>
      <c r="P59" s="15"/>
      <c r="Q59" s="15"/>
    </row>
    <row r="60" spans="1:17">
      <c r="A60" s="14">
        <v>53</v>
      </c>
      <c r="B60" s="14" t="s">
        <v>74</v>
      </c>
      <c r="C60" s="15" t="s">
        <v>83</v>
      </c>
      <c r="D60" s="27">
        <v>24</v>
      </c>
      <c r="E60" s="27" t="s">
        <v>81</v>
      </c>
      <c r="F60" s="16">
        <v>32.003</v>
      </c>
      <c r="G60" s="17">
        <f t="shared" si="1"/>
        <v>25.004707231522584</v>
      </c>
      <c r="H60" s="15">
        <v>0</v>
      </c>
      <c r="I60" s="18">
        <v>10.3</v>
      </c>
      <c r="J60" s="18">
        <f t="shared" si="25"/>
        <v>7.70302468683286</v>
      </c>
      <c r="K60" s="19">
        <f t="shared" si="24"/>
        <v>0</v>
      </c>
      <c r="L60" s="15">
        <v>27.36</v>
      </c>
      <c r="M60" s="15">
        <v>62.69</v>
      </c>
      <c r="N60" s="15">
        <v>45.51</v>
      </c>
      <c r="O60" s="15"/>
      <c r="P60" s="15"/>
      <c r="Q60" s="15"/>
    </row>
    <row r="61" spans="1:17">
      <c r="A61" s="14">
        <v>54</v>
      </c>
      <c r="B61" s="14" t="s">
        <v>74</v>
      </c>
      <c r="C61" s="15" t="s">
        <v>84</v>
      </c>
      <c r="D61" s="27">
        <v>24</v>
      </c>
      <c r="E61" s="27" t="s">
        <v>81</v>
      </c>
      <c r="F61" s="16">
        <v>31.998000000000001</v>
      </c>
      <c r="G61" s="17">
        <f t="shared" si="1"/>
        <v>25.000800612263212</v>
      </c>
      <c r="H61" s="15">
        <v>0</v>
      </c>
      <c r="I61" s="18">
        <v>10.3</v>
      </c>
      <c r="J61" s="18">
        <f t="shared" si="25"/>
        <v>7.70302468683286</v>
      </c>
      <c r="K61" s="19">
        <f t="shared" si="24"/>
        <v>0</v>
      </c>
      <c r="L61" s="15"/>
      <c r="M61" s="15"/>
      <c r="N61" s="15"/>
      <c r="O61" s="15"/>
      <c r="P61" s="15"/>
      <c r="Q61" s="15"/>
    </row>
    <row r="62" spans="1:17">
      <c r="A62" s="14">
        <v>55</v>
      </c>
      <c r="B62" s="14" t="s">
        <v>74</v>
      </c>
      <c r="C62" s="15" t="s">
        <v>75</v>
      </c>
      <c r="D62" s="27">
        <v>24</v>
      </c>
      <c r="E62" s="27" t="s">
        <v>81</v>
      </c>
      <c r="F62" s="16">
        <v>31.998000000000001</v>
      </c>
      <c r="G62" s="17">
        <f t="shared" si="1"/>
        <v>25.000800612263212</v>
      </c>
      <c r="H62" s="15">
        <v>1.5</v>
      </c>
      <c r="I62" s="18">
        <v>8.3000000000000007</v>
      </c>
      <c r="J62" s="18">
        <f>25-H62-I62- (AVERAGE($G$2:$G$3))</f>
        <v>8.20302468683286</v>
      </c>
      <c r="K62" s="19">
        <f t="shared" si="24"/>
        <v>5.9998078592100397</v>
      </c>
      <c r="L62" s="15">
        <v>27.85</v>
      </c>
      <c r="M62" s="15">
        <v>66.44</v>
      </c>
      <c r="N62" s="15">
        <v>43.65</v>
      </c>
      <c r="O62" s="15"/>
      <c r="P62" s="15"/>
      <c r="Q62" s="15"/>
    </row>
    <row r="63" spans="1:17">
      <c r="A63" s="14">
        <v>56</v>
      </c>
      <c r="B63" s="14" t="s">
        <v>74</v>
      </c>
      <c r="C63" s="15" t="s">
        <v>76</v>
      </c>
      <c r="D63" s="27">
        <v>24</v>
      </c>
      <c r="E63" s="27" t="s">
        <v>81</v>
      </c>
      <c r="F63" s="16">
        <v>31.998999999999999</v>
      </c>
      <c r="G63" s="17">
        <f t="shared" si="1"/>
        <v>25.001581936115088</v>
      </c>
      <c r="H63" s="15">
        <v>1.5</v>
      </c>
      <c r="I63" s="18">
        <v>8.3000000000000007</v>
      </c>
      <c r="J63" s="18">
        <f t="shared" ref="J63:J67" si="26">25-H63-I63- (AVERAGE($G$2:$G$3))</f>
        <v>8.20302468683286</v>
      </c>
      <c r="K63" s="19">
        <f t="shared" si="24"/>
        <v>5.9996203593550685</v>
      </c>
      <c r="L63" s="15">
        <v>27.38</v>
      </c>
      <c r="M63" s="15">
        <v>67.11</v>
      </c>
      <c r="N63" s="15">
        <v>44.57</v>
      </c>
      <c r="O63" s="15"/>
      <c r="P63" s="15"/>
      <c r="Q63" s="15"/>
    </row>
    <row r="64" spans="1:17">
      <c r="A64" s="14">
        <v>57</v>
      </c>
      <c r="B64" s="14" t="s">
        <v>74</v>
      </c>
      <c r="C64" s="15" t="s">
        <v>77</v>
      </c>
      <c r="D64" s="27">
        <v>24</v>
      </c>
      <c r="E64" s="27" t="s">
        <v>81</v>
      </c>
      <c r="F64" s="16">
        <v>32</v>
      </c>
      <c r="G64" s="17">
        <f t="shared" si="1"/>
        <v>25.002363259966963</v>
      </c>
      <c r="H64" s="15">
        <v>1.5</v>
      </c>
      <c r="I64" s="18">
        <v>8.3000000000000007</v>
      </c>
      <c r="J64" s="18">
        <f t="shared" si="26"/>
        <v>8.20302468683286</v>
      </c>
      <c r="K64" s="19">
        <f t="shared" si="24"/>
        <v>5.9994328712188389</v>
      </c>
      <c r="L64" s="15">
        <v>27.06</v>
      </c>
      <c r="M64" s="15">
        <v>66.58</v>
      </c>
      <c r="N64" s="15">
        <v>44.14</v>
      </c>
      <c r="O64" s="15"/>
      <c r="P64" s="15"/>
      <c r="Q64" s="15"/>
    </row>
    <row r="65" spans="1:17">
      <c r="A65" s="14">
        <v>58</v>
      </c>
      <c r="B65" s="14" t="s">
        <v>74</v>
      </c>
      <c r="C65" s="15" t="s">
        <v>78</v>
      </c>
      <c r="D65" s="27">
        <v>24</v>
      </c>
      <c r="E65" s="27" t="s">
        <v>81</v>
      </c>
      <c r="F65" s="16">
        <v>32.006</v>
      </c>
      <c r="G65" s="17">
        <f t="shared" si="1"/>
        <v>25.007051203078206</v>
      </c>
      <c r="H65" s="15">
        <v>1.5</v>
      </c>
      <c r="I65" s="18">
        <v>8.3000000000000007</v>
      </c>
      <c r="J65" s="18">
        <f t="shared" si="26"/>
        <v>8.20302468683286</v>
      </c>
      <c r="K65" s="19">
        <f t="shared" si="24"/>
        <v>5.9983081884335077</v>
      </c>
      <c r="L65" s="15">
        <v>28.56</v>
      </c>
      <c r="M65" s="15">
        <v>65.81</v>
      </c>
      <c r="N65" s="15">
        <v>48.4</v>
      </c>
      <c r="O65" s="15"/>
      <c r="P65" s="15"/>
      <c r="Q65" s="15"/>
    </row>
    <row r="66" spans="1:17">
      <c r="A66" s="14">
        <v>59</v>
      </c>
      <c r="B66" s="14" t="s">
        <v>74</v>
      </c>
      <c r="C66" s="15" t="s">
        <v>83</v>
      </c>
      <c r="D66" s="27">
        <v>24</v>
      </c>
      <c r="E66" s="27" t="s">
        <v>81</v>
      </c>
      <c r="F66" s="16">
        <v>31.994</v>
      </c>
      <c r="G66" s="17">
        <f t="shared" si="1"/>
        <v>24.997675316855716</v>
      </c>
      <c r="H66" s="15">
        <v>1.5</v>
      </c>
      <c r="I66" s="18">
        <v>8.3000000000000007</v>
      </c>
      <c r="J66" s="18">
        <f t="shared" si="26"/>
        <v>8.20302468683286</v>
      </c>
      <c r="K66" s="19">
        <f t="shared" si="24"/>
        <v>6.0005579758393095</v>
      </c>
      <c r="L66" s="15">
        <v>26.87</v>
      </c>
      <c r="M66" s="15">
        <v>63.28</v>
      </c>
      <c r="N66" s="15">
        <v>45.85</v>
      </c>
      <c r="O66" s="15"/>
      <c r="P66" s="15"/>
      <c r="Q66" s="15"/>
    </row>
    <row r="67" spans="1:17">
      <c r="A67" s="14">
        <v>60</v>
      </c>
      <c r="B67" s="14" t="s">
        <v>74</v>
      </c>
      <c r="C67" s="15" t="s">
        <v>84</v>
      </c>
      <c r="D67" s="27">
        <v>24</v>
      </c>
      <c r="E67" s="27" t="s">
        <v>81</v>
      </c>
      <c r="F67" s="16">
        <v>31.997</v>
      </c>
      <c r="G67" s="17">
        <f t="shared" si="1"/>
        <v>25.000019288411337</v>
      </c>
      <c r="H67" s="15">
        <v>1.5</v>
      </c>
      <c r="I67" s="18">
        <v>8.3000000000000007</v>
      </c>
      <c r="J67" s="18">
        <f t="shared" si="26"/>
        <v>8.20302468683286</v>
      </c>
      <c r="K67" s="19">
        <f t="shared" si="24"/>
        <v>5.9999953707848501</v>
      </c>
      <c r="L67" s="15"/>
      <c r="M67" s="15"/>
      <c r="N67" s="15"/>
      <c r="O67" s="15"/>
      <c r="P67" s="15"/>
      <c r="Q67" s="15"/>
    </row>
    <row r="68" spans="1:17">
      <c r="A68" s="14">
        <v>61</v>
      </c>
      <c r="B68" s="14" t="s">
        <v>74</v>
      </c>
      <c r="C68" s="15" t="s">
        <v>75</v>
      </c>
      <c r="D68" s="27">
        <v>24</v>
      </c>
      <c r="E68" s="27" t="s">
        <v>81</v>
      </c>
      <c r="F68" s="16">
        <v>31.995999999999999</v>
      </c>
      <c r="G68" s="17">
        <f t="shared" si="1"/>
        <v>24.999237964559462</v>
      </c>
      <c r="H68" s="15">
        <v>4</v>
      </c>
      <c r="I68" s="18">
        <v>2.9</v>
      </c>
      <c r="J68" s="18">
        <f>25-H68-I68- (AVERAGE($G$2:$G$3))</f>
        <v>11.103024686832862</v>
      </c>
      <c r="K68" s="19">
        <f t="shared" si="24"/>
        <v>16.000487717548268</v>
      </c>
      <c r="L68" s="15">
        <v>27.91</v>
      </c>
      <c r="M68" s="15">
        <v>61.84</v>
      </c>
      <c r="N68" s="15">
        <v>42.01</v>
      </c>
      <c r="O68" s="15"/>
      <c r="P68" s="15"/>
      <c r="Q68" s="15"/>
    </row>
    <row r="69" spans="1:17">
      <c r="A69" s="14">
        <v>62</v>
      </c>
      <c r="B69" s="14" t="s">
        <v>74</v>
      </c>
      <c r="C69" s="15" t="s">
        <v>76</v>
      </c>
      <c r="D69" s="27">
        <v>24</v>
      </c>
      <c r="E69" s="27" t="s">
        <v>81</v>
      </c>
      <c r="F69" s="16">
        <v>32.003</v>
      </c>
      <c r="G69" s="17">
        <f t="shared" si="1"/>
        <v>25.004707231522584</v>
      </c>
      <c r="H69" s="15">
        <v>4</v>
      </c>
      <c r="I69" s="18">
        <v>2.9</v>
      </c>
      <c r="J69" s="18">
        <f t="shared" ref="J69:J73" si="27">25-H69-I69- (AVERAGE($G$2:$G$3))</f>
        <v>11.103024686832862</v>
      </c>
      <c r="K69" s="19">
        <f t="shared" si="24"/>
        <v>15.996987938964294</v>
      </c>
      <c r="L69" s="15">
        <v>27.79</v>
      </c>
      <c r="M69" s="15">
        <v>65.099999999999994</v>
      </c>
      <c r="N69" s="15">
        <v>44.59</v>
      </c>
      <c r="O69" s="15"/>
      <c r="P69" s="15"/>
      <c r="Q69" s="15"/>
    </row>
    <row r="70" spans="1:17">
      <c r="A70" s="14">
        <v>63</v>
      </c>
      <c r="B70" s="14" t="s">
        <v>74</v>
      </c>
      <c r="C70" s="15" t="s">
        <v>77</v>
      </c>
      <c r="D70" s="27">
        <v>24</v>
      </c>
      <c r="E70" s="27" t="s">
        <v>81</v>
      </c>
      <c r="F70" s="16">
        <v>32.005000000000003</v>
      </c>
      <c r="G70" s="17">
        <f t="shared" si="1"/>
        <v>25.006269879226334</v>
      </c>
      <c r="H70" s="15">
        <v>4</v>
      </c>
      <c r="I70" s="18">
        <v>2.9</v>
      </c>
      <c r="J70" s="18">
        <f t="shared" si="27"/>
        <v>11.103024686832862</v>
      </c>
      <c r="K70" s="19">
        <f t="shared" si="24"/>
        <v>15.995988283414286</v>
      </c>
      <c r="L70" s="15">
        <v>26.95</v>
      </c>
      <c r="M70" s="15">
        <v>64.75</v>
      </c>
      <c r="N70" s="15">
        <v>43.87</v>
      </c>
      <c r="O70" s="15"/>
      <c r="P70" s="15"/>
      <c r="Q70" s="15"/>
    </row>
    <row r="71" spans="1:17">
      <c r="A71" s="14">
        <v>64</v>
      </c>
      <c r="B71" s="14" t="s">
        <v>74</v>
      </c>
      <c r="C71" s="15" t="s">
        <v>78</v>
      </c>
      <c r="D71" s="27">
        <v>24</v>
      </c>
      <c r="E71" s="27" t="s">
        <v>81</v>
      </c>
      <c r="F71" s="16">
        <v>31.998000000000001</v>
      </c>
      <c r="G71" s="17">
        <f t="shared" si="1"/>
        <v>25.000800612263212</v>
      </c>
      <c r="H71" s="15">
        <v>4</v>
      </c>
      <c r="I71" s="18">
        <v>2.9</v>
      </c>
      <c r="J71" s="18">
        <f t="shared" si="27"/>
        <v>11.103024686832862</v>
      </c>
      <c r="K71" s="19">
        <f t="shared" si="24"/>
        <v>15.999487624560107</v>
      </c>
      <c r="L71" s="15">
        <v>27.29</v>
      </c>
      <c r="M71" s="15">
        <v>63.89</v>
      </c>
      <c r="N71" s="15">
        <v>47.14</v>
      </c>
      <c r="O71" s="15"/>
      <c r="P71" s="15"/>
      <c r="Q71" s="15"/>
    </row>
    <row r="72" spans="1:17">
      <c r="A72" s="14">
        <v>65</v>
      </c>
      <c r="B72" s="14" t="s">
        <v>74</v>
      </c>
      <c r="C72" s="15" t="s">
        <v>83</v>
      </c>
      <c r="D72" s="27">
        <v>24</v>
      </c>
      <c r="E72" s="27" t="s">
        <v>81</v>
      </c>
      <c r="F72" s="16">
        <v>31.997</v>
      </c>
      <c r="G72" s="17">
        <f t="shared" si="1"/>
        <v>25.000019288411337</v>
      </c>
      <c r="H72" s="15">
        <v>4</v>
      </c>
      <c r="I72" s="18">
        <v>2.9</v>
      </c>
      <c r="J72" s="18">
        <f t="shared" si="27"/>
        <v>11.103024686832862</v>
      </c>
      <c r="K72" s="19">
        <f t="shared" si="24"/>
        <v>15.999987655426267</v>
      </c>
      <c r="L72" s="15">
        <v>27.27</v>
      </c>
      <c r="M72" s="15">
        <v>63.83</v>
      </c>
      <c r="N72" s="15">
        <v>46.7</v>
      </c>
      <c r="O72" s="15"/>
      <c r="P72" s="15"/>
      <c r="Q72" s="15"/>
    </row>
    <row r="73" spans="1:17">
      <c r="A73" s="14">
        <v>66</v>
      </c>
      <c r="B73" s="14" t="s">
        <v>74</v>
      </c>
      <c r="C73" s="15" t="s">
        <v>84</v>
      </c>
      <c r="D73" s="27">
        <v>24</v>
      </c>
      <c r="E73" s="27" t="s">
        <v>81</v>
      </c>
      <c r="F73" s="16">
        <v>32.006</v>
      </c>
      <c r="G73" s="17">
        <f t="shared" ref="G73:G136" si="28">F73/AVERAGE($C$2:$C$3)</f>
        <v>25.007051203078206</v>
      </c>
      <c r="H73" s="15">
        <v>4</v>
      </c>
      <c r="I73" s="18">
        <v>2.9</v>
      </c>
      <c r="J73" s="18">
        <f t="shared" si="27"/>
        <v>11.103024686832862</v>
      </c>
      <c r="K73" s="19">
        <f t="shared" si="24"/>
        <v>15.995488502489355</v>
      </c>
      <c r="L73" s="15"/>
      <c r="M73" s="15"/>
      <c r="N73" s="15"/>
      <c r="O73" s="15"/>
      <c r="P73" s="15"/>
      <c r="Q73" s="15"/>
    </row>
    <row r="74" spans="1:17">
      <c r="A74" s="14">
        <v>67</v>
      </c>
      <c r="B74" s="14" t="s">
        <v>74</v>
      </c>
      <c r="C74" s="15" t="s">
        <v>75</v>
      </c>
      <c r="D74" s="27">
        <v>24</v>
      </c>
      <c r="E74" s="27" t="s">
        <v>81</v>
      </c>
      <c r="F74" s="16">
        <v>31.997</v>
      </c>
      <c r="G74" s="17">
        <f t="shared" si="28"/>
        <v>25.000019288411337</v>
      </c>
      <c r="H74" s="15">
        <v>5</v>
      </c>
      <c r="I74" s="18">
        <f t="shared" ref="I74:I79" si="29">((4.24-0.1641)*2.07)*($H$26-H74)/$H$26</f>
        <v>0</v>
      </c>
      <c r="J74" s="18">
        <f>25-H74-I74- (AVERAGE($G$2:$G$3))</f>
        <v>13.003024686832861</v>
      </c>
      <c r="K74" s="19">
        <f t="shared" si="24"/>
        <v>19.999984569282837</v>
      </c>
      <c r="L74" s="15">
        <v>27.88</v>
      </c>
      <c r="M74" s="15">
        <v>63.01</v>
      </c>
      <c r="N74" s="15">
        <v>43.29</v>
      </c>
      <c r="O74" s="15"/>
      <c r="P74" s="15"/>
      <c r="Q74" s="15"/>
    </row>
    <row r="75" spans="1:17">
      <c r="A75" s="14">
        <v>68</v>
      </c>
      <c r="B75" s="14" t="s">
        <v>74</v>
      </c>
      <c r="C75" s="15" t="s">
        <v>76</v>
      </c>
      <c r="D75" s="27">
        <v>24</v>
      </c>
      <c r="E75" s="27" t="s">
        <v>81</v>
      </c>
      <c r="F75" s="16">
        <v>32</v>
      </c>
      <c r="G75" s="17">
        <f t="shared" si="28"/>
        <v>25.002363259966963</v>
      </c>
      <c r="H75" s="15">
        <v>5</v>
      </c>
      <c r="I75" s="18">
        <f t="shared" si="29"/>
        <v>0</v>
      </c>
      <c r="J75" s="18">
        <f t="shared" ref="J75:J79" si="30">25-H75-I75- (AVERAGE($G$2:$G$3))</f>
        <v>13.003024686832861</v>
      </c>
      <c r="K75" s="19">
        <f t="shared" si="24"/>
        <v>19.998109570729465</v>
      </c>
      <c r="L75" s="15">
        <v>27.02</v>
      </c>
      <c r="M75" s="15">
        <v>64.75</v>
      </c>
      <c r="N75" s="15">
        <v>43.97</v>
      </c>
      <c r="O75" s="15"/>
      <c r="P75" s="15"/>
      <c r="Q75" s="15"/>
    </row>
    <row r="76" spans="1:17">
      <c r="A76" s="14">
        <v>69</v>
      </c>
      <c r="B76" s="14" t="s">
        <v>74</v>
      </c>
      <c r="C76" s="15" t="s">
        <v>77</v>
      </c>
      <c r="D76" s="27">
        <v>24</v>
      </c>
      <c r="E76" s="27" t="s">
        <v>81</v>
      </c>
      <c r="F76" s="16">
        <v>31.997</v>
      </c>
      <c r="G76" s="17">
        <f t="shared" si="28"/>
        <v>25.000019288411337</v>
      </c>
      <c r="H76" s="15">
        <v>5</v>
      </c>
      <c r="I76" s="18">
        <f t="shared" si="29"/>
        <v>0</v>
      </c>
      <c r="J76" s="18">
        <f t="shared" si="30"/>
        <v>13.003024686832861</v>
      </c>
      <c r="K76" s="19">
        <f t="shared" si="24"/>
        <v>19.999984569282837</v>
      </c>
      <c r="L76" s="15">
        <v>27.97</v>
      </c>
      <c r="M76" s="15">
        <v>69.33</v>
      </c>
      <c r="N76" s="15">
        <v>47.82</v>
      </c>
      <c r="O76" s="15"/>
      <c r="P76" s="15"/>
      <c r="Q76" s="15"/>
    </row>
    <row r="77" spans="1:17">
      <c r="A77" s="14">
        <v>70</v>
      </c>
      <c r="B77" s="14" t="s">
        <v>74</v>
      </c>
      <c r="C77" s="15" t="s">
        <v>78</v>
      </c>
      <c r="D77" s="27">
        <v>24</v>
      </c>
      <c r="E77" s="27" t="s">
        <v>81</v>
      </c>
      <c r="F77" s="16">
        <v>31.998000000000001</v>
      </c>
      <c r="G77" s="17">
        <f t="shared" si="28"/>
        <v>25.000800612263212</v>
      </c>
      <c r="H77" s="15">
        <v>5</v>
      </c>
      <c r="I77" s="18">
        <f t="shared" si="29"/>
        <v>0</v>
      </c>
      <c r="J77" s="18">
        <f t="shared" si="30"/>
        <v>13.003024686832861</v>
      </c>
      <c r="K77" s="19">
        <f t="shared" si="24"/>
        <v>19.999359530700133</v>
      </c>
      <c r="L77" s="15">
        <v>27.34</v>
      </c>
      <c r="M77" s="15">
        <v>63.39</v>
      </c>
      <c r="N77" s="15">
        <v>47</v>
      </c>
      <c r="O77" s="15"/>
      <c r="P77" s="15"/>
      <c r="Q77" s="15"/>
    </row>
    <row r="78" spans="1:17">
      <c r="A78" s="14">
        <v>71</v>
      </c>
      <c r="B78" s="14" t="s">
        <v>74</v>
      </c>
      <c r="C78" s="15" t="s">
        <v>83</v>
      </c>
      <c r="D78" s="27">
        <v>24</v>
      </c>
      <c r="E78" s="27" t="s">
        <v>81</v>
      </c>
      <c r="F78" s="16">
        <v>32.002000000000002</v>
      </c>
      <c r="G78" s="17">
        <f t="shared" si="28"/>
        <v>25.003925907670713</v>
      </c>
      <c r="H78" s="15">
        <v>5</v>
      </c>
      <c r="I78" s="18">
        <f t="shared" si="29"/>
        <v>0</v>
      </c>
      <c r="J78" s="18">
        <f t="shared" si="30"/>
        <v>13.003024686832861</v>
      </c>
      <c r="K78" s="19">
        <f t="shared" si="24"/>
        <v>19.996859766994024</v>
      </c>
      <c r="L78" s="15">
        <v>27.5</v>
      </c>
      <c r="M78" s="15">
        <v>64.53</v>
      </c>
      <c r="N78" s="15">
        <v>47.91</v>
      </c>
      <c r="O78" s="15"/>
      <c r="P78" s="15"/>
      <c r="Q78" s="15"/>
    </row>
    <row r="79" spans="1:17">
      <c r="A79" s="14">
        <v>72</v>
      </c>
      <c r="B79" s="14" t="s">
        <v>74</v>
      </c>
      <c r="C79" s="15" t="s">
        <v>84</v>
      </c>
      <c r="D79" s="27">
        <v>24</v>
      </c>
      <c r="E79" s="27" t="s">
        <v>81</v>
      </c>
      <c r="F79" s="16">
        <v>31.997</v>
      </c>
      <c r="G79" s="17">
        <f t="shared" si="28"/>
        <v>25.000019288411337</v>
      </c>
      <c r="H79" s="15">
        <v>5</v>
      </c>
      <c r="I79" s="18">
        <f t="shared" si="29"/>
        <v>0</v>
      </c>
      <c r="J79" s="18">
        <f t="shared" si="30"/>
        <v>13.003024686832861</v>
      </c>
      <c r="K79" s="19">
        <f t="shared" si="24"/>
        <v>19.999984569282837</v>
      </c>
      <c r="L79" s="15"/>
      <c r="M79" s="15"/>
      <c r="N79" s="15"/>
      <c r="O79" s="15"/>
      <c r="P79" s="15"/>
      <c r="Q79" s="15"/>
    </row>
    <row r="80" spans="1:17">
      <c r="A80" s="14">
        <v>73</v>
      </c>
      <c r="B80" s="14" t="s">
        <v>74</v>
      </c>
      <c r="C80" s="15" t="s">
        <v>75</v>
      </c>
      <c r="D80" s="27">
        <v>24</v>
      </c>
      <c r="E80" s="27" t="s">
        <v>82</v>
      </c>
      <c r="F80" s="16">
        <v>32.002000000000002</v>
      </c>
      <c r="G80" s="17">
        <f t="shared" si="28"/>
        <v>25.003925907670713</v>
      </c>
      <c r="H80" s="15">
        <v>0</v>
      </c>
      <c r="I80" s="18">
        <v>10.3</v>
      </c>
      <c r="J80" s="18">
        <f>25-H80-I80- (AVERAGE($G$2:$G$3))</f>
        <v>7.70302468683286</v>
      </c>
      <c r="K80" s="19">
        <f t="shared" si="24"/>
        <v>0</v>
      </c>
      <c r="L80" s="15">
        <v>27.18</v>
      </c>
      <c r="M80" s="15">
        <v>69.02</v>
      </c>
      <c r="N80" s="15">
        <v>47.88</v>
      </c>
      <c r="O80" s="15"/>
      <c r="P80" s="15"/>
      <c r="Q80" s="15"/>
    </row>
    <row r="81" spans="1:17">
      <c r="A81" s="14">
        <v>74</v>
      </c>
      <c r="B81" s="14" t="s">
        <v>74</v>
      </c>
      <c r="C81" s="15" t="s">
        <v>76</v>
      </c>
      <c r="D81" s="27">
        <v>24</v>
      </c>
      <c r="E81" s="27" t="s">
        <v>82</v>
      </c>
      <c r="F81" s="16">
        <v>31.992000000000001</v>
      </c>
      <c r="G81" s="17">
        <f t="shared" si="28"/>
        <v>24.996112669151969</v>
      </c>
      <c r="H81" s="15">
        <v>0</v>
      </c>
      <c r="I81" s="18">
        <v>10.3</v>
      </c>
      <c r="J81" s="18">
        <f t="shared" ref="J81:J85" si="31">25-H81-I81- (AVERAGE($G$2:$G$3))</f>
        <v>7.70302468683286</v>
      </c>
      <c r="K81" s="19">
        <f t="shared" si="24"/>
        <v>0</v>
      </c>
      <c r="L81" s="15">
        <v>27.32</v>
      </c>
      <c r="M81" s="15">
        <v>69.599999999999994</v>
      </c>
      <c r="N81" s="15">
        <v>48.85</v>
      </c>
      <c r="O81" s="15"/>
      <c r="P81" s="15"/>
      <c r="Q81" s="15"/>
    </row>
    <row r="82" spans="1:17">
      <c r="A82" s="14">
        <v>75</v>
      </c>
      <c r="B82" s="14" t="s">
        <v>74</v>
      </c>
      <c r="C82" s="15" t="s">
        <v>77</v>
      </c>
      <c r="D82" s="27">
        <v>24</v>
      </c>
      <c r="E82" s="27" t="s">
        <v>82</v>
      </c>
      <c r="F82" s="16">
        <v>31.998999999999999</v>
      </c>
      <c r="G82" s="17">
        <f t="shared" si="28"/>
        <v>25.001581936115088</v>
      </c>
      <c r="H82" s="15">
        <v>0</v>
      </c>
      <c r="I82" s="18">
        <v>10.3</v>
      </c>
      <c r="J82" s="18">
        <f t="shared" si="31"/>
        <v>7.70302468683286</v>
      </c>
      <c r="K82" s="19">
        <f t="shared" si="24"/>
        <v>0</v>
      </c>
      <c r="L82" s="15">
        <v>27.21</v>
      </c>
      <c r="M82" s="15">
        <v>68.97</v>
      </c>
      <c r="N82" s="15">
        <v>49.02</v>
      </c>
      <c r="O82" s="15"/>
      <c r="P82" s="15"/>
      <c r="Q82" s="15"/>
    </row>
    <row r="83" spans="1:17">
      <c r="A83" s="14">
        <v>76</v>
      </c>
      <c r="B83" s="14" t="s">
        <v>74</v>
      </c>
      <c r="C83" s="15" t="s">
        <v>78</v>
      </c>
      <c r="D83" s="27">
        <v>24</v>
      </c>
      <c r="E83" s="27" t="s">
        <v>82</v>
      </c>
      <c r="F83" s="16">
        <v>32.008000000000003</v>
      </c>
      <c r="G83" s="17">
        <f t="shared" si="28"/>
        <v>25.008613850781956</v>
      </c>
      <c r="H83" s="15">
        <v>0</v>
      </c>
      <c r="I83" s="18">
        <v>10.3</v>
      </c>
      <c r="J83" s="18">
        <f t="shared" si="31"/>
        <v>7.70302468683286</v>
      </c>
      <c r="K83" s="19">
        <f t="shared" si="24"/>
        <v>0</v>
      </c>
      <c r="L83" s="15">
        <v>27.19</v>
      </c>
      <c r="M83" s="15">
        <v>62.94</v>
      </c>
      <c r="N83" s="15">
        <v>46.95</v>
      </c>
      <c r="O83" s="15"/>
      <c r="P83" s="15"/>
      <c r="Q83" s="15"/>
    </row>
    <row r="84" spans="1:17">
      <c r="A84" s="14">
        <v>77</v>
      </c>
      <c r="B84" s="14" t="s">
        <v>74</v>
      </c>
      <c r="C84" s="15" t="s">
        <v>83</v>
      </c>
      <c r="D84" s="27">
        <v>24</v>
      </c>
      <c r="E84" s="27" t="s">
        <v>82</v>
      </c>
      <c r="F84" s="16">
        <v>32.003</v>
      </c>
      <c r="G84" s="17">
        <f t="shared" si="28"/>
        <v>25.004707231522584</v>
      </c>
      <c r="H84" s="15">
        <v>0</v>
      </c>
      <c r="I84" s="18">
        <v>10.3</v>
      </c>
      <c r="J84" s="18">
        <f t="shared" si="31"/>
        <v>7.70302468683286</v>
      </c>
      <c r="K84" s="19">
        <f t="shared" si="24"/>
        <v>0</v>
      </c>
      <c r="L84" s="15">
        <v>27.4</v>
      </c>
      <c r="M84" s="15">
        <v>63.36</v>
      </c>
      <c r="N84" s="15">
        <v>47.12</v>
      </c>
      <c r="O84" s="15"/>
      <c r="P84" s="15"/>
      <c r="Q84" s="15"/>
    </row>
    <row r="85" spans="1:17">
      <c r="A85" s="14">
        <v>78</v>
      </c>
      <c r="B85" s="14" t="s">
        <v>74</v>
      </c>
      <c r="C85" s="15" t="s">
        <v>84</v>
      </c>
      <c r="D85" s="27">
        <v>24</v>
      </c>
      <c r="E85" s="27" t="s">
        <v>82</v>
      </c>
      <c r="F85" s="16">
        <v>31.998999999999999</v>
      </c>
      <c r="G85" s="17">
        <f t="shared" si="28"/>
        <v>25.001581936115088</v>
      </c>
      <c r="H85" s="15">
        <v>0</v>
      </c>
      <c r="I85" s="18">
        <v>10.3</v>
      </c>
      <c r="J85" s="18">
        <f t="shared" si="31"/>
        <v>7.70302468683286</v>
      </c>
      <c r="K85" s="19">
        <f t="shared" si="24"/>
        <v>0</v>
      </c>
      <c r="L85" s="15"/>
      <c r="M85" s="15"/>
      <c r="N85" s="15"/>
      <c r="O85" s="15"/>
      <c r="P85" s="15"/>
      <c r="Q85" s="15"/>
    </row>
    <row r="86" spans="1:17">
      <c r="A86" s="14">
        <v>79</v>
      </c>
      <c r="B86" s="14" t="s">
        <v>74</v>
      </c>
      <c r="C86" s="15" t="s">
        <v>75</v>
      </c>
      <c r="D86" s="27">
        <v>24</v>
      </c>
      <c r="E86" s="27" t="s">
        <v>82</v>
      </c>
      <c r="F86" s="16">
        <v>31.997</v>
      </c>
      <c r="G86" s="17">
        <f t="shared" si="28"/>
        <v>25.000019288411337</v>
      </c>
      <c r="H86" s="15">
        <v>1.5</v>
      </c>
      <c r="I86" s="18">
        <v>8.3000000000000007</v>
      </c>
      <c r="J86" s="18">
        <f>25-H86-I86- (AVERAGE($G$2:$G$3))</f>
        <v>8.20302468683286</v>
      </c>
      <c r="K86" s="19">
        <f t="shared" si="24"/>
        <v>5.9999953707848501</v>
      </c>
      <c r="L86" s="15">
        <v>27.12</v>
      </c>
      <c r="M86" s="15">
        <v>63.86</v>
      </c>
      <c r="N86" s="15">
        <v>43</v>
      </c>
      <c r="O86" s="15"/>
      <c r="P86" s="15"/>
      <c r="Q86" s="15"/>
    </row>
    <row r="87" spans="1:17">
      <c r="A87" s="14">
        <v>80</v>
      </c>
      <c r="B87" s="14" t="s">
        <v>74</v>
      </c>
      <c r="C87" s="15" t="s">
        <v>76</v>
      </c>
      <c r="D87" s="27">
        <v>24</v>
      </c>
      <c r="E87" s="27" t="s">
        <v>82</v>
      </c>
      <c r="F87" s="16">
        <v>31.995999999999999</v>
      </c>
      <c r="G87" s="17">
        <f t="shared" si="28"/>
        <v>24.999237964559462</v>
      </c>
      <c r="H87" s="15">
        <v>1.5</v>
      </c>
      <c r="I87" s="18">
        <v>8.3000000000000007</v>
      </c>
      <c r="J87" s="18">
        <f t="shared" ref="J87:J91" si="32">25-H87-I87- (AVERAGE($G$2:$G$3))</f>
        <v>8.20302468683286</v>
      </c>
      <c r="K87" s="19">
        <f t="shared" si="24"/>
        <v>6.0001828940805995</v>
      </c>
      <c r="L87" s="15">
        <v>27.65</v>
      </c>
      <c r="M87" s="15">
        <v>65.099999999999994</v>
      </c>
      <c r="N87" s="15">
        <v>43.75</v>
      </c>
      <c r="O87" s="15"/>
      <c r="P87" s="15"/>
      <c r="Q87" s="15"/>
    </row>
    <row r="88" spans="1:17">
      <c r="A88" s="14">
        <v>81</v>
      </c>
      <c r="B88" s="14" t="s">
        <v>74</v>
      </c>
      <c r="C88" s="15" t="s">
        <v>77</v>
      </c>
      <c r="D88" s="27">
        <v>24</v>
      </c>
      <c r="E88" s="27" t="s">
        <v>82</v>
      </c>
      <c r="F88" s="16">
        <v>32.01</v>
      </c>
      <c r="G88" s="17">
        <f t="shared" si="28"/>
        <v>25.010176498485698</v>
      </c>
      <c r="H88" s="15">
        <v>1.5</v>
      </c>
      <c r="I88" s="18">
        <v>8.3000000000000007</v>
      </c>
      <c r="J88" s="18">
        <f t="shared" si="32"/>
        <v>8.20302468683286</v>
      </c>
      <c r="K88" s="19">
        <f t="shared" si="24"/>
        <v>5.997558634145669</v>
      </c>
      <c r="L88" s="15">
        <v>28.59</v>
      </c>
      <c r="M88" s="15">
        <v>63.03</v>
      </c>
      <c r="N88" s="15">
        <v>43.44</v>
      </c>
      <c r="O88" s="15"/>
      <c r="P88" s="15"/>
      <c r="Q88" s="15"/>
    </row>
    <row r="89" spans="1:17">
      <c r="A89" s="14">
        <v>82</v>
      </c>
      <c r="B89" s="14" t="s">
        <v>74</v>
      </c>
      <c r="C89" s="15" t="s">
        <v>78</v>
      </c>
      <c r="D89" s="27">
        <v>24</v>
      </c>
      <c r="E89" s="27" t="s">
        <v>82</v>
      </c>
      <c r="F89" s="16">
        <v>32.003</v>
      </c>
      <c r="G89" s="17">
        <f t="shared" si="28"/>
        <v>25.004707231522584</v>
      </c>
      <c r="H89" s="15">
        <v>1.5</v>
      </c>
      <c r="I89" s="18">
        <v>8.3000000000000007</v>
      </c>
      <c r="J89" s="18">
        <f t="shared" si="32"/>
        <v>8.20302468683286</v>
      </c>
      <c r="K89" s="19">
        <f t="shared" si="24"/>
        <v>5.9988704771116099</v>
      </c>
      <c r="L89" s="15">
        <v>27.21</v>
      </c>
      <c r="M89" s="15">
        <v>64.75</v>
      </c>
      <c r="N89" s="15">
        <v>46.83</v>
      </c>
      <c r="O89" s="15"/>
      <c r="P89" s="15"/>
      <c r="Q89" s="15"/>
    </row>
    <row r="90" spans="1:17">
      <c r="A90" s="14">
        <v>83</v>
      </c>
      <c r="B90" s="14" t="s">
        <v>74</v>
      </c>
      <c r="C90" s="15" t="s">
        <v>83</v>
      </c>
      <c r="D90" s="27">
        <v>24</v>
      </c>
      <c r="E90" s="27" t="s">
        <v>82</v>
      </c>
      <c r="F90" s="16">
        <v>31.995999999999999</v>
      </c>
      <c r="G90" s="17">
        <f t="shared" si="28"/>
        <v>24.999237964559462</v>
      </c>
      <c r="H90" s="15">
        <v>1.5</v>
      </c>
      <c r="I90" s="18">
        <v>8.3000000000000007</v>
      </c>
      <c r="J90" s="18">
        <f t="shared" si="32"/>
        <v>8.20302468683286</v>
      </c>
      <c r="K90" s="19">
        <f t="shared" si="24"/>
        <v>6.0001828940805995</v>
      </c>
      <c r="L90" s="15">
        <v>27.64</v>
      </c>
      <c r="M90" s="15">
        <v>64.47</v>
      </c>
      <c r="N90" s="15">
        <v>46.43</v>
      </c>
      <c r="O90" s="15"/>
      <c r="P90" s="15"/>
      <c r="Q90" s="15"/>
    </row>
    <row r="91" spans="1:17">
      <c r="A91" s="14">
        <v>84</v>
      </c>
      <c r="B91" s="14" t="s">
        <v>74</v>
      </c>
      <c r="C91" s="15" t="s">
        <v>84</v>
      </c>
      <c r="D91" s="27">
        <v>24</v>
      </c>
      <c r="E91" s="27" t="s">
        <v>82</v>
      </c>
      <c r="F91" s="16">
        <v>32.003999999999998</v>
      </c>
      <c r="G91" s="17">
        <f t="shared" si="28"/>
        <v>25.005488555374455</v>
      </c>
      <c r="H91" s="15">
        <v>1.5</v>
      </c>
      <c r="I91" s="18">
        <v>8.3000000000000007</v>
      </c>
      <c r="J91" s="18">
        <f t="shared" si="32"/>
        <v>8.20302468683286</v>
      </c>
      <c r="K91" s="19">
        <f t="shared" si="24"/>
        <v>5.9986830358393597</v>
      </c>
      <c r="L91" s="15"/>
      <c r="M91" s="15"/>
      <c r="N91" s="15"/>
      <c r="O91" s="15"/>
      <c r="P91" s="15"/>
      <c r="Q91" s="15"/>
    </row>
    <row r="92" spans="1:17">
      <c r="A92" s="14">
        <v>85</v>
      </c>
      <c r="B92" s="14" t="s">
        <v>74</v>
      </c>
      <c r="C92" s="15" t="s">
        <v>75</v>
      </c>
      <c r="D92" s="27">
        <v>24</v>
      </c>
      <c r="E92" s="27" t="s">
        <v>82</v>
      </c>
      <c r="F92" s="16">
        <v>31.995999999999999</v>
      </c>
      <c r="G92" s="17">
        <f t="shared" si="28"/>
        <v>24.999237964559462</v>
      </c>
      <c r="H92" s="15">
        <v>4</v>
      </c>
      <c r="I92" s="18">
        <v>2.9</v>
      </c>
      <c r="J92" s="18">
        <f>25-H92-I92- (AVERAGE($G$2:$G$3))</f>
        <v>11.103024686832862</v>
      </c>
      <c r="K92" s="19">
        <f t="shared" si="24"/>
        <v>16.000487717548268</v>
      </c>
      <c r="L92" s="15">
        <v>27.38</v>
      </c>
      <c r="M92" s="15">
        <v>61.58</v>
      </c>
      <c r="N92" s="15">
        <v>41.7</v>
      </c>
      <c r="O92" s="15"/>
      <c r="P92" s="15"/>
      <c r="Q92" s="15"/>
    </row>
    <row r="93" spans="1:17">
      <c r="A93" s="14">
        <v>86</v>
      </c>
      <c r="B93" s="14" t="s">
        <v>74</v>
      </c>
      <c r="C93" s="15" t="s">
        <v>76</v>
      </c>
      <c r="D93" s="27">
        <v>24</v>
      </c>
      <c r="E93" s="27" t="s">
        <v>82</v>
      </c>
      <c r="F93" s="16">
        <v>31.997</v>
      </c>
      <c r="G93" s="17">
        <f t="shared" si="28"/>
        <v>25.000019288411337</v>
      </c>
      <c r="H93" s="15">
        <v>4</v>
      </c>
      <c r="I93" s="18">
        <v>2.9</v>
      </c>
      <c r="J93" s="18">
        <f t="shared" ref="J93:J97" si="33">25-H93-I93- (AVERAGE($G$2:$G$3))</f>
        <v>11.103024686832862</v>
      </c>
      <c r="K93" s="19">
        <f t="shared" si="24"/>
        <v>15.999987655426267</v>
      </c>
      <c r="L93" s="15">
        <v>27.05</v>
      </c>
      <c r="M93" s="15">
        <v>60.15</v>
      </c>
      <c r="N93" s="15">
        <v>40.15</v>
      </c>
      <c r="O93" s="15"/>
      <c r="P93" s="15"/>
      <c r="Q93" s="15"/>
    </row>
    <row r="94" spans="1:17">
      <c r="A94" s="14">
        <v>87</v>
      </c>
      <c r="B94" s="14" t="s">
        <v>74</v>
      </c>
      <c r="C94" s="15" t="s">
        <v>77</v>
      </c>
      <c r="D94" s="27">
        <v>24</v>
      </c>
      <c r="E94" s="27" t="s">
        <v>82</v>
      </c>
      <c r="F94" s="16">
        <v>31.998999999999999</v>
      </c>
      <c r="G94" s="17">
        <f t="shared" si="28"/>
        <v>25.001581936115088</v>
      </c>
      <c r="H94" s="15">
        <v>4</v>
      </c>
      <c r="I94" s="18">
        <v>2.9</v>
      </c>
      <c r="J94" s="18">
        <f t="shared" si="33"/>
        <v>11.103024686832862</v>
      </c>
      <c r="K94" s="19">
        <f t="shared" si="24"/>
        <v>15.998987624946851</v>
      </c>
      <c r="L94" s="15">
        <v>28.72</v>
      </c>
      <c r="M94" s="15">
        <v>63.55</v>
      </c>
      <c r="N94" s="15">
        <v>43.24</v>
      </c>
      <c r="O94" s="15"/>
      <c r="P94" s="15"/>
      <c r="Q94" s="15"/>
    </row>
    <row r="95" spans="1:17">
      <c r="A95" s="14">
        <v>88</v>
      </c>
      <c r="B95" s="14" t="s">
        <v>74</v>
      </c>
      <c r="C95" s="15" t="s">
        <v>78</v>
      </c>
      <c r="D95" s="27">
        <v>24</v>
      </c>
      <c r="E95" s="27" t="s">
        <v>82</v>
      </c>
      <c r="F95" s="16">
        <v>32.009</v>
      </c>
      <c r="G95" s="17">
        <f t="shared" si="28"/>
        <v>25.009395174633827</v>
      </c>
      <c r="H95" s="15">
        <v>4</v>
      </c>
      <c r="I95" s="18">
        <v>2.9</v>
      </c>
      <c r="J95" s="18">
        <f t="shared" si="33"/>
        <v>11.103024686832862</v>
      </c>
      <c r="K95" s="19">
        <f t="shared" si="24"/>
        <v>15.993989347079705</v>
      </c>
      <c r="L95" s="15">
        <v>28.72</v>
      </c>
      <c r="M95" s="15">
        <v>64.23</v>
      </c>
      <c r="N95" s="15">
        <v>47.9</v>
      </c>
      <c r="O95" s="15"/>
      <c r="P95" s="15"/>
      <c r="Q95" s="15"/>
    </row>
    <row r="96" spans="1:17">
      <c r="A96" s="14">
        <v>89</v>
      </c>
      <c r="B96" s="14" t="s">
        <v>74</v>
      </c>
      <c r="C96" s="15" t="s">
        <v>83</v>
      </c>
      <c r="D96" s="27">
        <v>24</v>
      </c>
      <c r="E96" s="27" t="s">
        <v>82</v>
      </c>
      <c r="F96" s="16">
        <v>32.002000000000002</v>
      </c>
      <c r="G96" s="17">
        <f t="shared" si="28"/>
        <v>25.003925907670713</v>
      </c>
      <c r="H96" s="15">
        <v>4</v>
      </c>
      <c r="I96" s="18">
        <v>2.9</v>
      </c>
      <c r="J96" s="18">
        <f t="shared" si="33"/>
        <v>11.103024686832862</v>
      </c>
      <c r="K96" s="19">
        <f t="shared" si="24"/>
        <v>15.997487813595217</v>
      </c>
      <c r="L96" s="15">
        <v>27.81</v>
      </c>
      <c r="M96" s="15">
        <v>62.94</v>
      </c>
      <c r="N96" s="15">
        <v>46.7</v>
      </c>
      <c r="O96" s="15"/>
      <c r="P96" s="15"/>
      <c r="Q96" s="15"/>
    </row>
    <row r="97" spans="1:17">
      <c r="A97" s="14">
        <v>90</v>
      </c>
      <c r="B97" s="14" t="s">
        <v>74</v>
      </c>
      <c r="C97" s="15" t="s">
        <v>84</v>
      </c>
      <c r="D97" s="27">
        <v>24</v>
      </c>
      <c r="E97" s="27" t="s">
        <v>82</v>
      </c>
      <c r="F97" s="16">
        <v>31.995000000000001</v>
      </c>
      <c r="G97" s="17">
        <f t="shared" si="28"/>
        <v>24.998456640707591</v>
      </c>
      <c r="H97" s="15">
        <v>4</v>
      </c>
      <c r="I97" s="18">
        <v>2.9</v>
      </c>
      <c r="J97" s="18">
        <f t="shared" si="33"/>
        <v>11.103024686832862</v>
      </c>
      <c r="K97" s="19">
        <f t="shared" si="24"/>
        <v>16.000987810929029</v>
      </c>
      <c r="L97" s="15"/>
      <c r="M97" s="15"/>
      <c r="N97" s="15"/>
      <c r="O97" s="15"/>
      <c r="P97" s="15"/>
      <c r="Q97" s="15"/>
    </row>
    <row r="98" spans="1:17">
      <c r="A98" s="14">
        <v>91</v>
      </c>
      <c r="B98" s="14" t="s">
        <v>74</v>
      </c>
      <c r="C98" s="15" t="s">
        <v>75</v>
      </c>
      <c r="D98" s="27">
        <v>24</v>
      </c>
      <c r="E98" s="27" t="s">
        <v>82</v>
      </c>
      <c r="F98" s="16">
        <v>31.994</v>
      </c>
      <c r="G98" s="17">
        <f t="shared" si="28"/>
        <v>24.997675316855716</v>
      </c>
      <c r="H98" s="15">
        <v>5</v>
      </c>
      <c r="I98" s="18">
        <f t="shared" ref="I98:I103" si="34">((4.24-0.1641)*2.07)*($H$26-H98)/$H$26</f>
        <v>0</v>
      </c>
      <c r="J98" s="18">
        <f>25-H98-I98- (AVERAGE($G$2:$G$3))</f>
        <v>13.003024686832861</v>
      </c>
      <c r="K98" s="19">
        <f t="shared" si="24"/>
        <v>20.001859919464366</v>
      </c>
      <c r="L98" s="15">
        <v>28.72</v>
      </c>
      <c r="M98" s="15">
        <v>59.64</v>
      </c>
      <c r="N98" s="15">
        <v>41.86</v>
      </c>
      <c r="O98" s="15"/>
      <c r="P98" s="15"/>
      <c r="Q98" s="15"/>
    </row>
    <row r="99" spans="1:17">
      <c r="A99" s="14">
        <v>92</v>
      </c>
      <c r="B99" s="14" t="s">
        <v>74</v>
      </c>
      <c r="C99" s="15" t="s">
        <v>76</v>
      </c>
      <c r="D99" s="27">
        <v>24</v>
      </c>
      <c r="E99" s="27" t="s">
        <v>82</v>
      </c>
      <c r="F99" s="16">
        <v>32.009</v>
      </c>
      <c r="G99" s="17">
        <f t="shared" si="28"/>
        <v>25.009395174633827</v>
      </c>
      <c r="H99" s="15">
        <v>5</v>
      </c>
      <c r="I99" s="18">
        <f t="shared" si="34"/>
        <v>0</v>
      </c>
      <c r="J99" s="18">
        <f t="shared" ref="J99:J103" si="35">25-H99-I99- (AVERAGE($G$2:$G$3))</f>
        <v>13.003024686832861</v>
      </c>
      <c r="K99" s="19">
        <f t="shared" si="24"/>
        <v>19.992486683849631</v>
      </c>
      <c r="L99" s="15">
        <v>28.69</v>
      </c>
      <c r="M99" s="15">
        <v>60.15</v>
      </c>
      <c r="N99" s="15">
        <v>41.38</v>
      </c>
      <c r="O99" s="15"/>
      <c r="P99" s="15"/>
      <c r="Q99" s="15"/>
    </row>
    <row r="100" spans="1:17">
      <c r="A100" s="14">
        <v>93</v>
      </c>
      <c r="B100" s="14" t="s">
        <v>74</v>
      </c>
      <c r="C100" s="15" t="s">
        <v>77</v>
      </c>
      <c r="D100" s="27">
        <v>24</v>
      </c>
      <c r="E100" s="27" t="s">
        <v>82</v>
      </c>
      <c r="F100" s="16">
        <v>31.997</v>
      </c>
      <c r="G100" s="17">
        <f t="shared" si="28"/>
        <v>25.000019288411337</v>
      </c>
      <c r="H100" s="15">
        <v>5</v>
      </c>
      <c r="I100" s="18">
        <f t="shared" si="34"/>
        <v>0</v>
      </c>
      <c r="J100" s="18">
        <f t="shared" si="35"/>
        <v>13.003024686832861</v>
      </c>
      <c r="K100" s="19">
        <f t="shared" si="24"/>
        <v>19.999984569282837</v>
      </c>
      <c r="L100" s="15">
        <v>27.23</v>
      </c>
      <c r="M100" s="15">
        <v>59.64</v>
      </c>
      <c r="N100" s="15">
        <v>39.76</v>
      </c>
      <c r="O100" s="15"/>
      <c r="P100" s="15"/>
      <c r="Q100" s="15"/>
    </row>
    <row r="101" spans="1:17">
      <c r="A101" s="14">
        <v>94</v>
      </c>
      <c r="B101" s="14" t="s">
        <v>74</v>
      </c>
      <c r="C101" s="15" t="s">
        <v>78</v>
      </c>
      <c r="D101" s="27">
        <v>24</v>
      </c>
      <c r="E101" s="27" t="s">
        <v>82</v>
      </c>
      <c r="F101" s="16">
        <v>32.009</v>
      </c>
      <c r="G101" s="17">
        <f t="shared" si="28"/>
        <v>25.009395174633827</v>
      </c>
      <c r="H101" s="15">
        <v>5</v>
      </c>
      <c r="I101" s="18">
        <f t="shared" si="34"/>
        <v>0</v>
      </c>
      <c r="J101" s="18">
        <f t="shared" si="35"/>
        <v>13.003024686832861</v>
      </c>
      <c r="K101" s="19">
        <f t="shared" si="24"/>
        <v>19.992486683849631</v>
      </c>
      <c r="L101" s="15">
        <v>27.13</v>
      </c>
      <c r="M101" s="15">
        <v>62.45</v>
      </c>
      <c r="N101" s="15">
        <v>46.11</v>
      </c>
      <c r="O101" s="15"/>
      <c r="P101" s="15"/>
      <c r="Q101" s="15"/>
    </row>
    <row r="102" spans="1:17">
      <c r="A102" s="14">
        <v>95</v>
      </c>
      <c r="B102" s="14" t="s">
        <v>74</v>
      </c>
      <c r="C102" s="15" t="s">
        <v>83</v>
      </c>
      <c r="D102" s="27">
        <v>24</v>
      </c>
      <c r="E102" s="27" t="s">
        <v>82</v>
      </c>
      <c r="F102" s="16">
        <v>32.000999999999998</v>
      </c>
      <c r="G102" s="17">
        <f t="shared" si="28"/>
        <v>25.003144583818834</v>
      </c>
      <c r="H102" s="15">
        <v>5</v>
      </c>
      <c r="I102" s="18">
        <f t="shared" si="34"/>
        <v>0</v>
      </c>
      <c r="J102" s="18">
        <f t="shared" si="35"/>
        <v>13.003024686832861</v>
      </c>
      <c r="K102" s="19">
        <f t="shared" si="24"/>
        <v>19.997484649334176</v>
      </c>
      <c r="L102" s="15">
        <v>28.48</v>
      </c>
      <c r="M102" s="15">
        <v>65.53</v>
      </c>
      <c r="N102" s="15">
        <v>47.79</v>
      </c>
      <c r="O102" s="15"/>
      <c r="P102" s="15"/>
      <c r="Q102" s="15"/>
    </row>
    <row r="103" spans="1:17" ht="13.5" thickBot="1">
      <c r="A103" s="97">
        <v>96</v>
      </c>
      <c r="B103" s="97" t="s">
        <v>74</v>
      </c>
      <c r="C103" s="97" t="s">
        <v>84</v>
      </c>
      <c r="D103" s="101">
        <v>24</v>
      </c>
      <c r="E103" s="101" t="s">
        <v>82</v>
      </c>
      <c r="F103" s="102">
        <v>31.995000000000001</v>
      </c>
      <c r="G103" s="100">
        <f t="shared" si="28"/>
        <v>24.998456640707591</v>
      </c>
      <c r="H103" s="97">
        <v>5</v>
      </c>
      <c r="I103" s="100">
        <f t="shared" si="34"/>
        <v>0</v>
      </c>
      <c r="J103" s="100">
        <f t="shared" si="35"/>
        <v>13.003024686832861</v>
      </c>
      <c r="K103" s="103">
        <f t="shared" si="24"/>
        <v>20.001234763661284</v>
      </c>
      <c r="L103" s="97"/>
      <c r="M103" s="97"/>
      <c r="N103" s="97"/>
      <c r="O103" s="97"/>
      <c r="P103" s="97"/>
      <c r="Q103" s="97"/>
    </row>
    <row r="104" spans="1:17">
      <c r="A104" s="14">
        <v>97</v>
      </c>
      <c r="B104" s="14" t="s">
        <v>74</v>
      </c>
      <c r="C104" s="14" t="s">
        <v>75</v>
      </c>
      <c r="D104" s="27">
        <v>32</v>
      </c>
      <c r="E104" s="27" t="s">
        <v>81</v>
      </c>
      <c r="F104" s="16">
        <v>31.995999999999999</v>
      </c>
      <c r="G104" s="17">
        <f t="shared" si="28"/>
        <v>24.999237964559462</v>
      </c>
      <c r="H104" s="14">
        <v>0</v>
      </c>
      <c r="I104" s="17">
        <v>10.3</v>
      </c>
      <c r="J104" s="17">
        <f>25-H104-I104- (AVERAGE($G$2:$G$3))</f>
        <v>7.70302468683286</v>
      </c>
      <c r="K104" s="25">
        <f t="shared" si="24"/>
        <v>0</v>
      </c>
      <c r="L104" s="14">
        <v>27.007999999999999</v>
      </c>
      <c r="M104" s="14">
        <v>70.010000000000005</v>
      </c>
      <c r="N104" s="14">
        <v>47.408000000000001</v>
      </c>
      <c r="O104" s="14"/>
      <c r="P104" s="14"/>
      <c r="Q104" s="14"/>
    </row>
    <row r="105" spans="1:17">
      <c r="A105" s="14">
        <v>98</v>
      </c>
      <c r="B105" s="14" t="s">
        <v>74</v>
      </c>
      <c r="C105" s="15" t="s">
        <v>76</v>
      </c>
      <c r="D105" s="27">
        <v>32</v>
      </c>
      <c r="E105" s="27" t="s">
        <v>81</v>
      </c>
      <c r="F105" s="16">
        <v>32.006999999999998</v>
      </c>
      <c r="G105" s="17">
        <f t="shared" si="28"/>
        <v>25.007832526930077</v>
      </c>
      <c r="H105" s="15">
        <v>0</v>
      </c>
      <c r="I105" s="18">
        <v>10.3</v>
      </c>
      <c r="J105" s="18">
        <f t="shared" ref="J105:J109" si="36">25-H105-I105- (AVERAGE($G$2:$G$3))</f>
        <v>7.70302468683286</v>
      </c>
      <c r="K105" s="19">
        <f t="shared" si="24"/>
        <v>0</v>
      </c>
      <c r="L105" s="15">
        <v>26.843</v>
      </c>
      <c r="M105" s="15">
        <v>68.760000000000005</v>
      </c>
      <c r="N105" s="15">
        <v>47.485999999999997</v>
      </c>
      <c r="O105" s="15"/>
      <c r="P105" s="15"/>
      <c r="Q105" s="15"/>
    </row>
    <row r="106" spans="1:17">
      <c r="A106" s="14">
        <v>99</v>
      </c>
      <c r="B106" s="14" t="s">
        <v>74</v>
      </c>
      <c r="C106" s="15" t="s">
        <v>77</v>
      </c>
      <c r="D106" s="27">
        <v>32</v>
      </c>
      <c r="E106" s="27" t="s">
        <v>81</v>
      </c>
      <c r="F106" s="16">
        <v>31.991</v>
      </c>
      <c r="G106" s="17">
        <f t="shared" si="28"/>
        <v>24.995331345300094</v>
      </c>
      <c r="H106" s="15">
        <v>0</v>
      </c>
      <c r="I106" s="18">
        <v>10.3</v>
      </c>
      <c r="J106" s="18">
        <f t="shared" si="36"/>
        <v>7.70302468683286</v>
      </c>
      <c r="K106" s="19">
        <f t="shared" si="24"/>
        <v>0</v>
      </c>
      <c r="L106" s="15">
        <v>27.271000000000001</v>
      </c>
      <c r="M106" s="15">
        <v>70.05</v>
      </c>
      <c r="N106" s="15">
        <v>48.954000000000001</v>
      </c>
      <c r="O106" s="15"/>
      <c r="P106" s="15"/>
      <c r="Q106" s="15"/>
    </row>
    <row r="107" spans="1:17">
      <c r="A107" s="14">
        <v>100</v>
      </c>
      <c r="B107" s="14" t="s">
        <v>74</v>
      </c>
      <c r="C107" s="15" t="s">
        <v>78</v>
      </c>
      <c r="D107" s="27">
        <v>32</v>
      </c>
      <c r="E107" s="27" t="s">
        <v>81</v>
      </c>
      <c r="F107" s="16">
        <v>31.995999999999999</v>
      </c>
      <c r="G107" s="17">
        <f t="shared" si="28"/>
        <v>24.999237964559462</v>
      </c>
      <c r="H107" s="15">
        <v>0</v>
      </c>
      <c r="I107" s="18">
        <v>10.3</v>
      </c>
      <c r="J107" s="18">
        <f t="shared" si="36"/>
        <v>7.70302468683286</v>
      </c>
      <c r="K107" s="19">
        <f t="shared" si="24"/>
        <v>0</v>
      </c>
      <c r="L107" s="15">
        <v>28.617000000000001</v>
      </c>
      <c r="M107" s="15">
        <v>63.83</v>
      </c>
      <c r="N107" s="15">
        <v>48.036000000000001</v>
      </c>
      <c r="O107" s="15"/>
      <c r="P107" s="15"/>
      <c r="Q107" s="15"/>
    </row>
    <row r="108" spans="1:17">
      <c r="A108" s="14">
        <v>101</v>
      </c>
      <c r="B108" s="14" t="s">
        <v>74</v>
      </c>
      <c r="C108" s="15" t="s">
        <v>83</v>
      </c>
      <c r="D108" s="27">
        <v>32</v>
      </c>
      <c r="E108" s="27" t="s">
        <v>81</v>
      </c>
      <c r="F108" s="16">
        <v>32.012</v>
      </c>
      <c r="G108" s="17">
        <f t="shared" si="28"/>
        <v>25.011739146189448</v>
      </c>
      <c r="H108" s="15">
        <v>0</v>
      </c>
      <c r="I108" s="18">
        <v>10.3</v>
      </c>
      <c r="J108" s="18">
        <f t="shared" si="36"/>
        <v>7.70302468683286</v>
      </c>
      <c r="K108" s="19">
        <f t="shared" si="24"/>
        <v>0</v>
      </c>
      <c r="L108" s="15">
        <v>27.241</v>
      </c>
      <c r="M108" s="15">
        <v>63.11</v>
      </c>
      <c r="N108" s="15">
        <v>46.75</v>
      </c>
      <c r="O108" s="15"/>
      <c r="P108" s="15"/>
      <c r="Q108" s="15"/>
    </row>
    <row r="109" spans="1:17">
      <c r="A109" s="14">
        <v>102</v>
      </c>
      <c r="B109" s="14" t="s">
        <v>74</v>
      </c>
      <c r="C109" s="15" t="s">
        <v>84</v>
      </c>
      <c r="D109" s="27">
        <v>32</v>
      </c>
      <c r="E109" s="27" t="s">
        <v>81</v>
      </c>
      <c r="F109" s="16">
        <v>32.005000000000003</v>
      </c>
      <c r="G109" s="17">
        <f t="shared" si="28"/>
        <v>25.006269879226334</v>
      </c>
      <c r="H109" s="15">
        <v>0</v>
      </c>
      <c r="I109" s="18">
        <v>10.3</v>
      </c>
      <c r="J109" s="18">
        <f t="shared" si="36"/>
        <v>7.70302468683286</v>
      </c>
      <c r="K109" s="19">
        <f t="shared" si="24"/>
        <v>0</v>
      </c>
      <c r="L109" s="15"/>
      <c r="M109" s="15"/>
      <c r="N109" s="15"/>
      <c r="O109" s="15"/>
      <c r="P109" s="15"/>
      <c r="Q109" s="15"/>
    </row>
    <row r="110" spans="1:17">
      <c r="A110" s="14">
        <v>103</v>
      </c>
      <c r="B110" s="14" t="s">
        <v>74</v>
      </c>
      <c r="C110" s="15" t="s">
        <v>75</v>
      </c>
      <c r="D110" s="27">
        <v>32</v>
      </c>
      <c r="E110" s="27" t="s">
        <v>81</v>
      </c>
      <c r="F110" s="16">
        <v>31.992000000000001</v>
      </c>
      <c r="G110" s="17">
        <f t="shared" si="28"/>
        <v>24.996112669151969</v>
      </c>
      <c r="H110" s="15">
        <v>1.5</v>
      </c>
      <c r="I110" s="18">
        <v>8.3000000000000007</v>
      </c>
      <c r="J110" s="18">
        <f>25-H110-I110- (AVERAGE($G$2:$G$3))</f>
        <v>8.20302468683286</v>
      </c>
      <c r="K110" s="19">
        <f t="shared" si="24"/>
        <v>6.0009331044949628</v>
      </c>
      <c r="L110" s="15">
        <v>27.298999999999999</v>
      </c>
      <c r="M110" s="15">
        <v>68.28</v>
      </c>
      <c r="N110" s="15">
        <v>47.881999999999998</v>
      </c>
      <c r="O110" s="15"/>
      <c r="P110" s="15"/>
      <c r="Q110" s="15"/>
    </row>
    <row r="111" spans="1:17">
      <c r="A111" s="14">
        <v>104</v>
      </c>
      <c r="B111" s="14" t="s">
        <v>74</v>
      </c>
      <c r="C111" s="15" t="s">
        <v>76</v>
      </c>
      <c r="D111" s="27">
        <v>32</v>
      </c>
      <c r="E111" s="27" t="s">
        <v>81</v>
      </c>
      <c r="F111" s="16">
        <v>31.994</v>
      </c>
      <c r="G111" s="17">
        <f t="shared" si="28"/>
        <v>24.997675316855716</v>
      </c>
      <c r="H111" s="15">
        <v>1.5</v>
      </c>
      <c r="I111" s="18">
        <v>8.3000000000000007</v>
      </c>
      <c r="J111" s="18">
        <f t="shared" ref="J111:J115" si="37">25-H111-I111- (AVERAGE($G$2:$G$3))</f>
        <v>8.20302468683286</v>
      </c>
      <c r="K111" s="19">
        <f t="shared" si="24"/>
        <v>6.0005579758393095</v>
      </c>
      <c r="L111" s="15">
        <v>27.751000000000001</v>
      </c>
      <c r="M111" s="15">
        <v>68.260000000000005</v>
      </c>
      <c r="N111" s="15">
        <v>47.514000000000003</v>
      </c>
      <c r="O111" s="15"/>
      <c r="P111" s="15"/>
      <c r="Q111" s="15"/>
    </row>
    <row r="112" spans="1:17">
      <c r="A112" s="14">
        <v>105</v>
      </c>
      <c r="B112" s="14" t="s">
        <v>74</v>
      </c>
      <c r="C112" s="15" t="s">
        <v>77</v>
      </c>
      <c r="D112" s="27">
        <v>32</v>
      </c>
      <c r="E112" s="27" t="s">
        <v>81</v>
      </c>
      <c r="F112" s="16">
        <v>32.006999999999998</v>
      </c>
      <c r="G112" s="17">
        <f t="shared" si="28"/>
        <v>25.007832526930077</v>
      </c>
      <c r="H112" s="15">
        <v>1.5</v>
      </c>
      <c r="I112" s="18">
        <v>8.3000000000000007</v>
      </c>
      <c r="J112" s="18">
        <f t="shared" si="37"/>
        <v>8.20302468683286</v>
      </c>
      <c r="K112" s="19">
        <f t="shared" si="24"/>
        <v>5.9981207822977121</v>
      </c>
      <c r="L112" s="15">
        <v>27.398</v>
      </c>
      <c r="M112" s="15">
        <v>69.77</v>
      </c>
      <c r="N112" s="15">
        <v>48.805999999999997</v>
      </c>
      <c r="O112" s="15"/>
      <c r="P112" s="15"/>
      <c r="Q112" s="15"/>
    </row>
    <row r="113" spans="1:17">
      <c r="A113" s="14">
        <v>106</v>
      </c>
      <c r="B113" s="14" t="s">
        <v>74</v>
      </c>
      <c r="C113" s="15" t="s">
        <v>78</v>
      </c>
      <c r="D113" s="27">
        <v>32</v>
      </c>
      <c r="E113" s="27" t="s">
        <v>81</v>
      </c>
      <c r="F113" s="16">
        <v>32.002000000000002</v>
      </c>
      <c r="G113" s="17">
        <f t="shared" si="28"/>
        <v>25.003925907670713</v>
      </c>
      <c r="H113" s="15">
        <v>1.5</v>
      </c>
      <c r="I113" s="18">
        <v>8.3000000000000007</v>
      </c>
      <c r="J113" s="18">
        <f t="shared" si="37"/>
        <v>8.20302468683286</v>
      </c>
      <c r="K113" s="19">
        <f t="shared" si="24"/>
        <v>5.9990579300982079</v>
      </c>
      <c r="L113" s="15">
        <v>27.809000000000001</v>
      </c>
      <c r="M113" s="15">
        <v>63.88</v>
      </c>
      <c r="N113" s="15">
        <v>48.259</v>
      </c>
      <c r="O113" s="15"/>
      <c r="P113" s="15"/>
      <c r="Q113" s="15"/>
    </row>
    <row r="114" spans="1:17">
      <c r="A114" s="14">
        <v>107</v>
      </c>
      <c r="B114" s="14" t="s">
        <v>74</v>
      </c>
      <c r="C114" s="15" t="s">
        <v>83</v>
      </c>
      <c r="D114" s="27">
        <v>32</v>
      </c>
      <c r="E114" s="27" t="s">
        <v>81</v>
      </c>
      <c r="F114" s="16">
        <v>31.998999999999999</v>
      </c>
      <c r="G114" s="17">
        <f t="shared" si="28"/>
        <v>25.001581936115088</v>
      </c>
      <c r="H114" s="15">
        <v>1.5</v>
      </c>
      <c r="I114" s="18">
        <v>8.3000000000000007</v>
      </c>
      <c r="J114" s="18">
        <f t="shared" si="37"/>
        <v>8.20302468683286</v>
      </c>
      <c r="K114" s="19">
        <f t="shared" si="24"/>
        <v>5.9996203593550685</v>
      </c>
      <c r="L114" s="15">
        <v>27.774000000000001</v>
      </c>
      <c r="M114" s="15">
        <v>63.92</v>
      </c>
      <c r="N114" s="15">
        <v>49.152999999999999</v>
      </c>
      <c r="O114" s="15"/>
      <c r="P114" s="15"/>
      <c r="Q114" s="15"/>
    </row>
    <row r="115" spans="1:17">
      <c r="A115" s="14">
        <v>108</v>
      </c>
      <c r="B115" s="14" t="s">
        <v>74</v>
      </c>
      <c r="C115" s="15" t="s">
        <v>84</v>
      </c>
      <c r="D115" s="27">
        <v>32</v>
      </c>
      <c r="E115" s="27" t="s">
        <v>81</v>
      </c>
      <c r="F115" s="16">
        <v>31.998999999999999</v>
      </c>
      <c r="G115" s="17">
        <f t="shared" si="28"/>
        <v>25.001581936115088</v>
      </c>
      <c r="H115" s="15">
        <v>1.5</v>
      </c>
      <c r="I115" s="18">
        <v>8.3000000000000007</v>
      </c>
      <c r="J115" s="18">
        <f t="shared" si="37"/>
        <v>8.20302468683286</v>
      </c>
      <c r="K115" s="19">
        <f t="shared" si="24"/>
        <v>5.9996203593550685</v>
      </c>
      <c r="L115" s="15"/>
      <c r="M115" s="15"/>
      <c r="N115" s="15"/>
      <c r="O115" s="15"/>
      <c r="P115" s="15"/>
      <c r="Q115" s="15"/>
    </row>
    <row r="116" spans="1:17">
      <c r="A116" s="14">
        <v>109</v>
      </c>
      <c r="B116" s="14" t="s">
        <v>74</v>
      </c>
      <c r="C116" s="15" t="s">
        <v>75</v>
      </c>
      <c r="D116" s="27">
        <v>32</v>
      </c>
      <c r="E116" s="27" t="s">
        <v>81</v>
      </c>
      <c r="F116" s="16">
        <v>31.995000000000001</v>
      </c>
      <c r="G116" s="17">
        <f t="shared" si="28"/>
        <v>24.998456640707591</v>
      </c>
      <c r="H116" s="15">
        <v>4</v>
      </c>
      <c r="I116" s="18">
        <v>2.9</v>
      </c>
      <c r="J116" s="18">
        <f>25-H116-I116- (AVERAGE($G$2:$G$3))</f>
        <v>11.103024686832862</v>
      </c>
      <c r="K116" s="19">
        <f t="shared" si="24"/>
        <v>16.000987810929029</v>
      </c>
      <c r="L116" s="15">
        <v>27.733000000000001</v>
      </c>
      <c r="M116" s="15">
        <v>64.33</v>
      </c>
      <c r="N116" s="15">
        <v>43.58</v>
      </c>
      <c r="O116" s="15"/>
      <c r="P116" s="15"/>
      <c r="Q116" s="15"/>
    </row>
    <row r="117" spans="1:17">
      <c r="A117" s="14">
        <v>110</v>
      </c>
      <c r="B117" s="14" t="s">
        <v>74</v>
      </c>
      <c r="C117" s="15" t="s">
        <v>76</v>
      </c>
      <c r="D117" s="27">
        <v>32</v>
      </c>
      <c r="E117" s="27" t="s">
        <v>81</v>
      </c>
      <c r="F117" s="16">
        <v>31.998000000000001</v>
      </c>
      <c r="G117" s="17">
        <f t="shared" si="28"/>
        <v>25.000800612263212</v>
      </c>
      <c r="H117" s="15">
        <v>4</v>
      </c>
      <c r="I117" s="18">
        <v>2.9</v>
      </c>
      <c r="J117" s="18">
        <f t="shared" ref="J117:J121" si="38">25-H117-I117- (AVERAGE($G$2:$G$3))</f>
        <v>11.103024686832862</v>
      </c>
      <c r="K117" s="19">
        <f t="shared" si="24"/>
        <v>15.999487624560107</v>
      </c>
      <c r="L117" s="15">
        <v>26.89</v>
      </c>
      <c r="M117" s="15">
        <v>63.86</v>
      </c>
      <c r="N117" s="15">
        <v>45.064999999999998</v>
      </c>
      <c r="O117" s="15"/>
      <c r="P117" s="15"/>
      <c r="Q117" s="15"/>
    </row>
    <row r="118" spans="1:17">
      <c r="A118" s="14">
        <v>111</v>
      </c>
      <c r="B118" s="14" t="s">
        <v>74</v>
      </c>
      <c r="C118" s="15" t="s">
        <v>77</v>
      </c>
      <c r="D118" s="27">
        <v>32</v>
      </c>
      <c r="E118" s="27" t="s">
        <v>81</v>
      </c>
      <c r="F118" s="16">
        <v>31.995999999999999</v>
      </c>
      <c r="G118" s="17">
        <f t="shared" si="28"/>
        <v>24.999237964559462</v>
      </c>
      <c r="H118" s="15">
        <v>4</v>
      </c>
      <c r="I118" s="18">
        <v>2.9</v>
      </c>
      <c r="J118" s="18">
        <f t="shared" si="38"/>
        <v>11.103024686832862</v>
      </c>
      <c r="K118" s="19">
        <f t="shared" ref="K118:K181" si="39">H118*1/G118*100</f>
        <v>16.000487717548268</v>
      </c>
      <c r="L118" s="15">
        <v>27.492999999999999</v>
      </c>
      <c r="M118" s="15">
        <v>60</v>
      </c>
      <c r="N118" s="15">
        <v>42.411000000000001</v>
      </c>
      <c r="O118" s="15"/>
      <c r="P118" s="15"/>
      <c r="Q118" s="15"/>
    </row>
    <row r="119" spans="1:17">
      <c r="A119" s="14">
        <v>112</v>
      </c>
      <c r="B119" s="14" t="s">
        <v>74</v>
      </c>
      <c r="C119" s="15" t="s">
        <v>78</v>
      </c>
      <c r="D119" s="27">
        <v>32</v>
      </c>
      <c r="E119" s="27" t="s">
        <v>81</v>
      </c>
      <c r="F119" s="16">
        <v>31.995999999999999</v>
      </c>
      <c r="G119" s="17">
        <f t="shared" si="28"/>
        <v>24.999237964559462</v>
      </c>
      <c r="H119" s="15">
        <v>4</v>
      </c>
      <c r="I119" s="18">
        <v>2.9</v>
      </c>
      <c r="J119" s="18">
        <f t="shared" si="38"/>
        <v>11.103024686832862</v>
      </c>
      <c r="K119" s="19">
        <f t="shared" si="39"/>
        <v>16.000487717548268</v>
      </c>
      <c r="L119" s="15">
        <v>27.597000000000001</v>
      </c>
      <c r="M119" s="15">
        <v>60.91</v>
      </c>
      <c r="N119" s="15">
        <v>47.341999999999999</v>
      </c>
      <c r="O119" s="15"/>
      <c r="P119" s="15"/>
      <c r="Q119" s="15"/>
    </row>
    <row r="120" spans="1:17">
      <c r="A120" s="14">
        <v>113</v>
      </c>
      <c r="B120" s="14" t="s">
        <v>74</v>
      </c>
      <c r="C120" s="15" t="s">
        <v>83</v>
      </c>
      <c r="D120" s="27">
        <v>32</v>
      </c>
      <c r="E120" s="27" t="s">
        <v>81</v>
      </c>
      <c r="F120" s="16">
        <v>32.006999999999998</v>
      </c>
      <c r="G120" s="17">
        <f t="shared" si="28"/>
        <v>25.007832526930077</v>
      </c>
      <c r="H120" s="15">
        <v>4</v>
      </c>
      <c r="I120" s="18">
        <v>2.9</v>
      </c>
      <c r="J120" s="18">
        <f t="shared" si="38"/>
        <v>11.103024686832862</v>
      </c>
      <c r="K120" s="19">
        <f t="shared" si="39"/>
        <v>15.994988752793898</v>
      </c>
      <c r="L120" s="15">
        <v>28.734000000000002</v>
      </c>
      <c r="M120" s="15">
        <v>62.31</v>
      </c>
      <c r="N120" s="15">
        <v>48.487000000000002</v>
      </c>
      <c r="O120" s="15"/>
      <c r="P120" s="15"/>
      <c r="Q120" s="15"/>
    </row>
    <row r="121" spans="1:17">
      <c r="A121" s="14">
        <v>114</v>
      </c>
      <c r="B121" s="14" t="s">
        <v>74</v>
      </c>
      <c r="C121" s="15" t="s">
        <v>84</v>
      </c>
      <c r="D121" s="27">
        <v>32</v>
      </c>
      <c r="E121" s="27" t="s">
        <v>81</v>
      </c>
      <c r="F121" s="16">
        <v>31.992000000000001</v>
      </c>
      <c r="G121" s="17">
        <f t="shared" si="28"/>
        <v>24.996112669151969</v>
      </c>
      <c r="H121" s="15">
        <v>4</v>
      </c>
      <c r="I121" s="18">
        <v>2.9</v>
      </c>
      <c r="J121" s="18">
        <f t="shared" si="38"/>
        <v>11.103024686832862</v>
      </c>
      <c r="K121" s="19">
        <f t="shared" si="39"/>
        <v>16.002488278653235</v>
      </c>
      <c r="L121" s="15"/>
      <c r="M121" s="15"/>
      <c r="N121" s="15"/>
      <c r="O121" s="15"/>
      <c r="P121" s="15"/>
      <c r="Q121" s="15"/>
    </row>
    <row r="122" spans="1:17">
      <c r="A122" s="14">
        <v>115</v>
      </c>
      <c r="B122" s="14" t="s">
        <v>74</v>
      </c>
      <c r="C122" s="15" t="s">
        <v>75</v>
      </c>
      <c r="D122" s="27">
        <v>32</v>
      </c>
      <c r="E122" s="27" t="s">
        <v>81</v>
      </c>
      <c r="F122" s="16">
        <v>32.005000000000003</v>
      </c>
      <c r="G122" s="17">
        <f t="shared" si="28"/>
        <v>25.006269879226334</v>
      </c>
      <c r="H122" s="15">
        <v>5</v>
      </c>
      <c r="I122" s="18">
        <f t="shared" ref="I122:I127" si="40">((4.24-0.1641)*2.07)*($H$26-H122)/$H$26</f>
        <v>0</v>
      </c>
      <c r="J122" s="18">
        <f>25-H122-I122- (AVERAGE($G$2:$G$3))</f>
        <v>13.003024686832861</v>
      </c>
      <c r="K122" s="19">
        <f t="shared" si="39"/>
        <v>19.994985354267858</v>
      </c>
      <c r="L122" s="15">
        <v>27.117999999999999</v>
      </c>
      <c r="M122" s="15">
        <v>60.58</v>
      </c>
      <c r="N122" s="15">
        <v>42.66</v>
      </c>
      <c r="O122" s="15"/>
      <c r="P122" s="15"/>
      <c r="Q122" s="15"/>
    </row>
    <row r="123" spans="1:17">
      <c r="A123" s="14">
        <v>116</v>
      </c>
      <c r="B123" s="14" t="s">
        <v>74</v>
      </c>
      <c r="C123" s="15" t="s">
        <v>76</v>
      </c>
      <c r="D123" s="27">
        <v>32</v>
      </c>
      <c r="E123" s="27" t="s">
        <v>81</v>
      </c>
      <c r="F123" s="16">
        <v>31.997</v>
      </c>
      <c r="G123" s="17">
        <f t="shared" si="28"/>
        <v>25.000019288411337</v>
      </c>
      <c r="H123" s="15">
        <v>5</v>
      </c>
      <c r="I123" s="18">
        <f t="shared" si="40"/>
        <v>0</v>
      </c>
      <c r="J123" s="18">
        <f t="shared" ref="J123:J127" si="41">25-H123-I123- (AVERAGE($G$2:$G$3))</f>
        <v>13.003024686832861</v>
      </c>
      <c r="K123" s="19">
        <f t="shared" si="39"/>
        <v>19.999984569282837</v>
      </c>
      <c r="L123" s="15">
        <v>27.73</v>
      </c>
      <c r="M123" s="15">
        <v>61.37</v>
      </c>
      <c r="N123" s="15">
        <v>44.027999999999999</v>
      </c>
      <c r="O123" s="15"/>
      <c r="P123" s="15"/>
      <c r="Q123" s="15"/>
    </row>
    <row r="124" spans="1:17">
      <c r="A124" s="14">
        <v>117</v>
      </c>
      <c r="B124" s="14" t="s">
        <v>74</v>
      </c>
      <c r="C124" s="15" t="s">
        <v>77</v>
      </c>
      <c r="D124" s="27">
        <v>32</v>
      </c>
      <c r="E124" s="27" t="s">
        <v>81</v>
      </c>
      <c r="F124" s="16">
        <v>31.995999999999999</v>
      </c>
      <c r="G124" s="17">
        <f t="shared" si="28"/>
        <v>24.999237964559462</v>
      </c>
      <c r="H124" s="15">
        <v>5</v>
      </c>
      <c r="I124" s="18">
        <f t="shared" si="40"/>
        <v>0</v>
      </c>
      <c r="J124" s="18">
        <f t="shared" si="41"/>
        <v>13.003024686832861</v>
      </c>
      <c r="K124" s="19">
        <f t="shared" si="39"/>
        <v>20.000609646935334</v>
      </c>
      <c r="L124" s="15">
        <v>27.411999999999999</v>
      </c>
      <c r="M124" s="15">
        <v>60.26</v>
      </c>
      <c r="N124" s="15">
        <v>42.521000000000001</v>
      </c>
      <c r="O124" s="15"/>
      <c r="P124" s="15"/>
      <c r="Q124" s="15"/>
    </row>
    <row r="125" spans="1:17">
      <c r="A125" s="14">
        <v>118</v>
      </c>
      <c r="B125" s="14" t="s">
        <v>74</v>
      </c>
      <c r="C125" s="15" t="s">
        <v>78</v>
      </c>
      <c r="D125" s="27">
        <v>32</v>
      </c>
      <c r="E125" s="27" t="s">
        <v>81</v>
      </c>
      <c r="F125" s="16">
        <v>31.995000000000001</v>
      </c>
      <c r="G125" s="17">
        <f t="shared" si="28"/>
        <v>24.998456640707591</v>
      </c>
      <c r="H125" s="15">
        <v>5</v>
      </c>
      <c r="I125" s="18">
        <f t="shared" si="40"/>
        <v>0</v>
      </c>
      <c r="J125" s="18">
        <f t="shared" si="41"/>
        <v>13.003024686832861</v>
      </c>
      <c r="K125" s="19">
        <f t="shared" si="39"/>
        <v>20.001234763661284</v>
      </c>
      <c r="L125" s="15">
        <v>27.244</v>
      </c>
      <c r="M125" s="15">
        <v>60.98</v>
      </c>
      <c r="N125" s="15">
        <v>47.536000000000001</v>
      </c>
      <c r="O125" s="15"/>
      <c r="P125" s="15"/>
      <c r="Q125" s="15"/>
    </row>
    <row r="126" spans="1:17">
      <c r="A126" s="14">
        <v>119</v>
      </c>
      <c r="B126" s="14" t="s">
        <v>74</v>
      </c>
      <c r="C126" s="15" t="s">
        <v>83</v>
      </c>
      <c r="D126" s="27">
        <v>32</v>
      </c>
      <c r="E126" s="27" t="s">
        <v>81</v>
      </c>
      <c r="F126" s="16">
        <v>32.006999999999998</v>
      </c>
      <c r="G126" s="17">
        <f t="shared" si="28"/>
        <v>25.007832526930077</v>
      </c>
      <c r="H126" s="15">
        <v>5</v>
      </c>
      <c r="I126" s="18">
        <f t="shared" si="40"/>
        <v>0</v>
      </c>
      <c r="J126" s="18">
        <f t="shared" si="41"/>
        <v>13.003024686832861</v>
      </c>
      <c r="K126" s="19">
        <f t="shared" si="39"/>
        <v>19.993735940992373</v>
      </c>
      <c r="L126" s="15">
        <v>26.983000000000001</v>
      </c>
      <c r="M126" s="15">
        <v>60.42</v>
      </c>
      <c r="N126" s="15">
        <v>47.506999999999998</v>
      </c>
      <c r="O126" s="15"/>
      <c r="P126" s="15"/>
      <c r="Q126" s="15"/>
    </row>
    <row r="127" spans="1:17">
      <c r="A127" s="14">
        <v>120</v>
      </c>
      <c r="B127" s="14" t="s">
        <v>74</v>
      </c>
      <c r="C127" s="15" t="s">
        <v>84</v>
      </c>
      <c r="D127" s="27">
        <v>32</v>
      </c>
      <c r="E127" s="27" t="s">
        <v>81</v>
      </c>
      <c r="F127" s="16">
        <v>31.991</v>
      </c>
      <c r="G127" s="17">
        <f t="shared" si="28"/>
        <v>24.995331345300094</v>
      </c>
      <c r="H127" s="15">
        <v>5</v>
      </c>
      <c r="I127" s="18">
        <f t="shared" si="40"/>
        <v>0</v>
      </c>
      <c r="J127" s="18">
        <f t="shared" si="41"/>
        <v>13.003024686832861</v>
      </c>
      <c r="K127" s="19">
        <f t="shared" si="39"/>
        <v>20.003735621372975</v>
      </c>
      <c r="L127" s="15"/>
      <c r="M127" s="15"/>
      <c r="N127" s="15"/>
      <c r="O127" s="15"/>
      <c r="P127" s="15"/>
      <c r="Q127" s="15"/>
    </row>
    <row r="128" spans="1:17">
      <c r="A128" s="14">
        <v>121</v>
      </c>
      <c r="B128" s="14" t="s">
        <v>74</v>
      </c>
      <c r="C128" s="15" t="s">
        <v>75</v>
      </c>
      <c r="D128" s="27">
        <v>32</v>
      </c>
      <c r="E128" s="27" t="s">
        <v>82</v>
      </c>
      <c r="F128" s="16">
        <v>31.995999999999999</v>
      </c>
      <c r="G128" s="17">
        <f t="shared" si="28"/>
        <v>24.999237964559462</v>
      </c>
      <c r="H128" s="15">
        <v>0</v>
      </c>
      <c r="I128" s="18">
        <v>10.3</v>
      </c>
      <c r="J128" s="18">
        <f>25-H128-I128- (AVERAGE($G$2:$G$3))</f>
        <v>7.70302468683286</v>
      </c>
      <c r="K128" s="19">
        <f t="shared" si="39"/>
        <v>0</v>
      </c>
      <c r="L128" s="15">
        <v>26.978999999999999</v>
      </c>
      <c r="M128" s="15">
        <v>68.95</v>
      </c>
      <c r="N128" s="15">
        <v>47.456000000000003</v>
      </c>
      <c r="O128" s="15"/>
      <c r="P128" s="15"/>
      <c r="Q128" s="15"/>
    </row>
    <row r="129" spans="1:17">
      <c r="A129" s="14">
        <v>122</v>
      </c>
      <c r="B129" s="14" t="s">
        <v>74</v>
      </c>
      <c r="C129" s="15" t="s">
        <v>76</v>
      </c>
      <c r="D129" s="27">
        <v>32</v>
      </c>
      <c r="E129" s="27" t="s">
        <v>82</v>
      </c>
      <c r="F129" s="16">
        <v>32.003</v>
      </c>
      <c r="G129" s="17">
        <f t="shared" si="28"/>
        <v>25.004707231522584</v>
      </c>
      <c r="H129" s="15">
        <v>0</v>
      </c>
      <c r="I129" s="18">
        <v>10.3</v>
      </c>
      <c r="J129" s="18">
        <f t="shared" ref="J129:J133" si="42">25-H129-I129- (AVERAGE($G$2:$G$3))</f>
        <v>7.70302468683286</v>
      </c>
      <c r="K129" s="19">
        <f t="shared" si="39"/>
        <v>0</v>
      </c>
      <c r="L129" s="15">
        <v>27.69</v>
      </c>
      <c r="M129" s="15">
        <v>69.739999999999995</v>
      </c>
      <c r="N129" s="15">
        <v>49.328000000000003</v>
      </c>
      <c r="O129" s="15"/>
      <c r="P129" s="15"/>
      <c r="Q129" s="15"/>
    </row>
    <row r="130" spans="1:17">
      <c r="A130" s="14">
        <v>123</v>
      </c>
      <c r="B130" s="14" t="s">
        <v>74</v>
      </c>
      <c r="C130" s="15" t="s">
        <v>77</v>
      </c>
      <c r="D130" s="27">
        <v>32</v>
      </c>
      <c r="E130" s="27" t="s">
        <v>82</v>
      </c>
      <c r="F130" s="16">
        <v>31.994</v>
      </c>
      <c r="G130" s="17">
        <f t="shared" si="28"/>
        <v>24.997675316855716</v>
      </c>
      <c r="H130" s="15">
        <v>0</v>
      </c>
      <c r="I130" s="18">
        <v>10.3</v>
      </c>
      <c r="J130" s="18">
        <f t="shared" si="42"/>
        <v>7.70302468683286</v>
      </c>
      <c r="K130" s="19">
        <f t="shared" si="39"/>
        <v>0</v>
      </c>
      <c r="L130" s="15">
        <v>27.074999999999999</v>
      </c>
      <c r="M130" s="15">
        <v>62.43</v>
      </c>
      <c r="N130" s="15">
        <v>45.005000000000003</v>
      </c>
      <c r="O130" s="15"/>
      <c r="P130" s="15"/>
      <c r="Q130" s="15"/>
    </row>
    <row r="131" spans="1:17">
      <c r="A131" s="14">
        <v>124</v>
      </c>
      <c r="B131" s="14" t="s">
        <v>74</v>
      </c>
      <c r="C131" s="15" t="s">
        <v>78</v>
      </c>
      <c r="D131" s="27">
        <v>32</v>
      </c>
      <c r="E131" s="27" t="s">
        <v>82</v>
      </c>
      <c r="F131" s="16">
        <v>32.006</v>
      </c>
      <c r="G131" s="17">
        <f t="shared" si="28"/>
        <v>25.007051203078206</v>
      </c>
      <c r="H131" s="15">
        <v>0</v>
      </c>
      <c r="I131" s="18">
        <v>10.3</v>
      </c>
      <c r="J131" s="18">
        <f t="shared" si="42"/>
        <v>7.70302468683286</v>
      </c>
      <c r="K131" s="19">
        <f t="shared" si="39"/>
        <v>0</v>
      </c>
      <c r="L131" s="15">
        <v>27.640999999999998</v>
      </c>
      <c r="M131" s="15">
        <v>63.34</v>
      </c>
      <c r="N131" s="15">
        <v>48.241</v>
      </c>
      <c r="O131" s="15"/>
      <c r="P131" s="15"/>
      <c r="Q131" s="15"/>
    </row>
    <row r="132" spans="1:17">
      <c r="A132" s="14">
        <v>125</v>
      </c>
      <c r="B132" s="14" t="s">
        <v>74</v>
      </c>
      <c r="C132" s="15" t="s">
        <v>83</v>
      </c>
      <c r="D132" s="27">
        <v>32</v>
      </c>
      <c r="E132" s="27" t="s">
        <v>82</v>
      </c>
      <c r="F132" s="16">
        <v>31.995000000000001</v>
      </c>
      <c r="G132" s="17">
        <f t="shared" si="28"/>
        <v>24.998456640707591</v>
      </c>
      <c r="H132" s="15">
        <v>0</v>
      </c>
      <c r="I132" s="18">
        <v>10.3</v>
      </c>
      <c r="J132" s="18">
        <f t="shared" si="42"/>
        <v>7.70302468683286</v>
      </c>
      <c r="K132" s="19">
        <f t="shared" si="39"/>
        <v>0</v>
      </c>
      <c r="L132" s="15">
        <v>27.31</v>
      </c>
      <c r="M132" s="15">
        <v>62.65</v>
      </c>
      <c r="N132" s="15">
        <v>46.874000000000002</v>
      </c>
      <c r="O132" s="15"/>
      <c r="P132" s="15"/>
      <c r="Q132" s="15"/>
    </row>
    <row r="133" spans="1:17">
      <c r="A133" s="14">
        <v>126</v>
      </c>
      <c r="B133" s="14" t="s">
        <v>74</v>
      </c>
      <c r="C133" s="15" t="s">
        <v>84</v>
      </c>
      <c r="D133" s="27">
        <v>32</v>
      </c>
      <c r="E133" s="27" t="s">
        <v>82</v>
      </c>
      <c r="F133" s="16">
        <v>32.009</v>
      </c>
      <c r="G133" s="17">
        <f t="shared" si="28"/>
        <v>25.009395174633827</v>
      </c>
      <c r="H133" s="15">
        <v>0</v>
      </c>
      <c r="I133" s="18">
        <v>10.3</v>
      </c>
      <c r="J133" s="18">
        <f t="shared" si="42"/>
        <v>7.70302468683286</v>
      </c>
      <c r="K133" s="19">
        <f t="shared" si="39"/>
        <v>0</v>
      </c>
      <c r="L133" s="15"/>
      <c r="M133" s="15"/>
      <c r="N133" s="15"/>
      <c r="O133" s="15"/>
      <c r="P133" s="15"/>
      <c r="Q133" s="15"/>
    </row>
    <row r="134" spans="1:17">
      <c r="A134" s="14">
        <v>127</v>
      </c>
      <c r="B134" s="14" t="s">
        <v>74</v>
      </c>
      <c r="C134" s="15" t="s">
        <v>75</v>
      </c>
      <c r="D134" s="27">
        <v>32</v>
      </c>
      <c r="E134" s="27" t="s">
        <v>82</v>
      </c>
      <c r="F134" s="16">
        <v>31.998999999999999</v>
      </c>
      <c r="G134" s="17">
        <f t="shared" si="28"/>
        <v>25.001581936115088</v>
      </c>
      <c r="H134" s="15">
        <v>1.5</v>
      </c>
      <c r="I134" s="18">
        <v>8.3000000000000007</v>
      </c>
      <c r="J134" s="18">
        <f>25-H134-I134- (AVERAGE($G$2:$G$3))</f>
        <v>8.20302468683286</v>
      </c>
      <c r="K134" s="19">
        <f t="shared" si="39"/>
        <v>5.9996203593550685</v>
      </c>
      <c r="L134" s="15">
        <v>27.041</v>
      </c>
      <c r="M134" s="15">
        <v>62.43</v>
      </c>
      <c r="N134" s="15">
        <v>42.58</v>
      </c>
      <c r="O134" s="15"/>
      <c r="P134" s="15"/>
      <c r="Q134" s="15"/>
    </row>
    <row r="135" spans="1:17">
      <c r="A135" s="14">
        <v>128</v>
      </c>
      <c r="B135" s="14" t="s">
        <v>74</v>
      </c>
      <c r="C135" s="15" t="s">
        <v>76</v>
      </c>
      <c r="D135" s="27">
        <v>32</v>
      </c>
      <c r="E135" s="27" t="s">
        <v>82</v>
      </c>
      <c r="F135" s="16">
        <v>32</v>
      </c>
      <c r="G135" s="17">
        <f t="shared" si="28"/>
        <v>25.002363259966963</v>
      </c>
      <c r="H135" s="15">
        <v>1.5</v>
      </c>
      <c r="I135" s="18">
        <v>8.3000000000000007</v>
      </c>
      <c r="J135" s="18">
        <f t="shared" ref="J135:J139" si="43">25-H135-I135- (AVERAGE($G$2:$G$3))</f>
        <v>8.20302468683286</v>
      </c>
      <c r="K135" s="19">
        <f t="shared" si="39"/>
        <v>5.9994328712188389</v>
      </c>
      <c r="L135" s="15">
        <v>26.978999999999999</v>
      </c>
      <c r="M135" s="15">
        <v>63.63</v>
      </c>
      <c r="N135" s="15">
        <v>43.701999999999998</v>
      </c>
      <c r="O135" s="15"/>
      <c r="P135" s="15"/>
      <c r="Q135" s="15"/>
    </row>
    <row r="136" spans="1:17">
      <c r="A136" s="14">
        <v>129</v>
      </c>
      <c r="B136" s="14" t="s">
        <v>74</v>
      </c>
      <c r="C136" s="15" t="s">
        <v>77</v>
      </c>
      <c r="D136" s="27">
        <v>32</v>
      </c>
      <c r="E136" s="27" t="s">
        <v>82</v>
      </c>
      <c r="F136" s="16">
        <v>32.012</v>
      </c>
      <c r="G136" s="17">
        <f t="shared" si="28"/>
        <v>25.011739146189448</v>
      </c>
      <c r="H136" s="15">
        <v>1.5</v>
      </c>
      <c r="I136" s="18">
        <v>8.3000000000000007</v>
      </c>
      <c r="J136" s="18">
        <f t="shared" si="43"/>
        <v>8.20302468683286</v>
      </c>
      <c r="K136" s="19">
        <f t="shared" si="39"/>
        <v>5.9971839272461223</v>
      </c>
      <c r="L136" s="15">
        <v>27.638000000000002</v>
      </c>
      <c r="M136" s="15">
        <v>64.33</v>
      </c>
      <c r="N136" s="15">
        <v>44.1</v>
      </c>
      <c r="O136" s="15"/>
      <c r="P136" s="15"/>
      <c r="Q136" s="15"/>
    </row>
    <row r="137" spans="1:17">
      <c r="A137" s="14">
        <v>130</v>
      </c>
      <c r="B137" s="14" t="s">
        <v>74</v>
      </c>
      <c r="C137" s="15" t="s">
        <v>78</v>
      </c>
      <c r="D137" s="27">
        <v>32</v>
      </c>
      <c r="E137" s="27" t="s">
        <v>82</v>
      </c>
      <c r="F137" s="16">
        <v>32.003999999999998</v>
      </c>
      <c r="G137" s="17">
        <f t="shared" ref="G137:G200" si="44">F137/AVERAGE($C$2:$C$3)</f>
        <v>25.005488555374455</v>
      </c>
      <c r="H137" s="15">
        <v>1.5</v>
      </c>
      <c r="I137" s="18">
        <v>8.3000000000000007</v>
      </c>
      <c r="J137" s="18">
        <f t="shared" si="43"/>
        <v>8.20302468683286</v>
      </c>
      <c r="K137" s="19">
        <f t="shared" si="39"/>
        <v>5.9986830358393597</v>
      </c>
      <c r="L137" s="15">
        <v>27.492999999999999</v>
      </c>
      <c r="M137" s="15">
        <v>64.19</v>
      </c>
      <c r="N137" s="15">
        <v>48.655999999999999</v>
      </c>
      <c r="O137" s="15"/>
      <c r="P137" s="15"/>
      <c r="Q137" s="15"/>
    </row>
    <row r="138" spans="1:17">
      <c r="A138" s="14">
        <v>131</v>
      </c>
      <c r="B138" s="14" t="s">
        <v>74</v>
      </c>
      <c r="C138" s="15" t="s">
        <v>83</v>
      </c>
      <c r="D138" s="27">
        <v>32</v>
      </c>
      <c r="E138" s="27" t="s">
        <v>82</v>
      </c>
      <c r="F138" s="16">
        <v>31.998999999999999</v>
      </c>
      <c r="G138" s="17">
        <f t="shared" si="44"/>
        <v>25.001581936115088</v>
      </c>
      <c r="H138" s="15">
        <v>1.5</v>
      </c>
      <c r="I138" s="18">
        <v>8.3000000000000007</v>
      </c>
      <c r="J138" s="18">
        <f t="shared" si="43"/>
        <v>8.20302468683286</v>
      </c>
      <c r="K138" s="19">
        <f t="shared" si="39"/>
        <v>5.9996203593550685</v>
      </c>
      <c r="L138" s="15">
        <v>27.062999999999999</v>
      </c>
      <c r="M138" s="15">
        <v>62.67</v>
      </c>
      <c r="N138" s="15">
        <v>47.771000000000001</v>
      </c>
      <c r="O138" s="15"/>
      <c r="P138" s="15"/>
      <c r="Q138" s="15"/>
    </row>
    <row r="139" spans="1:17">
      <c r="A139" s="14">
        <v>132</v>
      </c>
      <c r="B139" s="14" t="s">
        <v>74</v>
      </c>
      <c r="C139" s="15" t="s">
        <v>84</v>
      </c>
      <c r="D139" s="27">
        <v>32</v>
      </c>
      <c r="E139" s="27" t="s">
        <v>82</v>
      </c>
      <c r="F139" s="16">
        <v>31.995000000000001</v>
      </c>
      <c r="G139" s="17">
        <f t="shared" si="44"/>
        <v>24.998456640707591</v>
      </c>
      <c r="H139" s="15">
        <v>1.5</v>
      </c>
      <c r="I139" s="18">
        <v>8.3000000000000007</v>
      </c>
      <c r="J139" s="18">
        <f t="shared" si="43"/>
        <v>8.20302468683286</v>
      </c>
      <c r="K139" s="19">
        <f t="shared" si="39"/>
        <v>6.0003704290983864</v>
      </c>
      <c r="L139" s="15"/>
      <c r="M139" s="15"/>
      <c r="N139" s="15"/>
      <c r="O139" s="15"/>
      <c r="P139" s="15"/>
      <c r="Q139" s="15"/>
    </row>
    <row r="140" spans="1:17">
      <c r="A140" s="14">
        <v>133</v>
      </c>
      <c r="B140" s="14" t="s">
        <v>74</v>
      </c>
      <c r="C140" s="15" t="s">
        <v>75</v>
      </c>
      <c r="D140" s="27">
        <v>32</v>
      </c>
      <c r="E140" s="27" t="s">
        <v>82</v>
      </c>
      <c r="F140" s="16">
        <v>32</v>
      </c>
      <c r="G140" s="17">
        <f t="shared" si="44"/>
        <v>25.002363259966963</v>
      </c>
      <c r="H140" s="15">
        <v>4</v>
      </c>
      <c r="I140" s="18">
        <v>2.9</v>
      </c>
      <c r="J140" s="18">
        <f>25-H140-I140- (AVERAGE($G$2:$G$3))</f>
        <v>11.103024686832862</v>
      </c>
      <c r="K140" s="19">
        <f t="shared" si="39"/>
        <v>15.998487656583571</v>
      </c>
      <c r="L140" s="15">
        <v>26.920999999999999</v>
      </c>
      <c r="M140" s="15">
        <v>60.94</v>
      </c>
      <c r="N140" s="15">
        <v>42.502000000000002</v>
      </c>
      <c r="O140" s="15"/>
      <c r="P140" s="15"/>
      <c r="Q140" s="15"/>
    </row>
    <row r="141" spans="1:17">
      <c r="A141" s="14">
        <v>134</v>
      </c>
      <c r="B141" s="14" t="s">
        <v>74</v>
      </c>
      <c r="C141" s="15" t="s">
        <v>76</v>
      </c>
      <c r="D141" s="27">
        <v>32</v>
      </c>
      <c r="E141" s="27" t="s">
        <v>82</v>
      </c>
      <c r="F141" s="16">
        <v>32.003</v>
      </c>
      <c r="G141" s="17">
        <f t="shared" si="44"/>
        <v>25.004707231522584</v>
      </c>
      <c r="H141" s="15">
        <v>4</v>
      </c>
      <c r="I141" s="18">
        <v>2.9</v>
      </c>
      <c r="J141" s="18">
        <f t="shared" ref="J141:J145" si="45">25-H141-I141- (AVERAGE($G$2:$G$3))</f>
        <v>11.103024686832862</v>
      </c>
      <c r="K141" s="19">
        <f t="shared" si="39"/>
        <v>15.996987938964294</v>
      </c>
      <c r="L141" s="15">
        <v>27.067</v>
      </c>
      <c r="M141" s="15">
        <v>58.77</v>
      </c>
      <c r="N141" s="15">
        <v>39.945999999999998</v>
      </c>
      <c r="O141" s="15"/>
      <c r="P141" s="15"/>
      <c r="Q141" s="15"/>
    </row>
    <row r="142" spans="1:17">
      <c r="A142" s="14">
        <v>135</v>
      </c>
      <c r="B142" s="14" t="s">
        <v>74</v>
      </c>
      <c r="C142" s="15" t="s">
        <v>77</v>
      </c>
      <c r="D142" s="27">
        <v>32</v>
      </c>
      <c r="E142" s="27" t="s">
        <v>82</v>
      </c>
      <c r="F142" s="16">
        <v>32.009</v>
      </c>
      <c r="G142" s="17">
        <f t="shared" si="44"/>
        <v>25.009395174633827</v>
      </c>
      <c r="H142" s="15">
        <v>4</v>
      </c>
      <c r="I142" s="18">
        <v>2.9</v>
      </c>
      <c r="J142" s="18">
        <f t="shared" si="45"/>
        <v>11.103024686832862</v>
      </c>
      <c r="K142" s="19">
        <f t="shared" si="39"/>
        <v>15.993989347079705</v>
      </c>
      <c r="L142" s="15">
        <v>27.919</v>
      </c>
      <c r="M142" s="15">
        <v>60</v>
      </c>
      <c r="N142" s="15">
        <v>42.683</v>
      </c>
      <c r="O142" s="15"/>
      <c r="P142" s="15"/>
      <c r="Q142" s="15"/>
    </row>
    <row r="143" spans="1:17">
      <c r="A143" s="14">
        <v>136</v>
      </c>
      <c r="B143" s="14" t="s">
        <v>74</v>
      </c>
      <c r="C143" s="15" t="s">
        <v>78</v>
      </c>
      <c r="D143" s="27">
        <v>32</v>
      </c>
      <c r="E143" s="27" t="s">
        <v>82</v>
      </c>
      <c r="F143" s="16">
        <v>31.998000000000001</v>
      </c>
      <c r="G143" s="17">
        <f t="shared" si="44"/>
        <v>25.000800612263212</v>
      </c>
      <c r="H143" s="15">
        <v>4</v>
      </c>
      <c r="I143" s="18">
        <v>2.9</v>
      </c>
      <c r="J143" s="18">
        <f t="shared" si="45"/>
        <v>11.103024686832862</v>
      </c>
      <c r="K143" s="19">
        <f t="shared" si="39"/>
        <v>15.999487624560107</v>
      </c>
      <c r="L143" s="15">
        <v>27.033999999999999</v>
      </c>
      <c r="M143" s="15">
        <v>60.44</v>
      </c>
      <c r="N143" s="15">
        <v>45.777000000000001</v>
      </c>
      <c r="O143" s="15"/>
      <c r="P143" s="15"/>
      <c r="Q143" s="15"/>
    </row>
    <row r="144" spans="1:17">
      <c r="A144" s="14">
        <v>137</v>
      </c>
      <c r="B144" s="14" t="s">
        <v>74</v>
      </c>
      <c r="C144" s="15" t="s">
        <v>83</v>
      </c>
      <c r="D144" s="27">
        <v>32</v>
      </c>
      <c r="E144" s="27" t="s">
        <v>82</v>
      </c>
      <c r="F144" s="16">
        <v>32.006</v>
      </c>
      <c r="G144" s="17">
        <f t="shared" si="44"/>
        <v>25.007051203078206</v>
      </c>
      <c r="H144" s="15">
        <v>4</v>
      </c>
      <c r="I144" s="18">
        <v>2.9</v>
      </c>
      <c r="J144" s="18">
        <f t="shared" si="45"/>
        <v>11.103024686832862</v>
      </c>
      <c r="K144" s="19">
        <f t="shared" si="39"/>
        <v>15.995488502489355</v>
      </c>
      <c r="L144" s="15">
        <v>27.632999999999999</v>
      </c>
      <c r="M144" s="15">
        <v>62.32</v>
      </c>
      <c r="N144" s="15">
        <v>47.56</v>
      </c>
      <c r="O144" s="15"/>
      <c r="P144" s="15"/>
      <c r="Q144" s="15"/>
    </row>
    <row r="145" spans="1:17">
      <c r="A145" s="14">
        <v>138</v>
      </c>
      <c r="B145" s="14" t="s">
        <v>74</v>
      </c>
      <c r="C145" s="15" t="s">
        <v>84</v>
      </c>
      <c r="D145" s="27">
        <v>32</v>
      </c>
      <c r="E145" s="27" t="s">
        <v>82</v>
      </c>
      <c r="F145" s="16">
        <v>32.002000000000002</v>
      </c>
      <c r="G145" s="17">
        <f t="shared" si="44"/>
        <v>25.003925907670713</v>
      </c>
      <c r="H145" s="15">
        <v>4</v>
      </c>
      <c r="I145" s="18">
        <v>2.9</v>
      </c>
      <c r="J145" s="18">
        <f t="shared" si="45"/>
        <v>11.103024686832862</v>
      </c>
      <c r="K145" s="19">
        <f t="shared" si="39"/>
        <v>15.997487813595217</v>
      </c>
      <c r="L145" s="15"/>
      <c r="M145" s="15"/>
      <c r="N145" s="15"/>
      <c r="O145" s="15"/>
      <c r="P145" s="15"/>
      <c r="Q145" s="15"/>
    </row>
    <row r="146" spans="1:17">
      <c r="A146" s="14">
        <v>139</v>
      </c>
      <c r="B146" s="14" t="s">
        <v>74</v>
      </c>
      <c r="C146" s="15" t="s">
        <v>75</v>
      </c>
      <c r="D146" s="27">
        <v>32</v>
      </c>
      <c r="E146" s="27" t="s">
        <v>82</v>
      </c>
      <c r="F146" s="16">
        <v>31.994</v>
      </c>
      <c r="G146" s="17">
        <f t="shared" si="44"/>
        <v>24.997675316855716</v>
      </c>
      <c r="H146" s="15">
        <v>5</v>
      </c>
      <c r="I146" s="18">
        <f t="shared" ref="I146:I151" si="46">((4.24-0.1641)*2.07)*($H$26-H146)/$H$26</f>
        <v>0</v>
      </c>
      <c r="J146" s="18">
        <f>25-H146-I146- (AVERAGE($G$2:$G$3))</f>
        <v>13.003024686832861</v>
      </c>
      <c r="K146" s="19">
        <f t="shared" si="39"/>
        <v>20.001859919464366</v>
      </c>
      <c r="L146" s="15">
        <v>27.797999999999998</v>
      </c>
      <c r="M146" s="15">
        <v>56.77</v>
      </c>
      <c r="N146" s="15">
        <v>39.72</v>
      </c>
      <c r="O146" s="15"/>
      <c r="P146" s="15"/>
      <c r="Q146" s="15"/>
    </row>
    <row r="147" spans="1:17">
      <c r="A147" s="14">
        <v>140</v>
      </c>
      <c r="B147" s="14" t="s">
        <v>74</v>
      </c>
      <c r="C147" s="15" t="s">
        <v>76</v>
      </c>
      <c r="D147" s="27">
        <v>32</v>
      </c>
      <c r="E147" s="27" t="s">
        <v>82</v>
      </c>
      <c r="F147" s="16">
        <v>32.014000000000003</v>
      </c>
      <c r="G147" s="17">
        <f t="shared" si="44"/>
        <v>25.013301793893199</v>
      </c>
      <c r="H147" s="15">
        <v>5</v>
      </c>
      <c r="I147" s="18">
        <f t="shared" si="46"/>
        <v>0</v>
      </c>
      <c r="J147" s="18">
        <f t="shared" ref="J147:J151" si="47">25-H147-I147- (AVERAGE($G$2:$G$3))</f>
        <v>13.003024686832861</v>
      </c>
      <c r="K147" s="19">
        <f t="shared" si="39"/>
        <v>19.989364223881516</v>
      </c>
      <c r="L147" s="15">
        <v>27.082000000000001</v>
      </c>
      <c r="M147" s="15">
        <v>58.95</v>
      </c>
      <c r="N147" s="15">
        <v>41.262</v>
      </c>
      <c r="O147" s="15"/>
      <c r="P147" s="15"/>
      <c r="Q147" s="15"/>
    </row>
    <row r="148" spans="1:17">
      <c r="A148" s="14">
        <v>141</v>
      </c>
      <c r="B148" s="14" t="s">
        <v>74</v>
      </c>
      <c r="C148" s="15" t="s">
        <v>77</v>
      </c>
      <c r="D148" s="27">
        <v>32</v>
      </c>
      <c r="E148" s="27" t="s">
        <v>82</v>
      </c>
      <c r="F148" s="16">
        <v>31.997</v>
      </c>
      <c r="G148" s="17">
        <f t="shared" si="44"/>
        <v>25.000019288411337</v>
      </c>
      <c r="H148" s="15">
        <v>5</v>
      </c>
      <c r="I148" s="18">
        <f t="shared" si="46"/>
        <v>0</v>
      </c>
      <c r="J148" s="18">
        <f t="shared" si="47"/>
        <v>13.003024686832861</v>
      </c>
      <c r="K148" s="19">
        <f t="shared" si="39"/>
        <v>19.999984569282837</v>
      </c>
      <c r="L148" s="15">
        <v>27.672999999999998</v>
      </c>
      <c r="M148" s="15">
        <v>56.79</v>
      </c>
      <c r="N148" s="15">
        <v>39.729999999999997</v>
      </c>
      <c r="O148" s="15"/>
      <c r="P148" s="15"/>
      <c r="Q148" s="15"/>
    </row>
    <row r="149" spans="1:17">
      <c r="A149" s="14">
        <v>142</v>
      </c>
      <c r="B149" s="14" t="s">
        <v>74</v>
      </c>
      <c r="C149" s="15" t="s">
        <v>78</v>
      </c>
      <c r="D149" s="27">
        <v>32</v>
      </c>
      <c r="E149" s="27" t="s">
        <v>82</v>
      </c>
      <c r="F149" s="16">
        <v>32.002000000000002</v>
      </c>
      <c r="G149" s="17">
        <f t="shared" si="44"/>
        <v>25.003925907670713</v>
      </c>
      <c r="H149" s="15">
        <v>5</v>
      </c>
      <c r="I149" s="18">
        <f t="shared" si="46"/>
        <v>0</v>
      </c>
      <c r="J149" s="18">
        <f t="shared" si="47"/>
        <v>13.003024686832861</v>
      </c>
      <c r="K149" s="19">
        <f t="shared" si="39"/>
        <v>19.996859766994024</v>
      </c>
      <c r="L149" s="15">
        <v>27.687999999999999</v>
      </c>
      <c r="M149" s="15">
        <v>61.68</v>
      </c>
      <c r="N149" s="15">
        <v>47.476999999999997</v>
      </c>
      <c r="O149" s="15"/>
      <c r="P149" s="15"/>
      <c r="Q149" s="15"/>
    </row>
    <row r="150" spans="1:17">
      <c r="A150" s="14">
        <v>143</v>
      </c>
      <c r="B150" s="14" t="s">
        <v>74</v>
      </c>
      <c r="C150" s="15" t="s">
        <v>83</v>
      </c>
      <c r="D150" s="27">
        <v>32</v>
      </c>
      <c r="E150" s="27" t="s">
        <v>82</v>
      </c>
      <c r="F150" s="16">
        <v>32</v>
      </c>
      <c r="G150" s="17">
        <f t="shared" si="44"/>
        <v>25.002363259966963</v>
      </c>
      <c r="H150" s="15">
        <v>5</v>
      </c>
      <c r="I150" s="18">
        <f t="shared" si="46"/>
        <v>0</v>
      </c>
      <c r="J150" s="18">
        <f t="shared" si="47"/>
        <v>13.003024686832861</v>
      </c>
      <c r="K150" s="19">
        <f t="shared" si="39"/>
        <v>19.998109570729465</v>
      </c>
      <c r="L150" s="15">
        <v>27.122</v>
      </c>
      <c r="M150" s="15">
        <v>61.46</v>
      </c>
      <c r="N150" s="15">
        <v>46.795999999999999</v>
      </c>
      <c r="O150" s="15"/>
      <c r="P150" s="15"/>
      <c r="Q150" s="15"/>
    </row>
    <row r="151" spans="1:17" ht="13.5" thickBot="1">
      <c r="A151" s="97">
        <v>144</v>
      </c>
      <c r="B151" s="97" t="s">
        <v>74</v>
      </c>
      <c r="C151" s="97" t="s">
        <v>84</v>
      </c>
      <c r="D151" s="101">
        <v>32</v>
      </c>
      <c r="E151" s="101" t="s">
        <v>82</v>
      </c>
      <c r="F151" s="102">
        <v>31.992000000000001</v>
      </c>
      <c r="G151" s="100">
        <f t="shared" si="44"/>
        <v>24.996112669151969</v>
      </c>
      <c r="H151" s="97">
        <v>5</v>
      </c>
      <c r="I151" s="100">
        <f t="shared" si="46"/>
        <v>0</v>
      </c>
      <c r="J151" s="100">
        <f t="shared" si="47"/>
        <v>13.003024686832861</v>
      </c>
      <c r="K151" s="103">
        <f t="shared" si="39"/>
        <v>20.003110348316543</v>
      </c>
      <c r="L151" s="97"/>
      <c r="M151" s="97"/>
      <c r="N151" s="97"/>
      <c r="O151" s="97"/>
      <c r="P151" s="97"/>
      <c r="Q151" s="97"/>
    </row>
    <row r="152" spans="1:17">
      <c r="A152" s="14">
        <v>145</v>
      </c>
      <c r="B152" s="14" t="s">
        <v>74</v>
      </c>
      <c r="C152" s="14" t="s">
        <v>75</v>
      </c>
      <c r="D152" s="27">
        <v>40</v>
      </c>
      <c r="E152" s="27" t="s">
        <v>81</v>
      </c>
      <c r="F152" s="16">
        <v>31.995999999999999</v>
      </c>
      <c r="G152" s="17">
        <f t="shared" si="44"/>
        <v>24.999237964559462</v>
      </c>
      <c r="H152" s="14">
        <v>0</v>
      </c>
      <c r="I152" s="17">
        <v>10.3</v>
      </c>
      <c r="J152" s="17">
        <f>25-H152-I152- (AVERAGE($G$2:$G$3))</f>
        <v>7.70302468683286</v>
      </c>
      <c r="K152" s="25">
        <f t="shared" si="39"/>
        <v>0</v>
      </c>
      <c r="L152" s="14">
        <v>27.117000000000001</v>
      </c>
      <c r="M152" s="14">
        <v>69.539999999999992</v>
      </c>
      <c r="N152" s="14">
        <v>46.62</v>
      </c>
      <c r="O152" s="14"/>
      <c r="P152" s="14"/>
      <c r="Q152" s="14"/>
    </row>
    <row r="153" spans="1:17">
      <c r="A153" s="14">
        <v>146</v>
      </c>
      <c r="B153" s="14" t="s">
        <v>74</v>
      </c>
      <c r="C153" s="15" t="s">
        <v>76</v>
      </c>
      <c r="D153" s="27">
        <v>40</v>
      </c>
      <c r="E153" s="27" t="s">
        <v>81</v>
      </c>
      <c r="F153" s="16">
        <v>32.002000000000002</v>
      </c>
      <c r="G153" s="17">
        <f t="shared" si="44"/>
        <v>25.003925907670713</v>
      </c>
      <c r="H153" s="15">
        <v>0</v>
      </c>
      <c r="I153" s="18">
        <v>10.3</v>
      </c>
      <c r="J153" s="18">
        <f t="shared" ref="J153:J157" si="48">25-H153-I153- (AVERAGE($G$2:$G$3))</f>
        <v>7.70302468683286</v>
      </c>
      <c r="K153" s="19">
        <f t="shared" si="39"/>
        <v>0</v>
      </c>
      <c r="L153" s="15">
        <v>27.353000000000002</v>
      </c>
      <c r="M153" s="15">
        <v>69.55</v>
      </c>
      <c r="N153" s="15">
        <v>46.98</v>
      </c>
      <c r="O153" s="15"/>
      <c r="P153" s="15"/>
      <c r="Q153" s="15"/>
    </row>
    <row r="154" spans="1:17">
      <c r="A154" s="14">
        <v>147</v>
      </c>
      <c r="B154" s="14" t="s">
        <v>74</v>
      </c>
      <c r="C154" s="15" t="s">
        <v>77</v>
      </c>
      <c r="D154" s="27">
        <v>40</v>
      </c>
      <c r="E154" s="27" t="s">
        <v>81</v>
      </c>
      <c r="F154" s="16">
        <v>32.000999999999998</v>
      </c>
      <c r="G154" s="17">
        <f t="shared" si="44"/>
        <v>25.003144583818834</v>
      </c>
      <c r="H154" s="15">
        <v>0</v>
      </c>
      <c r="I154" s="18">
        <v>10.3</v>
      </c>
      <c r="J154" s="18">
        <f t="shared" si="48"/>
        <v>7.70302468683286</v>
      </c>
      <c r="K154" s="19">
        <f t="shared" si="39"/>
        <v>0</v>
      </c>
      <c r="L154" s="15">
        <v>27.327000000000002</v>
      </c>
      <c r="M154" s="15">
        <v>69.38</v>
      </c>
      <c r="N154" s="15">
        <v>46.82</v>
      </c>
      <c r="O154" s="15"/>
      <c r="P154" s="15"/>
      <c r="Q154" s="15"/>
    </row>
    <row r="155" spans="1:17">
      <c r="A155" s="14">
        <v>148</v>
      </c>
      <c r="B155" s="14" t="s">
        <v>74</v>
      </c>
      <c r="C155" s="15" t="s">
        <v>78</v>
      </c>
      <c r="D155" s="27">
        <v>40</v>
      </c>
      <c r="E155" s="27" t="s">
        <v>81</v>
      </c>
      <c r="F155" s="16">
        <v>31.997</v>
      </c>
      <c r="G155" s="17">
        <f t="shared" si="44"/>
        <v>25.000019288411337</v>
      </c>
      <c r="H155" s="15">
        <v>0</v>
      </c>
      <c r="I155" s="18">
        <v>10.3</v>
      </c>
      <c r="J155" s="18">
        <f t="shared" si="48"/>
        <v>7.70302468683286</v>
      </c>
      <c r="K155" s="19">
        <f t="shared" si="39"/>
        <v>0</v>
      </c>
      <c r="L155" s="15">
        <v>27.556000000000001</v>
      </c>
      <c r="M155" s="15">
        <v>63.03</v>
      </c>
      <c r="N155" s="15">
        <v>45.83</v>
      </c>
      <c r="O155" s="15"/>
      <c r="P155" s="15"/>
      <c r="Q155" s="15"/>
    </row>
    <row r="156" spans="1:17">
      <c r="A156" s="14">
        <v>149</v>
      </c>
      <c r="B156" s="14" t="s">
        <v>74</v>
      </c>
      <c r="C156" s="15" t="s">
        <v>83</v>
      </c>
      <c r="D156" s="27">
        <v>40</v>
      </c>
      <c r="E156" s="27" t="s">
        <v>81</v>
      </c>
      <c r="F156" s="16">
        <v>32.005000000000003</v>
      </c>
      <c r="G156" s="17">
        <f t="shared" si="44"/>
        <v>25.006269879226334</v>
      </c>
      <c r="H156" s="15">
        <v>0</v>
      </c>
      <c r="I156" s="18">
        <v>10.3</v>
      </c>
      <c r="J156" s="18">
        <f t="shared" si="48"/>
        <v>7.70302468683286</v>
      </c>
      <c r="K156" s="19">
        <f t="shared" si="39"/>
        <v>0</v>
      </c>
      <c r="L156" s="15">
        <v>27.382000000000001</v>
      </c>
      <c r="M156" s="15">
        <v>63.28</v>
      </c>
      <c r="N156" s="15">
        <v>45.79</v>
      </c>
      <c r="O156" s="15"/>
      <c r="P156" s="15"/>
      <c r="Q156" s="15"/>
    </row>
    <row r="157" spans="1:17">
      <c r="A157" s="14">
        <v>150</v>
      </c>
      <c r="B157" s="14" t="s">
        <v>74</v>
      </c>
      <c r="C157" s="15" t="s">
        <v>84</v>
      </c>
      <c r="D157" s="27">
        <v>40</v>
      </c>
      <c r="E157" s="27" t="s">
        <v>81</v>
      </c>
      <c r="F157" s="16">
        <v>31.995000000000001</v>
      </c>
      <c r="G157" s="17">
        <f t="shared" si="44"/>
        <v>24.998456640707591</v>
      </c>
      <c r="H157" s="15">
        <v>0</v>
      </c>
      <c r="I157" s="18">
        <v>10.3</v>
      </c>
      <c r="J157" s="18">
        <f t="shared" si="48"/>
        <v>7.70302468683286</v>
      </c>
      <c r="K157" s="19">
        <f t="shared" si="39"/>
        <v>0</v>
      </c>
      <c r="L157" s="15"/>
      <c r="M157" s="15"/>
      <c r="N157" s="15"/>
      <c r="O157" s="15"/>
      <c r="P157" s="15"/>
      <c r="Q157" s="15"/>
    </row>
    <row r="158" spans="1:17">
      <c r="A158" s="14">
        <v>151</v>
      </c>
      <c r="B158" s="14" t="s">
        <v>74</v>
      </c>
      <c r="C158" s="15" t="s">
        <v>75</v>
      </c>
      <c r="D158" s="27">
        <v>40</v>
      </c>
      <c r="E158" s="27" t="s">
        <v>81</v>
      </c>
      <c r="F158" s="16">
        <v>32.002000000000002</v>
      </c>
      <c r="G158" s="17">
        <f t="shared" si="44"/>
        <v>25.003925907670713</v>
      </c>
      <c r="H158" s="15">
        <v>1.5</v>
      </c>
      <c r="I158" s="18">
        <v>8.3000000000000007</v>
      </c>
      <c r="J158" s="18">
        <f>25-H158-I158- (AVERAGE($G$2:$G$3))</f>
        <v>8.20302468683286</v>
      </c>
      <c r="K158" s="19">
        <f t="shared" si="39"/>
        <v>5.9990579300982079</v>
      </c>
      <c r="L158" s="15">
        <v>27.39</v>
      </c>
      <c r="M158" s="15">
        <v>65.509999999999991</v>
      </c>
      <c r="N158" s="15">
        <v>43.27</v>
      </c>
      <c r="O158" s="15"/>
      <c r="P158" s="15"/>
      <c r="Q158" s="15"/>
    </row>
    <row r="159" spans="1:17">
      <c r="A159" s="14">
        <v>152</v>
      </c>
      <c r="B159" s="14" t="s">
        <v>74</v>
      </c>
      <c r="C159" s="15" t="s">
        <v>76</v>
      </c>
      <c r="D159" s="27">
        <v>40</v>
      </c>
      <c r="E159" s="27" t="s">
        <v>81</v>
      </c>
      <c r="F159" s="16">
        <v>31.997</v>
      </c>
      <c r="G159" s="17">
        <f t="shared" si="44"/>
        <v>25.000019288411337</v>
      </c>
      <c r="H159" s="15">
        <v>1.5</v>
      </c>
      <c r="I159" s="18">
        <v>8.3000000000000007</v>
      </c>
      <c r="J159" s="18">
        <f t="shared" ref="J159:J163" si="49">25-H159-I159- (AVERAGE($G$2:$G$3))</f>
        <v>8.20302468683286</v>
      </c>
      <c r="K159" s="19">
        <f t="shared" si="39"/>
        <v>5.9999953707848501</v>
      </c>
      <c r="L159" s="15">
        <v>27.341999999999999</v>
      </c>
      <c r="M159" s="15">
        <v>65.77</v>
      </c>
      <c r="N159" s="15">
        <v>43.22</v>
      </c>
      <c r="O159" s="15"/>
      <c r="P159" s="15"/>
      <c r="Q159" s="15"/>
    </row>
    <row r="160" spans="1:17">
      <c r="A160" s="14">
        <v>153</v>
      </c>
      <c r="B160" s="14" t="s">
        <v>74</v>
      </c>
      <c r="C160" s="15" t="s">
        <v>77</v>
      </c>
      <c r="D160" s="27">
        <v>40</v>
      </c>
      <c r="E160" s="27" t="s">
        <v>81</v>
      </c>
      <c r="F160" s="16">
        <v>32</v>
      </c>
      <c r="G160" s="17">
        <f t="shared" si="44"/>
        <v>25.002363259966963</v>
      </c>
      <c r="H160" s="15">
        <v>1.5</v>
      </c>
      <c r="I160" s="18">
        <v>8.3000000000000007</v>
      </c>
      <c r="J160" s="18">
        <f t="shared" si="49"/>
        <v>8.20302468683286</v>
      </c>
      <c r="K160" s="19">
        <f t="shared" si="39"/>
        <v>5.9994328712188389</v>
      </c>
      <c r="L160" s="15">
        <v>28.068000000000001</v>
      </c>
      <c r="M160" s="15">
        <v>66.209999999999994</v>
      </c>
      <c r="N160" s="15">
        <v>44.22</v>
      </c>
      <c r="O160" s="15"/>
      <c r="P160" s="15"/>
      <c r="Q160" s="15"/>
    </row>
    <row r="161" spans="1:17">
      <c r="A161" s="14">
        <v>154</v>
      </c>
      <c r="B161" s="14" t="s">
        <v>74</v>
      </c>
      <c r="C161" s="15" t="s">
        <v>78</v>
      </c>
      <c r="D161" s="27">
        <v>40</v>
      </c>
      <c r="E161" s="27" t="s">
        <v>81</v>
      </c>
      <c r="F161" s="16">
        <v>31.995000000000001</v>
      </c>
      <c r="G161" s="17">
        <f t="shared" si="44"/>
        <v>24.998456640707591</v>
      </c>
      <c r="H161" s="15">
        <v>1.5</v>
      </c>
      <c r="I161" s="18">
        <v>8.3000000000000007</v>
      </c>
      <c r="J161" s="18">
        <f t="shared" si="49"/>
        <v>8.20302468683286</v>
      </c>
      <c r="K161" s="19">
        <f t="shared" si="39"/>
        <v>6.0003704290983864</v>
      </c>
      <c r="L161" s="15">
        <v>27.027999999999999</v>
      </c>
      <c r="M161" s="15">
        <v>62.44</v>
      </c>
      <c r="N161" s="15">
        <v>44.72</v>
      </c>
      <c r="O161" s="15"/>
      <c r="P161" s="15"/>
      <c r="Q161" s="15"/>
    </row>
    <row r="162" spans="1:17">
      <c r="A162" s="14">
        <v>155</v>
      </c>
      <c r="B162" s="14" t="s">
        <v>74</v>
      </c>
      <c r="C162" s="15" t="s">
        <v>83</v>
      </c>
      <c r="D162" s="27">
        <v>40</v>
      </c>
      <c r="E162" s="27" t="s">
        <v>81</v>
      </c>
      <c r="F162" s="16">
        <v>32.003999999999998</v>
      </c>
      <c r="G162" s="17">
        <f t="shared" si="44"/>
        <v>25.005488555374455</v>
      </c>
      <c r="H162" s="15">
        <v>1.5</v>
      </c>
      <c r="I162" s="18">
        <v>8.3000000000000007</v>
      </c>
      <c r="J162" s="18">
        <f t="shared" si="49"/>
        <v>8.20302468683286</v>
      </c>
      <c r="K162" s="19">
        <f t="shared" si="39"/>
        <v>5.9986830358393597</v>
      </c>
      <c r="L162" s="15">
        <v>28.61</v>
      </c>
      <c r="M162" s="15">
        <v>63.07</v>
      </c>
      <c r="N162" s="15">
        <v>45.89</v>
      </c>
      <c r="O162" s="15"/>
      <c r="P162" s="15"/>
      <c r="Q162" s="15"/>
    </row>
    <row r="163" spans="1:17">
      <c r="A163" s="14">
        <v>156</v>
      </c>
      <c r="B163" s="14" t="s">
        <v>74</v>
      </c>
      <c r="C163" s="15" t="s">
        <v>84</v>
      </c>
      <c r="D163" s="27">
        <v>40</v>
      </c>
      <c r="E163" s="27" t="s">
        <v>81</v>
      </c>
      <c r="F163" s="16">
        <v>31.997</v>
      </c>
      <c r="G163" s="17">
        <f t="shared" si="44"/>
        <v>25.000019288411337</v>
      </c>
      <c r="H163" s="15">
        <v>1.5</v>
      </c>
      <c r="I163" s="18">
        <v>8.3000000000000007</v>
      </c>
      <c r="J163" s="18">
        <f t="shared" si="49"/>
        <v>8.20302468683286</v>
      </c>
      <c r="K163" s="19">
        <f t="shared" si="39"/>
        <v>5.9999953707848501</v>
      </c>
      <c r="L163" s="15"/>
      <c r="M163" s="15"/>
      <c r="N163" s="15"/>
      <c r="O163" s="15"/>
      <c r="P163" s="15"/>
      <c r="Q163" s="15"/>
    </row>
    <row r="164" spans="1:17">
      <c r="A164" s="14">
        <v>157</v>
      </c>
      <c r="B164" s="14" t="s">
        <v>74</v>
      </c>
      <c r="C164" s="15" t="s">
        <v>75</v>
      </c>
      <c r="D164" s="27">
        <v>40</v>
      </c>
      <c r="E164" s="27" t="s">
        <v>81</v>
      </c>
      <c r="F164" s="16">
        <v>32.006</v>
      </c>
      <c r="G164" s="17">
        <f t="shared" si="44"/>
        <v>25.007051203078206</v>
      </c>
      <c r="H164" s="15">
        <v>4</v>
      </c>
      <c r="I164" s="18">
        <v>2.9</v>
      </c>
      <c r="J164" s="18">
        <f>25-H164-I164- (AVERAGE($G$2:$G$3))</f>
        <v>11.103024686832862</v>
      </c>
      <c r="K164" s="19">
        <f t="shared" si="39"/>
        <v>15.995488502489355</v>
      </c>
      <c r="L164" s="15">
        <v>27.46</v>
      </c>
      <c r="M164" s="15">
        <v>62.509999999999991</v>
      </c>
      <c r="N164" s="15">
        <v>41.84</v>
      </c>
      <c r="O164" s="15"/>
      <c r="P164" s="15"/>
      <c r="Q164" s="15"/>
    </row>
    <row r="165" spans="1:17">
      <c r="A165" s="14">
        <v>158</v>
      </c>
      <c r="B165" s="14" t="s">
        <v>74</v>
      </c>
      <c r="C165" s="15" t="s">
        <v>76</v>
      </c>
      <c r="D165" s="27">
        <v>40</v>
      </c>
      <c r="E165" s="27" t="s">
        <v>81</v>
      </c>
      <c r="F165" s="16">
        <v>31.997</v>
      </c>
      <c r="G165" s="17">
        <f t="shared" si="44"/>
        <v>25.000019288411337</v>
      </c>
      <c r="H165" s="15">
        <v>4</v>
      </c>
      <c r="I165" s="18">
        <v>2.9</v>
      </c>
      <c r="J165" s="18">
        <f t="shared" ref="J165:J169" si="50">25-H165-I165- (AVERAGE($G$2:$G$3))</f>
        <v>11.103024686832862</v>
      </c>
      <c r="K165" s="19">
        <f t="shared" si="39"/>
        <v>15.999987655426267</v>
      </c>
      <c r="L165" s="15">
        <v>26.434999999999999</v>
      </c>
      <c r="M165" s="15">
        <v>60.81</v>
      </c>
      <c r="N165" s="15">
        <v>39.96</v>
      </c>
      <c r="O165" s="15"/>
      <c r="P165" s="15"/>
      <c r="Q165" s="15"/>
    </row>
    <row r="166" spans="1:17">
      <c r="A166" s="14">
        <v>159</v>
      </c>
      <c r="B166" s="14" t="s">
        <v>74</v>
      </c>
      <c r="C166" s="15" t="s">
        <v>77</v>
      </c>
      <c r="D166" s="27">
        <v>40</v>
      </c>
      <c r="E166" s="27" t="s">
        <v>81</v>
      </c>
      <c r="F166" s="16">
        <v>31.995000000000001</v>
      </c>
      <c r="G166" s="17">
        <f t="shared" si="44"/>
        <v>24.998456640707591</v>
      </c>
      <c r="H166" s="15">
        <v>4</v>
      </c>
      <c r="I166" s="18">
        <v>2.9</v>
      </c>
      <c r="J166" s="18">
        <f t="shared" si="50"/>
        <v>11.103024686832862</v>
      </c>
      <c r="K166" s="19">
        <f t="shared" si="39"/>
        <v>16.000987810929029</v>
      </c>
      <c r="L166" s="15">
        <v>27.361999999999998</v>
      </c>
      <c r="M166" s="15">
        <v>66.22</v>
      </c>
      <c r="N166" s="15">
        <v>43.69</v>
      </c>
      <c r="O166" s="15"/>
      <c r="P166" s="15"/>
      <c r="Q166" s="15"/>
    </row>
    <row r="167" spans="1:17">
      <c r="A167" s="14">
        <v>160</v>
      </c>
      <c r="B167" s="14" t="s">
        <v>74</v>
      </c>
      <c r="C167" s="15" t="s">
        <v>78</v>
      </c>
      <c r="D167" s="27">
        <v>40</v>
      </c>
      <c r="E167" s="27" t="s">
        <v>81</v>
      </c>
      <c r="F167" s="16">
        <v>31.994</v>
      </c>
      <c r="G167" s="17">
        <f t="shared" si="44"/>
        <v>24.997675316855716</v>
      </c>
      <c r="H167" s="15">
        <v>4</v>
      </c>
      <c r="I167" s="18">
        <v>2.9</v>
      </c>
      <c r="J167" s="18">
        <f t="shared" si="50"/>
        <v>11.103024686832862</v>
      </c>
      <c r="K167" s="19">
        <f t="shared" si="39"/>
        <v>16.001487935571493</v>
      </c>
      <c r="L167" s="15">
        <v>27.539000000000001</v>
      </c>
      <c r="M167" s="15">
        <v>61.35</v>
      </c>
      <c r="N167" s="15">
        <v>44.73</v>
      </c>
      <c r="O167" s="15"/>
      <c r="P167" s="15"/>
      <c r="Q167" s="15"/>
    </row>
    <row r="168" spans="1:17">
      <c r="A168" s="14">
        <v>161</v>
      </c>
      <c r="B168" s="14" t="s">
        <v>74</v>
      </c>
      <c r="C168" s="15" t="s">
        <v>83</v>
      </c>
      <c r="D168" s="27">
        <v>40</v>
      </c>
      <c r="E168" s="27" t="s">
        <v>81</v>
      </c>
      <c r="F168" s="16">
        <v>32.005000000000003</v>
      </c>
      <c r="G168" s="17">
        <f t="shared" si="44"/>
        <v>25.006269879226334</v>
      </c>
      <c r="H168" s="15">
        <v>4</v>
      </c>
      <c r="I168" s="18">
        <v>2.9</v>
      </c>
      <c r="J168" s="18">
        <f t="shared" si="50"/>
        <v>11.103024686832862</v>
      </c>
      <c r="K168" s="19">
        <f t="shared" si="39"/>
        <v>15.995988283414286</v>
      </c>
      <c r="L168" s="15">
        <v>28.073</v>
      </c>
      <c r="M168" s="15">
        <v>61.09</v>
      </c>
      <c r="N168" s="15">
        <v>44.91</v>
      </c>
      <c r="O168" s="15"/>
      <c r="P168" s="15"/>
      <c r="Q168" s="15"/>
    </row>
    <row r="169" spans="1:17">
      <c r="A169" s="14">
        <v>162</v>
      </c>
      <c r="B169" s="14" t="s">
        <v>74</v>
      </c>
      <c r="C169" s="15" t="s">
        <v>84</v>
      </c>
      <c r="D169" s="27">
        <v>40</v>
      </c>
      <c r="E169" s="27" t="s">
        <v>81</v>
      </c>
      <c r="F169" s="16">
        <v>32.000999999999998</v>
      </c>
      <c r="G169" s="17">
        <f t="shared" si="44"/>
        <v>25.003144583818834</v>
      </c>
      <c r="H169" s="15">
        <v>4</v>
      </c>
      <c r="I169" s="18">
        <v>2.9</v>
      </c>
      <c r="J169" s="18">
        <f t="shared" si="50"/>
        <v>11.103024686832862</v>
      </c>
      <c r="K169" s="19">
        <f t="shared" si="39"/>
        <v>15.997987719467337</v>
      </c>
      <c r="L169" s="15"/>
      <c r="M169" s="15"/>
      <c r="N169" s="15"/>
      <c r="O169" s="15"/>
      <c r="P169" s="15"/>
      <c r="Q169" s="15"/>
    </row>
    <row r="170" spans="1:17">
      <c r="A170" s="14">
        <v>163</v>
      </c>
      <c r="B170" s="14" t="s">
        <v>74</v>
      </c>
      <c r="C170" s="15" t="s">
        <v>75</v>
      </c>
      <c r="D170" s="27">
        <v>40</v>
      </c>
      <c r="E170" s="27" t="s">
        <v>81</v>
      </c>
      <c r="F170" s="16">
        <v>32.01</v>
      </c>
      <c r="G170" s="17">
        <f t="shared" si="44"/>
        <v>25.010176498485698</v>
      </c>
      <c r="H170" s="15">
        <v>5</v>
      </c>
      <c r="I170" s="18">
        <f t="shared" ref="I170:I175" si="51">((4.24-0.1641)*2.07)*($H$26-H170)/$H$26</f>
        <v>0</v>
      </c>
      <c r="J170" s="18">
        <f>25-H170-I170- (AVERAGE($G$2:$G$3))</f>
        <v>13.003024686832861</v>
      </c>
      <c r="K170" s="19">
        <f t="shared" si="39"/>
        <v>19.991862113818897</v>
      </c>
      <c r="L170" s="15">
        <v>27.35</v>
      </c>
      <c r="M170" s="15">
        <v>60.34</v>
      </c>
      <c r="N170" s="15">
        <v>40.01</v>
      </c>
      <c r="O170" s="15"/>
      <c r="P170" s="15"/>
      <c r="Q170" s="15"/>
    </row>
    <row r="171" spans="1:17">
      <c r="A171" s="14">
        <v>164</v>
      </c>
      <c r="B171" s="14" t="s">
        <v>74</v>
      </c>
      <c r="C171" s="15" t="s">
        <v>76</v>
      </c>
      <c r="D171" s="27">
        <v>40</v>
      </c>
      <c r="E171" s="27" t="s">
        <v>81</v>
      </c>
      <c r="F171" s="16">
        <v>32.006</v>
      </c>
      <c r="G171" s="17">
        <f t="shared" si="44"/>
        <v>25.007051203078206</v>
      </c>
      <c r="H171" s="15">
        <v>5</v>
      </c>
      <c r="I171" s="18">
        <f t="shared" si="51"/>
        <v>0</v>
      </c>
      <c r="J171" s="18">
        <f t="shared" ref="J171:J175" si="52">25-H171-I171- (AVERAGE($G$2:$G$3))</f>
        <v>13.003024686832861</v>
      </c>
      <c r="K171" s="19">
        <f t="shared" si="39"/>
        <v>19.994360628111693</v>
      </c>
      <c r="L171" s="15">
        <v>27.620999999999999</v>
      </c>
      <c r="M171" s="15">
        <v>60.86</v>
      </c>
      <c r="N171" s="15">
        <v>40.39</v>
      </c>
      <c r="O171" s="15"/>
      <c r="P171" s="15"/>
      <c r="Q171" s="15"/>
    </row>
    <row r="172" spans="1:17">
      <c r="A172" s="14">
        <v>165</v>
      </c>
      <c r="B172" s="14" t="s">
        <v>74</v>
      </c>
      <c r="C172" s="15" t="s">
        <v>77</v>
      </c>
      <c r="D172" s="27">
        <v>40</v>
      </c>
      <c r="E172" s="27" t="s">
        <v>81</v>
      </c>
      <c r="F172" s="16">
        <v>32</v>
      </c>
      <c r="G172" s="17">
        <f t="shared" si="44"/>
        <v>25.002363259966963</v>
      </c>
      <c r="H172" s="15">
        <v>5</v>
      </c>
      <c r="I172" s="18">
        <f t="shared" si="51"/>
        <v>0</v>
      </c>
      <c r="J172" s="18">
        <f t="shared" si="52"/>
        <v>13.003024686832861</v>
      </c>
      <c r="K172" s="19">
        <f t="shared" si="39"/>
        <v>19.998109570729465</v>
      </c>
      <c r="L172" s="15">
        <v>28.684999999999999</v>
      </c>
      <c r="M172" s="15">
        <v>60.370000000000005</v>
      </c>
      <c r="N172" s="15">
        <v>41.53</v>
      </c>
      <c r="O172" s="15"/>
      <c r="P172" s="15"/>
      <c r="Q172" s="15"/>
    </row>
    <row r="173" spans="1:17">
      <c r="A173" s="14">
        <v>166</v>
      </c>
      <c r="B173" s="14" t="s">
        <v>74</v>
      </c>
      <c r="C173" s="15" t="s">
        <v>78</v>
      </c>
      <c r="D173" s="27">
        <v>40</v>
      </c>
      <c r="E173" s="27" t="s">
        <v>81</v>
      </c>
      <c r="F173" s="16">
        <v>32.000999999999998</v>
      </c>
      <c r="G173" s="17">
        <f t="shared" si="44"/>
        <v>25.003144583818834</v>
      </c>
      <c r="H173" s="15">
        <v>5</v>
      </c>
      <c r="I173" s="18">
        <f t="shared" si="51"/>
        <v>0</v>
      </c>
      <c r="J173" s="18">
        <f t="shared" si="52"/>
        <v>13.003024686832861</v>
      </c>
      <c r="K173" s="19">
        <f t="shared" si="39"/>
        <v>19.997484649334176</v>
      </c>
      <c r="L173" s="15">
        <v>27.405999999999999</v>
      </c>
      <c r="M173" s="15">
        <v>60.55</v>
      </c>
      <c r="N173" s="15">
        <v>44.19</v>
      </c>
      <c r="O173" s="15"/>
      <c r="P173" s="15"/>
      <c r="Q173" s="15"/>
    </row>
    <row r="174" spans="1:17">
      <c r="A174" s="14">
        <v>167</v>
      </c>
      <c r="B174" s="14" t="s">
        <v>74</v>
      </c>
      <c r="C174" s="15" t="s">
        <v>83</v>
      </c>
      <c r="D174" s="27">
        <v>40</v>
      </c>
      <c r="E174" s="27" t="s">
        <v>81</v>
      </c>
      <c r="F174" s="16">
        <v>31.99</v>
      </c>
      <c r="G174" s="17">
        <f t="shared" si="44"/>
        <v>24.994550021448219</v>
      </c>
      <c r="H174" s="15">
        <v>5</v>
      </c>
      <c r="I174" s="18">
        <f t="shared" si="51"/>
        <v>0</v>
      </c>
      <c r="J174" s="18">
        <f t="shared" si="52"/>
        <v>13.003024686832861</v>
      </c>
      <c r="K174" s="19">
        <f t="shared" si="39"/>
        <v>20.004360933521191</v>
      </c>
      <c r="L174" s="15">
        <v>27.132999999999999</v>
      </c>
      <c r="M174" s="15">
        <v>60.16</v>
      </c>
      <c r="N174" s="15">
        <v>43.87</v>
      </c>
      <c r="O174" s="15"/>
      <c r="P174" s="15"/>
      <c r="Q174" s="15"/>
    </row>
    <row r="175" spans="1:17">
      <c r="A175" s="14">
        <v>168</v>
      </c>
      <c r="B175" s="14" t="s">
        <v>74</v>
      </c>
      <c r="C175" s="15" t="s">
        <v>84</v>
      </c>
      <c r="D175" s="27">
        <v>40</v>
      </c>
      <c r="E175" s="27" t="s">
        <v>81</v>
      </c>
      <c r="F175" s="16">
        <v>32.006999999999998</v>
      </c>
      <c r="G175" s="17">
        <f t="shared" si="44"/>
        <v>25.007832526930077</v>
      </c>
      <c r="H175" s="15">
        <v>5</v>
      </c>
      <c r="I175" s="18">
        <f t="shared" si="51"/>
        <v>0</v>
      </c>
      <c r="J175" s="18">
        <f t="shared" si="52"/>
        <v>13.003024686832861</v>
      </c>
      <c r="K175" s="19">
        <f t="shared" si="39"/>
        <v>19.993735940992373</v>
      </c>
      <c r="L175" s="15"/>
      <c r="N175" s="15"/>
      <c r="O175" s="15"/>
      <c r="P175" s="15"/>
      <c r="Q175" s="15"/>
    </row>
    <row r="176" spans="1:17">
      <c r="A176" s="14">
        <v>169</v>
      </c>
      <c r="B176" s="14" t="s">
        <v>74</v>
      </c>
      <c r="C176" s="15" t="s">
        <v>75</v>
      </c>
      <c r="D176" s="27">
        <v>40</v>
      </c>
      <c r="E176" s="27" t="s">
        <v>82</v>
      </c>
      <c r="F176" s="16">
        <v>32.006</v>
      </c>
      <c r="G176" s="17">
        <f t="shared" si="44"/>
        <v>25.007051203078206</v>
      </c>
      <c r="H176" s="15">
        <v>0</v>
      </c>
      <c r="I176" s="18">
        <v>10.3</v>
      </c>
      <c r="J176" s="18">
        <f>25-H176-I176- (AVERAGE($G$2:$G$3))</f>
        <v>7.70302468683286</v>
      </c>
      <c r="K176" s="19">
        <f t="shared" si="39"/>
        <v>0</v>
      </c>
      <c r="L176" s="15">
        <v>27.376999999999999</v>
      </c>
      <c r="M176" s="15">
        <v>68.83</v>
      </c>
      <c r="N176" s="15">
        <v>46.84</v>
      </c>
      <c r="O176" s="15"/>
      <c r="P176" s="15"/>
      <c r="Q176" s="15"/>
    </row>
    <row r="177" spans="1:17">
      <c r="A177" s="14">
        <v>170</v>
      </c>
      <c r="B177" s="14" t="s">
        <v>74</v>
      </c>
      <c r="C177" s="15" t="s">
        <v>76</v>
      </c>
      <c r="D177" s="27">
        <v>40</v>
      </c>
      <c r="E177" s="27" t="s">
        <v>82</v>
      </c>
      <c r="F177" s="16">
        <v>31.998999999999999</v>
      </c>
      <c r="G177" s="17">
        <f t="shared" si="44"/>
        <v>25.001581936115088</v>
      </c>
      <c r="H177" s="15">
        <v>0</v>
      </c>
      <c r="I177" s="18">
        <v>10.3</v>
      </c>
      <c r="J177" s="18">
        <f t="shared" ref="J177:J181" si="53">25-H177-I177- (AVERAGE($G$2:$G$3))</f>
        <v>7.70302468683286</v>
      </c>
      <c r="K177" s="19">
        <f t="shared" si="39"/>
        <v>0</v>
      </c>
      <c r="L177" s="15">
        <v>27.459</v>
      </c>
      <c r="M177" s="15">
        <v>66.28</v>
      </c>
      <c r="N177" s="15">
        <v>45.64</v>
      </c>
      <c r="O177" s="15"/>
      <c r="P177" s="15"/>
      <c r="Q177" s="15"/>
    </row>
    <row r="178" spans="1:17">
      <c r="A178" s="14">
        <v>171</v>
      </c>
      <c r="B178" s="14" t="s">
        <v>74</v>
      </c>
      <c r="C178" s="15" t="s">
        <v>77</v>
      </c>
      <c r="D178" s="27">
        <v>40</v>
      </c>
      <c r="E178" s="27" t="s">
        <v>82</v>
      </c>
      <c r="F178" s="16">
        <v>31.995999999999999</v>
      </c>
      <c r="G178" s="17">
        <f t="shared" si="44"/>
        <v>24.999237964559462</v>
      </c>
      <c r="H178" s="15">
        <v>0</v>
      </c>
      <c r="I178" s="18">
        <v>10.3</v>
      </c>
      <c r="J178" s="18">
        <f t="shared" si="53"/>
        <v>7.70302468683286</v>
      </c>
      <c r="K178" s="19">
        <f t="shared" si="39"/>
        <v>0</v>
      </c>
      <c r="L178" s="15">
        <v>26.9</v>
      </c>
      <c r="M178" s="15">
        <v>68.73</v>
      </c>
      <c r="N178" s="15">
        <v>46.58</v>
      </c>
      <c r="O178" s="15"/>
      <c r="P178" s="15"/>
      <c r="Q178" s="15"/>
    </row>
    <row r="179" spans="1:17">
      <c r="A179" s="14">
        <v>172</v>
      </c>
      <c r="B179" s="14" t="s">
        <v>74</v>
      </c>
      <c r="C179" s="15" t="s">
        <v>78</v>
      </c>
      <c r="D179" s="27">
        <v>40</v>
      </c>
      <c r="E179" s="27" t="s">
        <v>82</v>
      </c>
      <c r="F179" s="16">
        <v>32</v>
      </c>
      <c r="G179" s="17">
        <f t="shared" si="44"/>
        <v>25.002363259966963</v>
      </c>
      <c r="H179" s="15">
        <v>0</v>
      </c>
      <c r="I179" s="18">
        <v>10.3</v>
      </c>
      <c r="J179" s="18">
        <f t="shared" si="53"/>
        <v>7.70302468683286</v>
      </c>
      <c r="K179" s="19">
        <f t="shared" si="39"/>
        <v>0</v>
      </c>
      <c r="L179" s="15">
        <v>27.048999999999999</v>
      </c>
      <c r="M179" s="15">
        <v>62.2</v>
      </c>
      <c r="N179" s="15">
        <v>45.1</v>
      </c>
      <c r="O179" s="15"/>
      <c r="P179" s="15"/>
      <c r="Q179" s="15"/>
    </row>
    <row r="180" spans="1:17">
      <c r="A180" s="14">
        <v>173</v>
      </c>
      <c r="B180" s="14" t="s">
        <v>74</v>
      </c>
      <c r="C180" s="15" t="s">
        <v>83</v>
      </c>
      <c r="D180" s="27">
        <v>40</v>
      </c>
      <c r="E180" s="27" t="s">
        <v>82</v>
      </c>
      <c r="F180" s="16">
        <v>32</v>
      </c>
      <c r="G180" s="17">
        <f t="shared" si="44"/>
        <v>25.002363259966963</v>
      </c>
      <c r="H180" s="15">
        <v>0</v>
      </c>
      <c r="I180" s="18">
        <v>10.3</v>
      </c>
      <c r="J180" s="18">
        <f t="shared" si="53"/>
        <v>7.70302468683286</v>
      </c>
      <c r="K180" s="19">
        <f t="shared" si="39"/>
        <v>0</v>
      </c>
      <c r="L180" s="15">
        <v>27.731999999999999</v>
      </c>
      <c r="M180" s="15">
        <v>63.6</v>
      </c>
      <c r="N180" s="15">
        <v>46.12</v>
      </c>
      <c r="O180" s="15"/>
      <c r="P180" s="15"/>
      <c r="Q180" s="15"/>
    </row>
    <row r="181" spans="1:17">
      <c r="A181" s="14">
        <v>174</v>
      </c>
      <c r="B181" s="14" t="s">
        <v>74</v>
      </c>
      <c r="C181" s="15" t="s">
        <v>84</v>
      </c>
      <c r="D181" s="27">
        <v>40</v>
      </c>
      <c r="E181" s="27" t="s">
        <v>82</v>
      </c>
      <c r="F181" s="16">
        <v>32.003999999999998</v>
      </c>
      <c r="G181" s="17">
        <f t="shared" si="44"/>
        <v>25.005488555374455</v>
      </c>
      <c r="H181" s="15">
        <v>0</v>
      </c>
      <c r="I181" s="18">
        <v>10.3</v>
      </c>
      <c r="J181" s="18">
        <f t="shared" si="53"/>
        <v>7.70302468683286</v>
      </c>
      <c r="K181" s="19">
        <f t="shared" si="39"/>
        <v>0</v>
      </c>
      <c r="L181" s="15"/>
      <c r="M181" s="15"/>
      <c r="N181" s="15"/>
      <c r="O181" s="15"/>
      <c r="P181" s="15"/>
      <c r="Q181" s="15"/>
    </row>
    <row r="182" spans="1:17">
      <c r="A182" s="14">
        <v>175</v>
      </c>
      <c r="B182" s="14" t="s">
        <v>74</v>
      </c>
      <c r="C182" s="15" t="s">
        <v>75</v>
      </c>
      <c r="D182" s="27">
        <v>40</v>
      </c>
      <c r="E182" s="27" t="s">
        <v>82</v>
      </c>
      <c r="F182" s="16">
        <v>32.012999999999998</v>
      </c>
      <c r="G182" s="17">
        <f t="shared" si="44"/>
        <v>25.01252047004132</v>
      </c>
      <c r="H182" s="15">
        <v>1.5</v>
      </c>
      <c r="I182" s="18">
        <v>8.3000000000000007</v>
      </c>
      <c r="J182" s="18">
        <f>25-H182-I182- (AVERAGE($G$2:$G$3))</f>
        <v>8.20302468683286</v>
      </c>
      <c r="K182" s="19">
        <f t="shared" ref="K182:K245" si="54">H182*1/G182*100</f>
        <v>5.9969965913536027</v>
      </c>
      <c r="L182" s="15">
        <v>27.283000000000001</v>
      </c>
      <c r="M182" s="15">
        <v>66.22</v>
      </c>
      <c r="N182" s="15">
        <v>44.39</v>
      </c>
      <c r="O182" s="15"/>
      <c r="P182" s="15"/>
      <c r="Q182" s="15"/>
    </row>
    <row r="183" spans="1:17">
      <c r="A183" s="14">
        <v>176</v>
      </c>
      <c r="B183" s="14" t="s">
        <v>74</v>
      </c>
      <c r="C183" s="15" t="s">
        <v>76</v>
      </c>
      <c r="D183" s="27">
        <v>40</v>
      </c>
      <c r="E183" s="27" t="s">
        <v>82</v>
      </c>
      <c r="F183" s="16">
        <v>31.992999999999999</v>
      </c>
      <c r="G183" s="17">
        <f t="shared" si="44"/>
        <v>24.996893993003841</v>
      </c>
      <c r="H183" s="15">
        <v>1.5</v>
      </c>
      <c r="I183" s="18">
        <v>8.3000000000000007</v>
      </c>
      <c r="J183" s="18">
        <f t="shared" ref="J183:J187" si="55">25-H183-I183- (AVERAGE($G$2:$G$3))</f>
        <v>8.20302468683286</v>
      </c>
      <c r="K183" s="19">
        <f t="shared" si="54"/>
        <v>6.0007455343044693</v>
      </c>
      <c r="L183" s="15">
        <v>27.268999999999998</v>
      </c>
      <c r="M183" s="15">
        <v>69.72</v>
      </c>
      <c r="N183" s="15">
        <v>46.61</v>
      </c>
      <c r="O183" s="15"/>
      <c r="P183" s="15"/>
      <c r="Q183" s="15"/>
    </row>
    <row r="184" spans="1:17">
      <c r="A184" s="14">
        <v>177</v>
      </c>
      <c r="B184" s="14" t="s">
        <v>74</v>
      </c>
      <c r="C184" s="15" t="s">
        <v>77</v>
      </c>
      <c r="D184" s="27">
        <v>40</v>
      </c>
      <c r="E184" s="27" t="s">
        <v>82</v>
      </c>
      <c r="F184" s="16">
        <v>32.000999999999998</v>
      </c>
      <c r="G184" s="17">
        <f t="shared" si="44"/>
        <v>25.003144583818834</v>
      </c>
      <c r="H184" s="15">
        <v>1.5</v>
      </c>
      <c r="I184" s="18">
        <v>8.3000000000000007</v>
      </c>
      <c r="J184" s="18">
        <f t="shared" si="55"/>
        <v>8.20302468683286</v>
      </c>
      <c r="K184" s="19">
        <f t="shared" si="54"/>
        <v>5.9992453948002522</v>
      </c>
      <c r="L184" s="15">
        <v>27.437000000000001</v>
      </c>
      <c r="M184" s="15">
        <v>65.12</v>
      </c>
      <c r="N184" s="15">
        <v>43.42</v>
      </c>
      <c r="O184" s="15"/>
      <c r="P184" s="15"/>
      <c r="Q184" s="15"/>
    </row>
    <row r="185" spans="1:17">
      <c r="A185" s="14">
        <v>178</v>
      </c>
      <c r="B185" s="14" t="s">
        <v>74</v>
      </c>
      <c r="C185" s="15" t="s">
        <v>78</v>
      </c>
      <c r="D185" s="27">
        <v>40</v>
      </c>
      <c r="E185" s="27" t="s">
        <v>82</v>
      </c>
      <c r="F185" s="16">
        <v>31.995000000000001</v>
      </c>
      <c r="G185" s="17">
        <f t="shared" si="44"/>
        <v>24.998456640707591</v>
      </c>
      <c r="H185" s="15">
        <v>1.5</v>
      </c>
      <c r="I185" s="18">
        <v>8.3000000000000007</v>
      </c>
      <c r="J185" s="18">
        <f t="shared" si="55"/>
        <v>8.20302468683286</v>
      </c>
      <c r="K185" s="19">
        <f t="shared" si="54"/>
        <v>6.0003704290983864</v>
      </c>
      <c r="L185" s="15">
        <v>27.364999999999998</v>
      </c>
      <c r="M185" s="15">
        <v>63.65</v>
      </c>
      <c r="N185" s="15">
        <v>45.9</v>
      </c>
      <c r="O185" s="15"/>
      <c r="P185" s="15"/>
      <c r="Q185" s="15"/>
    </row>
    <row r="186" spans="1:17">
      <c r="A186" s="14">
        <v>179</v>
      </c>
      <c r="B186" s="14" t="s">
        <v>74</v>
      </c>
      <c r="C186" s="15" t="s">
        <v>83</v>
      </c>
      <c r="D186" s="27">
        <v>40</v>
      </c>
      <c r="E186" s="27" t="s">
        <v>82</v>
      </c>
      <c r="F186" s="16">
        <v>31.989000000000001</v>
      </c>
      <c r="G186" s="17">
        <f t="shared" si="44"/>
        <v>24.993768697596348</v>
      </c>
      <c r="H186" s="15">
        <v>1.5</v>
      </c>
      <c r="I186" s="18">
        <v>8.3000000000000007</v>
      </c>
      <c r="J186" s="18">
        <f t="shared" si="55"/>
        <v>8.20302468683286</v>
      </c>
      <c r="K186" s="19">
        <f t="shared" si="54"/>
        <v>6.0014958854294553</v>
      </c>
      <c r="L186" s="15">
        <v>27.396000000000001</v>
      </c>
      <c r="M186" s="15">
        <v>63.26</v>
      </c>
      <c r="N186" s="15">
        <v>45.58</v>
      </c>
      <c r="O186" s="15"/>
      <c r="P186" s="15"/>
      <c r="Q186" s="15"/>
    </row>
    <row r="187" spans="1:17">
      <c r="A187" s="14">
        <v>180</v>
      </c>
      <c r="B187" s="14" t="s">
        <v>74</v>
      </c>
      <c r="C187" s="15" t="s">
        <v>84</v>
      </c>
      <c r="D187" s="27">
        <v>40</v>
      </c>
      <c r="E187" s="27" t="s">
        <v>82</v>
      </c>
      <c r="F187" s="16">
        <v>32.008000000000003</v>
      </c>
      <c r="G187" s="17">
        <f t="shared" si="44"/>
        <v>25.008613850781956</v>
      </c>
      <c r="H187" s="15">
        <v>1.5</v>
      </c>
      <c r="I187" s="18">
        <v>8.3000000000000007</v>
      </c>
      <c r="J187" s="18">
        <f t="shared" si="55"/>
        <v>8.20302468683286</v>
      </c>
      <c r="K187" s="19">
        <f t="shared" si="54"/>
        <v>5.9979333878718704</v>
      </c>
      <c r="L187" s="15"/>
      <c r="M187" s="15"/>
      <c r="N187" s="15"/>
      <c r="O187" s="15"/>
      <c r="P187" s="15"/>
      <c r="Q187" s="15"/>
    </row>
    <row r="188" spans="1:17">
      <c r="A188" s="14">
        <v>181</v>
      </c>
      <c r="B188" s="14" t="s">
        <v>74</v>
      </c>
      <c r="C188" s="15" t="s">
        <v>75</v>
      </c>
      <c r="D188" s="27">
        <v>40</v>
      </c>
      <c r="E188" s="27" t="s">
        <v>82</v>
      </c>
      <c r="F188" s="16">
        <v>32.003</v>
      </c>
      <c r="G188" s="17">
        <f t="shared" si="44"/>
        <v>25.004707231522584</v>
      </c>
      <c r="H188" s="15">
        <v>4</v>
      </c>
      <c r="I188" s="18">
        <v>2.9</v>
      </c>
      <c r="J188" s="18">
        <f>25-H188-I188- (AVERAGE($G$2:$G$3))</f>
        <v>11.103024686832862</v>
      </c>
      <c r="K188" s="19">
        <f t="shared" si="54"/>
        <v>15.996987938964294</v>
      </c>
      <c r="L188" s="15">
        <v>27.527000000000001</v>
      </c>
      <c r="M188" s="15">
        <v>61.039999999999992</v>
      </c>
      <c r="N188" s="15">
        <v>41.07</v>
      </c>
      <c r="O188" s="15"/>
      <c r="P188" s="15"/>
      <c r="Q188" s="15"/>
    </row>
    <row r="189" spans="1:17">
      <c r="A189" s="14">
        <v>182</v>
      </c>
      <c r="B189" s="14" t="s">
        <v>74</v>
      </c>
      <c r="C189" s="15" t="s">
        <v>76</v>
      </c>
      <c r="D189" s="27">
        <v>40</v>
      </c>
      <c r="E189" s="27" t="s">
        <v>82</v>
      </c>
      <c r="F189" s="16">
        <v>31.995000000000001</v>
      </c>
      <c r="G189" s="17">
        <f t="shared" si="44"/>
        <v>24.998456640707591</v>
      </c>
      <c r="H189" s="15">
        <v>4</v>
      </c>
      <c r="I189" s="18">
        <v>2.9</v>
      </c>
      <c r="J189" s="18">
        <f t="shared" ref="J189:J193" si="56">25-H189-I189- (AVERAGE($G$2:$G$3))</f>
        <v>11.103024686832862</v>
      </c>
      <c r="K189" s="19">
        <f t="shared" si="54"/>
        <v>16.000987810929029</v>
      </c>
      <c r="L189" s="15">
        <v>27.195</v>
      </c>
      <c r="M189" s="15">
        <v>62.629999999999995</v>
      </c>
      <c r="N189" s="15">
        <v>41.62</v>
      </c>
      <c r="O189" s="15"/>
      <c r="P189" s="15"/>
      <c r="Q189" s="15"/>
    </row>
    <row r="190" spans="1:17">
      <c r="A190" s="14">
        <v>183</v>
      </c>
      <c r="B190" s="14" t="s">
        <v>74</v>
      </c>
      <c r="C190" s="15" t="s">
        <v>77</v>
      </c>
      <c r="D190" s="27">
        <v>40</v>
      </c>
      <c r="E190" s="27" t="s">
        <v>82</v>
      </c>
      <c r="F190" s="16">
        <v>31.991</v>
      </c>
      <c r="G190" s="17">
        <f t="shared" si="44"/>
        <v>24.995331345300094</v>
      </c>
      <c r="H190" s="15">
        <v>4</v>
      </c>
      <c r="I190" s="18">
        <v>2.9</v>
      </c>
      <c r="J190" s="18">
        <f t="shared" si="56"/>
        <v>11.103024686832862</v>
      </c>
      <c r="K190" s="19">
        <f t="shared" si="54"/>
        <v>16.002988497098379</v>
      </c>
      <c r="L190" s="15">
        <v>27.689</v>
      </c>
      <c r="M190" s="15">
        <v>61.17</v>
      </c>
      <c r="N190" s="15">
        <v>40.76</v>
      </c>
      <c r="O190" s="15"/>
      <c r="P190" s="15"/>
      <c r="Q190" s="15"/>
    </row>
    <row r="191" spans="1:17">
      <c r="A191" s="14">
        <v>184</v>
      </c>
      <c r="B191" s="14" t="s">
        <v>74</v>
      </c>
      <c r="C191" s="15" t="s">
        <v>78</v>
      </c>
      <c r="D191" s="27">
        <v>40</v>
      </c>
      <c r="E191" s="27" t="s">
        <v>82</v>
      </c>
      <c r="F191" s="16">
        <v>32.015000000000001</v>
      </c>
      <c r="G191" s="17">
        <f t="shared" si="44"/>
        <v>25.01408311774507</v>
      </c>
      <c r="H191" s="15">
        <v>4</v>
      </c>
      <c r="I191" s="18">
        <v>2.9</v>
      </c>
      <c r="J191" s="18">
        <f t="shared" si="56"/>
        <v>11.103024686832862</v>
      </c>
      <c r="K191" s="19">
        <f t="shared" si="54"/>
        <v>15.990991879140223</v>
      </c>
      <c r="L191" s="15">
        <v>27.244</v>
      </c>
      <c r="M191" s="15">
        <v>60.71</v>
      </c>
      <c r="N191" s="15">
        <v>44.28</v>
      </c>
      <c r="O191" s="15"/>
      <c r="P191" s="15"/>
      <c r="Q191" s="15"/>
    </row>
    <row r="192" spans="1:17">
      <c r="A192" s="14">
        <v>185</v>
      </c>
      <c r="B192" s="14" t="s">
        <v>74</v>
      </c>
      <c r="C192" s="15" t="s">
        <v>83</v>
      </c>
      <c r="D192" s="27">
        <v>40</v>
      </c>
      <c r="E192" s="27" t="s">
        <v>82</v>
      </c>
      <c r="F192" s="16">
        <v>32.008000000000003</v>
      </c>
      <c r="G192" s="17">
        <f t="shared" si="44"/>
        <v>25.008613850781956</v>
      </c>
      <c r="H192" s="15">
        <v>4</v>
      </c>
      <c r="I192" s="18">
        <v>2.9</v>
      </c>
      <c r="J192" s="18">
        <f t="shared" si="56"/>
        <v>11.103024686832862</v>
      </c>
      <c r="K192" s="19">
        <f t="shared" si="54"/>
        <v>15.994489034324989</v>
      </c>
      <c r="L192" s="15">
        <v>27.111999999999998</v>
      </c>
      <c r="M192" s="15">
        <v>61.33</v>
      </c>
      <c r="N192" s="15">
        <v>44.54</v>
      </c>
      <c r="O192" s="15"/>
      <c r="P192" s="15"/>
      <c r="Q192" s="15"/>
    </row>
    <row r="193" spans="1:17">
      <c r="A193" s="14">
        <v>186</v>
      </c>
      <c r="B193" s="14" t="s">
        <v>74</v>
      </c>
      <c r="C193" s="15" t="s">
        <v>84</v>
      </c>
      <c r="D193" s="27">
        <v>40</v>
      </c>
      <c r="E193" s="27" t="s">
        <v>82</v>
      </c>
      <c r="F193" s="16">
        <v>32.009</v>
      </c>
      <c r="G193" s="17">
        <f t="shared" si="44"/>
        <v>25.009395174633827</v>
      </c>
      <c r="H193" s="15">
        <v>4</v>
      </c>
      <c r="I193" s="18">
        <v>2.9</v>
      </c>
      <c r="J193" s="18">
        <f t="shared" si="56"/>
        <v>11.103024686832862</v>
      </c>
      <c r="K193" s="19">
        <f t="shared" si="54"/>
        <v>15.993989347079705</v>
      </c>
      <c r="L193" s="15"/>
      <c r="M193" s="15"/>
      <c r="N193" s="15"/>
      <c r="O193" s="15"/>
      <c r="P193" s="15"/>
      <c r="Q193" s="15"/>
    </row>
    <row r="194" spans="1:17">
      <c r="A194" s="14">
        <v>187</v>
      </c>
      <c r="B194" s="14" t="s">
        <v>74</v>
      </c>
      <c r="C194" s="15" t="s">
        <v>75</v>
      </c>
      <c r="D194" s="27">
        <v>40</v>
      </c>
      <c r="E194" s="27" t="s">
        <v>82</v>
      </c>
      <c r="F194" s="16">
        <v>31.992999999999999</v>
      </c>
      <c r="G194" s="17">
        <f t="shared" si="44"/>
        <v>24.996893993003841</v>
      </c>
      <c r="H194" s="15">
        <v>5</v>
      </c>
      <c r="I194" s="18">
        <f t="shared" ref="I194:I199" si="57">((4.24-0.1641)*2.07)*($H$26-H194)/$H$26</f>
        <v>0</v>
      </c>
      <c r="J194" s="18">
        <f>25-H194-I194- (AVERAGE($G$2:$G$3))</f>
        <v>13.003024686832861</v>
      </c>
      <c r="K194" s="19">
        <f t="shared" si="54"/>
        <v>20.002485114348229</v>
      </c>
      <c r="L194" s="15">
        <v>27.475999999999999</v>
      </c>
      <c r="M194" s="15">
        <v>62.069999999999993</v>
      </c>
      <c r="N194" s="15">
        <v>41.49</v>
      </c>
      <c r="O194" s="15"/>
      <c r="P194" s="15"/>
      <c r="Q194" s="15"/>
    </row>
    <row r="195" spans="1:17">
      <c r="A195" s="14">
        <v>188</v>
      </c>
      <c r="B195" s="14" t="s">
        <v>74</v>
      </c>
      <c r="C195" s="15" t="s">
        <v>76</v>
      </c>
      <c r="D195" s="27">
        <v>40</v>
      </c>
      <c r="E195" s="27" t="s">
        <v>82</v>
      </c>
      <c r="F195" s="16">
        <v>32.006999999999998</v>
      </c>
      <c r="G195" s="17">
        <f t="shared" si="44"/>
        <v>25.007832526930077</v>
      </c>
      <c r="H195" s="15">
        <v>5</v>
      </c>
      <c r="I195" s="18">
        <f t="shared" si="57"/>
        <v>0</v>
      </c>
      <c r="J195" s="18">
        <f t="shared" ref="J195:J199" si="58">25-H195-I195- (AVERAGE($G$2:$G$3))</f>
        <v>13.003024686832861</v>
      </c>
      <c r="K195" s="19">
        <f t="shared" si="54"/>
        <v>19.993735940992373</v>
      </c>
      <c r="L195" s="15">
        <v>27.585999999999999</v>
      </c>
      <c r="M195" s="15">
        <v>59.11</v>
      </c>
      <c r="N195" s="15">
        <v>39.31</v>
      </c>
      <c r="O195" s="15"/>
      <c r="P195" s="15"/>
      <c r="Q195" s="15"/>
    </row>
    <row r="196" spans="1:17">
      <c r="A196" s="14">
        <v>189</v>
      </c>
      <c r="B196" s="14" t="s">
        <v>74</v>
      </c>
      <c r="C196" s="15" t="s">
        <v>77</v>
      </c>
      <c r="D196" s="27">
        <v>40</v>
      </c>
      <c r="E196" s="27" t="s">
        <v>82</v>
      </c>
      <c r="F196" s="16">
        <v>32.003999999999998</v>
      </c>
      <c r="G196" s="17">
        <f t="shared" si="44"/>
        <v>25.005488555374455</v>
      </c>
      <c r="H196" s="15">
        <v>5</v>
      </c>
      <c r="I196" s="18">
        <f t="shared" si="57"/>
        <v>0</v>
      </c>
      <c r="J196" s="18">
        <f t="shared" si="58"/>
        <v>13.003024686832861</v>
      </c>
      <c r="K196" s="19">
        <f t="shared" si="54"/>
        <v>19.995610119464533</v>
      </c>
      <c r="L196" s="15">
        <v>27.298999999999999</v>
      </c>
      <c r="M196" s="15">
        <v>58.730000000000004</v>
      </c>
      <c r="N196" s="15">
        <v>39.14</v>
      </c>
      <c r="O196" s="15"/>
      <c r="P196" s="15"/>
      <c r="Q196" s="15"/>
    </row>
    <row r="197" spans="1:17">
      <c r="A197" s="14">
        <v>190</v>
      </c>
      <c r="B197" s="14" t="s">
        <v>74</v>
      </c>
      <c r="C197" s="15" t="s">
        <v>78</v>
      </c>
      <c r="D197" s="27">
        <v>40</v>
      </c>
      <c r="E197" s="27" t="s">
        <v>82</v>
      </c>
      <c r="F197" s="16">
        <v>32.006</v>
      </c>
      <c r="G197" s="17">
        <f t="shared" si="44"/>
        <v>25.007051203078206</v>
      </c>
      <c r="H197" s="15">
        <v>5</v>
      </c>
      <c r="I197" s="18">
        <f t="shared" si="57"/>
        <v>0</v>
      </c>
      <c r="J197" s="18">
        <f t="shared" si="58"/>
        <v>13.003024686832861</v>
      </c>
      <c r="K197" s="19">
        <f t="shared" si="54"/>
        <v>19.994360628111693</v>
      </c>
      <c r="L197" s="15">
        <v>26.96</v>
      </c>
      <c r="M197" s="15">
        <v>60.32</v>
      </c>
      <c r="N197" s="15">
        <v>43.81</v>
      </c>
      <c r="O197" s="15"/>
      <c r="P197" s="15"/>
      <c r="Q197" s="15"/>
    </row>
    <row r="198" spans="1:17">
      <c r="A198" s="14">
        <v>191</v>
      </c>
      <c r="B198" s="14" t="s">
        <v>74</v>
      </c>
      <c r="C198" s="15" t="s">
        <v>83</v>
      </c>
      <c r="D198" s="27">
        <v>40</v>
      </c>
      <c r="E198" s="27" t="s">
        <v>82</v>
      </c>
      <c r="F198" s="16">
        <v>31.997</v>
      </c>
      <c r="G198" s="17">
        <f t="shared" si="44"/>
        <v>25.000019288411337</v>
      </c>
      <c r="H198" s="15">
        <v>5</v>
      </c>
      <c r="I198" s="18">
        <f t="shared" si="57"/>
        <v>0</v>
      </c>
      <c r="J198" s="18">
        <f t="shared" si="58"/>
        <v>13.003024686832861</v>
      </c>
      <c r="K198" s="19">
        <f t="shared" si="54"/>
        <v>19.999984569282837</v>
      </c>
      <c r="L198" s="15">
        <v>27.734999999999999</v>
      </c>
      <c r="M198" s="15">
        <v>61.5</v>
      </c>
      <c r="N198" s="15">
        <v>44.76</v>
      </c>
      <c r="O198" s="15"/>
      <c r="P198" s="15"/>
      <c r="Q198" s="15"/>
    </row>
    <row r="199" spans="1:17" ht="13.5" thickBot="1">
      <c r="A199" s="97">
        <v>192</v>
      </c>
      <c r="B199" s="97" t="s">
        <v>74</v>
      </c>
      <c r="C199" s="97" t="s">
        <v>84</v>
      </c>
      <c r="D199" s="101">
        <v>40</v>
      </c>
      <c r="E199" s="101" t="s">
        <v>82</v>
      </c>
      <c r="F199" s="102">
        <v>31.997</v>
      </c>
      <c r="G199" s="100">
        <f t="shared" si="44"/>
        <v>25.000019288411337</v>
      </c>
      <c r="H199" s="97">
        <v>5</v>
      </c>
      <c r="I199" s="100">
        <f t="shared" si="57"/>
        <v>0</v>
      </c>
      <c r="J199" s="100">
        <f t="shared" si="58"/>
        <v>13.003024686832861</v>
      </c>
      <c r="K199" s="103">
        <f t="shared" si="54"/>
        <v>19.999984569282837</v>
      </c>
      <c r="L199" s="97"/>
      <c r="M199" s="97"/>
      <c r="N199" s="97"/>
      <c r="O199" s="97"/>
      <c r="P199" s="97"/>
      <c r="Q199" s="97"/>
    </row>
    <row r="200" spans="1:17">
      <c r="A200" s="14">
        <v>193</v>
      </c>
      <c r="B200" s="14" t="s">
        <v>74</v>
      </c>
      <c r="C200" s="14" t="s">
        <v>75</v>
      </c>
      <c r="D200" s="27">
        <v>48</v>
      </c>
      <c r="E200" s="27" t="s">
        <v>81</v>
      </c>
      <c r="F200" s="16">
        <v>31.995000000000001</v>
      </c>
      <c r="G200" s="17">
        <f t="shared" si="44"/>
        <v>24.998456640707591</v>
      </c>
      <c r="H200" s="14">
        <v>0</v>
      </c>
      <c r="I200" s="17">
        <v>10.3</v>
      </c>
      <c r="J200" s="17">
        <f>25-H200-I200- (AVERAGE($G$2:$G$3))</f>
        <v>7.70302468683286</v>
      </c>
      <c r="K200" s="25">
        <f t="shared" si="54"/>
        <v>0</v>
      </c>
      <c r="L200" s="14">
        <v>27.39</v>
      </c>
      <c r="M200" s="14">
        <v>69.87</v>
      </c>
      <c r="N200" s="14">
        <v>47.341999999999999</v>
      </c>
      <c r="O200" s="14"/>
      <c r="P200" s="14"/>
      <c r="Q200" s="14"/>
    </row>
    <row r="201" spans="1:17">
      <c r="A201" s="14">
        <v>194</v>
      </c>
      <c r="B201" s="14" t="s">
        <v>74</v>
      </c>
      <c r="C201" s="15" t="s">
        <v>76</v>
      </c>
      <c r="D201" s="27">
        <v>48</v>
      </c>
      <c r="E201" s="27" t="s">
        <v>81</v>
      </c>
      <c r="F201" s="16">
        <v>32.002000000000002</v>
      </c>
      <c r="G201" s="17">
        <f t="shared" ref="G201:G247" si="59">F201/AVERAGE($C$2:$C$3)</f>
        <v>25.003925907670713</v>
      </c>
      <c r="H201" s="15">
        <v>0</v>
      </c>
      <c r="I201" s="18">
        <v>10.3</v>
      </c>
      <c r="J201" s="18">
        <f t="shared" ref="J201:J205" si="60">25-H201-I201- (AVERAGE($G$2:$G$3))</f>
        <v>7.70302468683286</v>
      </c>
      <c r="K201" s="19">
        <f t="shared" si="54"/>
        <v>0</v>
      </c>
      <c r="L201" s="15">
        <v>27.942</v>
      </c>
      <c r="M201" s="15">
        <v>69.5</v>
      </c>
      <c r="N201" s="15">
        <v>47.331000000000003</v>
      </c>
      <c r="O201" s="15"/>
      <c r="P201" s="15"/>
      <c r="Q201" s="15"/>
    </row>
    <row r="202" spans="1:17">
      <c r="A202" s="14">
        <v>195</v>
      </c>
      <c r="B202" s="14" t="s">
        <v>74</v>
      </c>
      <c r="C202" s="15" t="s">
        <v>77</v>
      </c>
      <c r="D202" s="27">
        <v>48</v>
      </c>
      <c r="E202" s="27" t="s">
        <v>81</v>
      </c>
      <c r="F202" s="16">
        <v>32.003</v>
      </c>
      <c r="G202" s="17">
        <f t="shared" si="59"/>
        <v>25.004707231522584</v>
      </c>
      <c r="H202" s="15">
        <v>0</v>
      </c>
      <c r="I202" s="18">
        <v>10.3</v>
      </c>
      <c r="J202" s="18">
        <f t="shared" si="60"/>
        <v>7.70302468683286</v>
      </c>
      <c r="K202" s="19">
        <f t="shared" si="54"/>
        <v>0</v>
      </c>
      <c r="L202" s="15">
        <v>28.54</v>
      </c>
      <c r="M202" s="15">
        <v>69.989999999999995</v>
      </c>
      <c r="N202" s="15">
        <v>47.895000000000003</v>
      </c>
      <c r="O202" s="15"/>
      <c r="P202" s="15"/>
      <c r="Q202" s="15"/>
    </row>
    <row r="203" spans="1:17">
      <c r="A203" s="14">
        <v>196</v>
      </c>
      <c r="B203" s="14" t="s">
        <v>74</v>
      </c>
      <c r="C203" s="15" t="s">
        <v>78</v>
      </c>
      <c r="D203" s="27">
        <v>48</v>
      </c>
      <c r="E203" s="27" t="s">
        <v>81</v>
      </c>
      <c r="F203" s="16">
        <v>31.995999999999999</v>
      </c>
      <c r="G203" s="17">
        <f t="shared" si="59"/>
        <v>24.999237964559462</v>
      </c>
      <c r="H203" s="15">
        <v>0</v>
      </c>
      <c r="I203" s="18">
        <v>10.3</v>
      </c>
      <c r="J203" s="18">
        <f t="shared" si="60"/>
        <v>7.70302468683286</v>
      </c>
      <c r="K203" s="19">
        <f t="shared" si="54"/>
        <v>0</v>
      </c>
      <c r="L203" s="15">
        <v>28.145</v>
      </c>
      <c r="M203" s="15">
        <v>63.2</v>
      </c>
      <c r="N203" s="15">
        <v>46.058999999999997</v>
      </c>
      <c r="O203" s="15"/>
      <c r="P203" s="15"/>
      <c r="Q203" s="15"/>
    </row>
    <row r="204" spans="1:17">
      <c r="A204" s="14">
        <v>197</v>
      </c>
      <c r="B204" s="14" t="s">
        <v>74</v>
      </c>
      <c r="C204" s="15" t="s">
        <v>83</v>
      </c>
      <c r="D204" s="27">
        <v>48</v>
      </c>
      <c r="E204" s="27" t="s">
        <v>81</v>
      </c>
      <c r="F204" s="16">
        <v>32.002000000000002</v>
      </c>
      <c r="G204" s="17">
        <f t="shared" si="59"/>
        <v>25.003925907670713</v>
      </c>
      <c r="H204" s="15">
        <v>0</v>
      </c>
      <c r="I204" s="18">
        <v>10.3</v>
      </c>
      <c r="J204" s="18">
        <f t="shared" si="60"/>
        <v>7.70302468683286</v>
      </c>
      <c r="K204" s="19">
        <f t="shared" si="54"/>
        <v>0</v>
      </c>
      <c r="L204" s="15">
        <v>28.210999999999999</v>
      </c>
      <c r="M204" s="15">
        <v>60.64</v>
      </c>
      <c r="N204" s="15">
        <v>44.76</v>
      </c>
      <c r="O204" s="15"/>
      <c r="P204" s="15"/>
      <c r="Q204" s="15"/>
    </row>
    <row r="205" spans="1:17">
      <c r="A205" s="14">
        <v>198</v>
      </c>
      <c r="B205" s="14" t="s">
        <v>74</v>
      </c>
      <c r="C205" s="15" t="s">
        <v>84</v>
      </c>
      <c r="D205" s="27">
        <v>48</v>
      </c>
      <c r="E205" s="27" t="s">
        <v>81</v>
      </c>
      <c r="F205" s="16">
        <v>31.998000000000001</v>
      </c>
      <c r="G205" s="17">
        <f t="shared" si="59"/>
        <v>25.000800612263212</v>
      </c>
      <c r="H205" s="15">
        <v>0</v>
      </c>
      <c r="I205" s="18">
        <v>10.3</v>
      </c>
      <c r="J205" s="18">
        <f t="shared" si="60"/>
        <v>7.70302468683286</v>
      </c>
      <c r="K205" s="19">
        <f t="shared" si="54"/>
        <v>0</v>
      </c>
      <c r="L205" s="15"/>
      <c r="M205" s="15"/>
      <c r="N205" s="15"/>
      <c r="O205" s="15"/>
      <c r="P205" s="15"/>
      <c r="Q205" s="15"/>
    </row>
    <row r="206" spans="1:17">
      <c r="A206" s="14">
        <v>199</v>
      </c>
      <c r="B206" s="14" t="s">
        <v>74</v>
      </c>
      <c r="C206" s="15" t="s">
        <v>75</v>
      </c>
      <c r="D206" s="27">
        <v>48</v>
      </c>
      <c r="E206" s="27" t="s">
        <v>81</v>
      </c>
      <c r="F206" s="16">
        <v>32.002000000000002</v>
      </c>
      <c r="G206" s="17">
        <f t="shared" si="59"/>
        <v>25.003925907670713</v>
      </c>
      <c r="H206" s="15">
        <v>1.5</v>
      </c>
      <c r="I206" s="18">
        <v>8.3000000000000007</v>
      </c>
      <c r="J206" s="18">
        <f>25-H206-I206- (AVERAGE($G$2:$G$3))</f>
        <v>8.20302468683286</v>
      </c>
      <c r="K206" s="19">
        <f t="shared" si="54"/>
        <v>5.9990579300982079</v>
      </c>
      <c r="L206" s="15">
        <v>28.699000000000002</v>
      </c>
      <c r="M206" s="15">
        <v>65.09</v>
      </c>
      <c r="N206" s="15">
        <v>43.582999999999998</v>
      </c>
      <c r="O206" s="15"/>
      <c r="P206" s="15"/>
      <c r="Q206" s="15"/>
    </row>
    <row r="207" spans="1:17">
      <c r="A207" s="14">
        <v>200</v>
      </c>
      <c r="B207" s="14" t="s">
        <v>74</v>
      </c>
      <c r="C207" s="15" t="s">
        <v>76</v>
      </c>
      <c r="D207" s="27">
        <v>48</v>
      </c>
      <c r="E207" s="27" t="s">
        <v>81</v>
      </c>
      <c r="F207" s="16">
        <v>31.995999999999999</v>
      </c>
      <c r="G207" s="17">
        <f t="shared" si="59"/>
        <v>24.999237964559462</v>
      </c>
      <c r="H207" s="15">
        <v>1.5</v>
      </c>
      <c r="I207" s="18">
        <v>8.3000000000000007</v>
      </c>
      <c r="J207" s="18">
        <f t="shared" ref="J207:J211" si="61">25-H207-I207- (AVERAGE($G$2:$G$3))</f>
        <v>8.20302468683286</v>
      </c>
      <c r="K207" s="19">
        <f t="shared" si="54"/>
        <v>6.0001828940805995</v>
      </c>
      <c r="L207" s="15">
        <v>26.893999999999998</v>
      </c>
      <c r="M207" s="15">
        <v>62.91</v>
      </c>
      <c r="N207" s="15">
        <v>41.185000000000002</v>
      </c>
      <c r="O207" s="15"/>
      <c r="P207" s="15"/>
      <c r="Q207" s="15"/>
    </row>
    <row r="208" spans="1:17">
      <c r="A208" s="14">
        <v>201</v>
      </c>
      <c r="B208" s="14" t="s">
        <v>74</v>
      </c>
      <c r="C208" s="15" t="s">
        <v>77</v>
      </c>
      <c r="D208" s="27">
        <v>48</v>
      </c>
      <c r="E208" s="27" t="s">
        <v>81</v>
      </c>
      <c r="F208" s="16">
        <v>31.998999999999999</v>
      </c>
      <c r="G208" s="17">
        <f t="shared" si="59"/>
        <v>25.001581936115088</v>
      </c>
      <c r="H208" s="15">
        <v>1.5</v>
      </c>
      <c r="I208" s="18">
        <v>8.3000000000000007</v>
      </c>
      <c r="J208" s="18">
        <f t="shared" si="61"/>
        <v>8.20302468683286</v>
      </c>
      <c r="K208" s="19">
        <f t="shared" si="54"/>
        <v>5.9996203593550685</v>
      </c>
      <c r="L208" s="15">
        <v>28.742999999999999</v>
      </c>
      <c r="M208" s="15">
        <v>65.040000000000006</v>
      </c>
      <c r="N208" s="15">
        <v>44.281999999999996</v>
      </c>
      <c r="O208" s="15"/>
      <c r="P208" s="15"/>
      <c r="Q208" s="15"/>
    </row>
    <row r="209" spans="1:17">
      <c r="A209" s="14">
        <v>202</v>
      </c>
      <c r="B209" s="14" t="s">
        <v>74</v>
      </c>
      <c r="C209" s="15" t="s">
        <v>78</v>
      </c>
      <c r="D209" s="27">
        <v>48</v>
      </c>
      <c r="E209" s="27" t="s">
        <v>81</v>
      </c>
      <c r="F209" s="16">
        <v>31.994</v>
      </c>
      <c r="G209" s="17">
        <f t="shared" si="59"/>
        <v>24.997675316855716</v>
      </c>
      <c r="H209" s="15">
        <v>1.5</v>
      </c>
      <c r="I209" s="18">
        <v>8.3000000000000007</v>
      </c>
      <c r="J209" s="18">
        <f t="shared" si="61"/>
        <v>8.20302468683286</v>
      </c>
      <c r="K209" s="19">
        <f t="shared" si="54"/>
        <v>6.0005579758393095</v>
      </c>
      <c r="L209" s="15">
        <v>27.712</v>
      </c>
      <c r="M209" s="15">
        <v>63.31</v>
      </c>
      <c r="N209" s="15">
        <v>45.969000000000001</v>
      </c>
      <c r="O209" s="15"/>
      <c r="P209" s="15"/>
      <c r="Q209" s="15"/>
    </row>
    <row r="210" spans="1:17">
      <c r="A210" s="14">
        <v>203</v>
      </c>
      <c r="B210" s="14" t="s">
        <v>74</v>
      </c>
      <c r="C210" s="15" t="s">
        <v>83</v>
      </c>
      <c r="D210" s="27">
        <v>48</v>
      </c>
      <c r="E210" s="27" t="s">
        <v>81</v>
      </c>
      <c r="F210" s="16">
        <v>31.991</v>
      </c>
      <c r="G210" s="17">
        <f t="shared" si="59"/>
        <v>24.995331345300094</v>
      </c>
      <c r="H210" s="15">
        <v>1.5</v>
      </c>
      <c r="I210" s="18">
        <v>8.3000000000000007</v>
      </c>
      <c r="J210" s="18">
        <f t="shared" si="61"/>
        <v>8.20302468683286</v>
      </c>
      <c r="K210" s="19">
        <f t="shared" si="54"/>
        <v>6.0011206864118929</v>
      </c>
      <c r="L210" s="15">
        <v>27.053000000000001</v>
      </c>
      <c r="M210" s="15">
        <v>62.72</v>
      </c>
      <c r="N210" s="15">
        <v>45.384</v>
      </c>
      <c r="O210" s="15"/>
      <c r="P210" s="15"/>
      <c r="Q210" s="15"/>
    </row>
    <row r="211" spans="1:17">
      <c r="A211" s="14">
        <v>204</v>
      </c>
      <c r="B211" s="14" t="s">
        <v>74</v>
      </c>
      <c r="C211" s="15" t="s">
        <v>84</v>
      </c>
      <c r="D211" s="27">
        <v>48</v>
      </c>
      <c r="E211" s="27" t="s">
        <v>81</v>
      </c>
      <c r="F211" s="16">
        <v>32.011000000000003</v>
      </c>
      <c r="G211" s="17">
        <f t="shared" si="59"/>
        <v>25.010957822337577</v>
      </c>
      <c r="H211" s="15">
        <v>1.5</v>
      </c>
      <c r="I211" s="18">
        <v>8.3000000000000007</v>
      </c>
      <c r="J211" s="18">
        <f t="shared" si="61"/>
        <v>8.20302468683286</v>
      </c>
      <c r="K211" s="19">
        <f t="shared" si="54"/>
        <v>5.9973712748431112</v>
      </c>
      <c r="L211" s="15"/>
      <c r="M211" s="15"/>
      <c r="N211" s="15"/>
      <c r="O211" s="15"/>
      <c r="P211" s="15"/>
      <c r="Q211" s="15"/>
    </row>
    <row r="212" spans="1:17">
      <c r="A212" s="14">
        <v>205</v>
      </c>
      <c r="B212" s="14" t="s">
        <v>74</v>
      </c>
      <c r="C212" s="15" t="s">
        <v>75</v>
      </c>
      <c r="D212" s="27">
        <v>48</v>
      </c>
      <c r="E212" s="27" t="s">
        <v>81</v>
      </c>
      <c r="F212" s="16">
        <v>31.995999999999999</v>
      </c>
      <c r="G212" s="17">
        <f t="shared" si="59"/>
        <v>24.999237964559462</v>
      </c>
      <c r="H212" s="15">
        <v>4</v>
      </c>
      <c r="I212" s="18">
        <v>2.9</v>
      </c>
      <c r="J212" s="18">
        <f>25-H212-I212- (AVERAGE($G$2:$G$3))</f>
        <v>11.103024686832862</v>
      </c>
      <c r="K212" s="19">
        <f t="shared" si="54"/>
        <v>16.000487717548268</v>
      </c>
      <c r="L212" s="15">
        <v>27.241</v>
      </c>
      <c r="M212" s="15">
        <v>59.08</v>
      </c>
      <c r="N212" s="15">
        <v>39.476999999999997</v>
      </c>
      <c r="O212" s="15"/>
      <c r="P212" s="15"/>
      <c r="Q212" s="15"/>
    </row>
    <row r="213" spans="1:17">
      <c r="A213" s="14">
        <v>206</v>
      </c>
      <c r="B213" s="14" t="s">
        <v>74</v>
      </c>
      <c r="C213" s="15" t="s">
        <v>76</v>
      </c>
      <c r="D213" s="27">
        <v>48</v>
      </c>
      <c r="E213" s="27" t="s">
        <v>81</v>
      </c>
      <c r="F213" s="16">
        <v>32</v>
      </c>
      <c r="G213" s="17">
        <f t="shared" si="59"/>
        <v>25.002363259966963</v>
      </c>
      <c r="H213" s="15">
        <v>4</v>
      </c>
      <c r="I213" s="18">
        <v>2.9</v>
      </c>
      <c r="J213" s="18">
        <f t="shared" ref="J213:J217" si="62">25-H213-I213- (AVERAGE($G$2:$G$3))</f>
        <v>11.103024686832862</v>
      </c>
      <c r="K213" s="19">
        <f t="shared" si="54"/>
        <v>15.998487656583571</v>
      </c>
      <c r="L213" s="15">
        <v>27.381</v>
      </c>
      <c r="M213" s="15">
        <v>59.81</v>
      </c>
      <c r="N213" s="15">
        <v>39.823</v>
      </c>
      <c r="O213" s="15"/>
      <c r="P213" s="15"/>
      <c r="Q213" s="15"/>
    </row>
    <row r="214" spans="1:17">
      <c r="A214" s="14">
        <v>207</v>
      </c>
      <c r="B214" s="14" t="s">
        <v>74</v>
      </c>
      <c r="C214" s="15" t="s">
        <v>77</v>
      </c>
      <c r="D214" s="27">
        <v>48</v>
      </c>
      <c r="E214" s="27" t="s">
        <v>81</v>
      </c>
      <c r="F214" s="16">
        <v>32.003</v>
      </c>
      <c r="G214" s="17">
        <f t="shared" si="59"/>
        <v>25.004707231522584</v>
      </c>
      <c r="H214" s="15">
        <v>4</v>
      </c>
      <c r="I214" s="18">
        <v>2.9</v>
      </c>
      <c r="J214" s="18">
        <f t="shared" si="62"/>
        <v>11.103024686832862</v>
      </c>
      <c r="K214" s="19">
        <f t="shared" si="54"/>
        <v>15.996987938964294</v>
      </c>
      <c r="L214" s="15">
        <v>27.030999999999999</v>
      </c>
      <c r="M214" s="15">
        <v>57.65</v>
      </c>
      <c r="N214" s="15">
        <v>38.435000000000002</v>
      </c>
      <c r="O214" s="15"/>
      <c r="P214" s="15"/>
      <c r="Q214" s="15"/>
    </row>
    <row r="215" spans="1:17">
      <c r="A215" s="14">
        <v>208</v>
      </c>
      <c r="B215" s="14" t="s">
        <v>74</v>
      </c>
      <c r="C215" s="15" t="s">
        <v>78</v>
      </c>
      <c r="D215" s="27">
        <v>48</v>
      </c>
      <c r="E215" s="27" t="s">
        <v>81</v>
      </c>
      <c r="F215" s="16">
        <v>31.995000000000001</v>
      </c>
      <c r="G215" s="17">
        <f t="shared" si="59"/>
        <v>24.998456640707591</v>
      </c>
      <c r="H215" s="15">
        <v>4</v>
      </c>
      <c r="I215" s="18">
        <v>2.9</v>
      </c>
      <c r="J215" s="18">
        <f t="shared" si="62"/>
        <v>11.103024686832862</v>
      </c>
      <c r="K215" s="19">
        <f t="shared" si="54"/>
        <v>16.000987810929029</v>
      </c>
      <c r="L215" s="15">
        <v>27.311</v>
      </c>
      <c r="M215" s="15">
        <v>61.54</v>
      </c>
      <c r="N215" s="15">
        <v>44.773000000000003</v>
      </c>
      <c r="O215" s="15"/>
      <c r="P215" s="15"/>
      <c r="Q215" s="15"/>
    </row>
    <row r="216" spans="1:17">
      <c r="A216" s="14">
        <v>209</v>
      </c>
      <c r="B216" s="14" t="s">
        <v>74</v>
      </c>
      <c r="C216" s="15" t="s">
        <v>83</v>
      </c>
      <c r="D216" s="27">
        <v>48</v>
      </c>
      <c r="E216" s="27" t="s">
        <v>81</v>
      </c>
      <c r="F216" s="16">
        <v>31.995999999999999</v>
      </c>
      <c r="G216" s="17">
        <f t="shared" si="59"/>
        <v>24.999237964559462</v>
      </c>
      <c r="H216" s="15">
        <v>4</v>
      </c>
      <c r="I216" s="18">
        <v>2.9</v>
      </c>
      <c r="J216" s="18">
        <f t="shared" si="62"/>
        <v>11.103024686832862</v>
      </c>
      <c r="K216" s="19">
        <f t="shared" si="54"/>
        <v>16.000487717548268</v>
      </c>
      <c r="L216" s="15">
        <v>26.323</v>
      </c>
      <c r="M216" s="15">
        <v>60.35</v>
      </c>
      <c r="N216" s="15">
        <v>43.734000000000002</v>
      </c>
      <c r="O216" s="15"/>
      <c r="P216" s="15"/>
      <c r="Q216" s="15"/>
    </row>
    <row r="217" spans="1:17">
      <c r="A217" s="14">
        <v>210</v>
      </c>
      <c r="B217" s="14" t="s">
        <v>74</v>
      </c>
      <c r="C217" s="15" t="s">
        <v>84</v>
      </c>
      <c r="D217" s="27">
        <v>48</v>
      </c>
      <c r="E217" s="27" t="s">
        <v>81</v>
      </c>
      <c r="F217" s="16">
        <v>31.995000000000001</v>
      </c>
      <c r="G217" s="17">
        <f t="shared" si="59"/>
        <v>24.998456640707591</v>
      </c>
      <c r="H217" s="15">
        <v>4</v>
      </c>
      <c r="I217" s="18">
        <v>2.9</v>
      </c>
      <c r="J217" s="18">
        <f t="shared" si="62"/>
        <v>11.103024686832862</v>
      </c>
      <c r="K217" s="19">
        <f t="shared" si="54"/>
        <v>16.000987810929029</v>
      </c>
      <c r="L217" s="15"/>
      <c r="M217" s="15"/>
      <c r="N217" s="15"/>
      <c r="O217" s="15"/>
      <c r="P217" s="15"/>
      <c r="Q217" s="15"/>
    </row>
    <row r="218" spans="1:17">
      <c r="A218" s="14">
        <v>211</v>
      </c>
      <c r="B218" s="14" t="s">
        <v>74</v>
      </c>
      <c r="C218" s="15" t="s">
        <v>75</v>
      </c>
      <c r="D218" s="27">
        <v>48</v>
      </c>
      <c r="E218" s="27" t="s">
        <v>81</v>
      </c>
      <c r="F218" s="16">
        <v>32.008000000000003</v>
      </c>
      <c r="G218" s="17">
        <f t="shared" si="59"/>
        <v>25.008613850781956</v>
      </c>
      <c r="H218" s="15">
        <v>5</v>
      </c>
      <c r="I218" s="18">
        <f t="shared" ref="I218:I223" si="63">((4.24-0.1641)*2.07)*($H$26-H218)/$H$26</f>
        <v>0</v>
      </c>
      <c r="J218" s="18">
        <f>25-H218-I218- (AVERAGE($G$2:$G$3))</f>
        <v>13.003024686832861</v>
      </c>
      <c r="K218" s="19">
        <f t="shared" si="54"/>
        <v>19.993111292906235</v>
      </c>
      <c r="L218" s="15">
        <v>27.052</v>
      </c>
      <c r="M218" s="15">
        <v>59.92</v>
      </c>
      <c r="N218" s="15">
        <v>40.377000000000002</v>
      </c>
      <c r="O218" s="15"/>
      <c r="P218" s="15"/>
      <c r="Q218" s="15"/>
    </row>
    <row r="219" spans="1:17">
      <c r="A219" s="14">
        <v>212</v>
      </c>
      <c r="B219" s="14" t="s">
        <v>74</v>
      </c>
      <c r="C219" s="15" t="s">
        <v>76</v>
      </c>
      <c r="D219" s="27">
        <v>48</v>
      </c>
      <c r="E219" s="27" t="s">
        <v>81</v>
      </c>
      <c r="F219" s="16">
        <v>31.997</v>
      </c>
      <c r="G219" s="17">
        <f t="shared" si="59"/>
        <v>25.000019288411337</v>
      </c>
      <c r="H219" s="15">
        <v>5</v>
      </c>
      <c r="I219" s="18">
        <f t="shared" si="63"/>
        <v>0</v>
      </c>
      <c r="J219" s="18">
        <f t="shared" ref="J219:J223" si="64">25-H219-I219- (AVERAGE($G$2:$G$3))</f>
        <v>13.003024686832861</v>
      </c>
      <c r="K219" s="19">
        <f t="shared" si="54"/>
        <v>19.999984569282837</v>
      </c>
      <c r="L219" s="15">
        <v>27.21</v>
      </c>
      <c r="M219" s="15">
        <v>58.5</v>
      </c>
      <c r="N219" s="15">
        <v>39.094000000000001</v>
      </c>
      <c r="O219" s="15"/>
      <c r="P219" s="15"/>
      <c r="Q219" s="15"/>
    </row>
    <row r="220" spans="1:17">
      <c r="A220" s="14">
        <v>213</v>
      </c>
      <c r="B220" s="14" t="s">
        <v>74</v>
      </c>
      <c r="C220" s="15" t="s">
        <v>77</v>
      </c>
      <c r="D220" s="27">
        <v>48</v>
      </c>
      <c r="E220" s="27" t="s">
        <v>81</v>
      </c>
      <c r="F220" s="16">
        <v>32.006999999999998</v>
      </c>
      <c r="G220" s="17">
        <f t="shared" si="59"/>
        <v>25.007832526930077</v>
      </c>
      <c r="H220" s="15">
        <v>5</v>
      </c>
      <c r="I220" s="18">
        <f t="shared" si="63"/>
        <v>0</v>
      </c>
      <c r="J220" s="18">
        <f t="shared" si="64"/>
        <v>13.003024686832861</v>
      </c>
      <c r="K220" s="19">
        <f t="shared" si="54"/>
        <v>19.993735940992373</v>
      </c>
      <c r="L220" s="15">
        <v>27.631</v>
      </c>
      <c r="M220" s="15">
        <v>59.61</v>
      </c>
      <c r="N220" s="15">
        <v>39.984000000000002</v>
      </c>
      <c r="O220" s="15"/>
      <c r="P220" s="15"/>
      <c r="Q220" s="15"/>
    </row>
    <row r="221" spans="1:17">
      <c r="A221" s="14">
        <v>214</v>
      </c>
      <c r="B221" s="14" t="s">
        <v>74</v>
      </c>
      <c r="C221" s="15" t="s">
        <v>78</v>
      </c>
      <c r="D221" s="27">
        <v>48</v>
      </c>
      <c r="E221" s="27" t="s">
        <v>81</v>
      </c>
      <c r="F221" s="16">
        <v>31.995999999999999</v>
      </c>
      <c r="G221" s="17">
        <f t="shared" si="59"/>
        <v>24.999237964559462</v>
      </c>
      <c r="H221" s="15">
        <v>5</v>
      </c>
      <c r="I221" s="18">
        <f t="shared" si="63"/>
        <v>0</v>
      </c>
      <c r="J221" s="18">
        <f t="shared" si="64"/>
        <v>13.003024686832861</v>
      </c>
      <c r="K221" s="19">
        <f t="shared" si="54"/>
        <v>20.000609646935334</v>
      </c>
      <c r="L221" s="15">
        <v>27.125</v>
      </c>
      <c r="M221" s="15">
        <v>60.63</v>
      </c>
      <c r="N221" s="15">
        <v>44.283999999999999</v>
      </c>
      <c r="O221" s="15"/>
      <c r="P221" s="15"/>
      <c r="Q221" s="15"/>
    </row>
    <row r="222" spans="1:17">
      <c r="A222" s="14">
        <v>215</v>
      </c>
      <c r="B222" s="14" t="s">
        <v>74</v>
      </c>
      <c r="C222" s="15" t="s">
        <v>83</v>
      </c>
      <c r="D222" s="27">
        <v>48</v>
      </c>
      <c r="E222" s="27" t="s">
        <v>81</v>
      </c>
      <c r="F222" s="16">
        <v>32.003</v>
      </c>
      <c r="G222" s="17">
        <f t="shared" si="59"/>
        <v>25.004707231522584</v>
      </c>
      <c r="H222" s="15">
        <v>5</v>
      </c>
      <c r="I222" s="18">
        <f t="shared" si="63"/>
        <v>0</v>
      </c>
      <c r="J222" s="18">
        <f t="shared" si="64"/>
        <v>13.003024686832861</v>
      </c>
      <c r="K222" s="19">
        <f t="shared" si="54"/>
        <v>19.996234923705366</v>
      </c>
      <c r="L222" s="15">
        <v>27.334</v>
      </c>
      <c r="M222" s="15">
        <v>61.25</v>
      </c>
      <c r="N222" s="15">
        <v>45.118000000000002</v>
      </c>
      <c r="O222" s="15"/>
      <c r="P222" s="15"/>
      <c r="Q222" s="15"/>
    </row>
    <row r="223" spans="1:17">
      <c r="A223" s="14">
        <v>216</v>
      </c>
      <c r="B223" s="14" t="s">
        <v>74</v>
      </c>
      <c r="C223" s="15" t="s">
        <v>84</v>
      </c>
      <c r="D223" s="27">
        <v>48</v>
      </c>
      <c r="E223" s="27" t="s">
        <v>81</v>
      </c>
      <c r="F223" s="16">
        <v>31.998999999999999</v>
      </c>
      <c r="G223" s="17">
        <f t="shared" si="59"/>
        <v>25.001581936115088</v>
      </c>
      <c r="H223" s="15">
        <v>5</v>
      </c>
      <c r="I223" s="18">
        <f t="shared" si="63"/>
        <v>0</v>
      </c>
      <c r="J223" s="18">
        <f t="shared" si="64"/>
        <v>13.003024686832861</v>
      </c>
      <c r="K223" s="19">
        <f t="shared" si="54"/>
        <v>19.998734531183562</v>
      </c>
      <c r="L223" s="15"/>
      <c r="M223" s="15"/>
      <c r="N223" s="15"/>
      <c r="O223" s="15"/>
      <c r="P223" s="15"/>
      <c r="Q223" s="15"/>
    </row>
    <row r="224" spans="1:17">
      <c r="A224" s="14">
        <v>217</v>
      </c>
      <c r="B224" s="14" t="s">
        <v>74</v>
      </c>
      <c r="C224" s="15" t="s">
        <v>75</v>
      </c>
      <c r="D224" s="27">
        <v>48</v>
      </c>
      <c r="E224" s="27" t="s">
        <v>82</v>
      </c>
      <c r="F224" s="16">
        <v>32.009</v>
      </c>
      <c r="G224" s="17">
        <f t="shared" si="59"/>
        <v>25.009395174633827</v>
      </c>
      <c r="H224" s="15">
        <v>0</v>
      </c>
      <c r="I224" s="18">
        <v>10.3</v>
      </c>
      <c r="J224" s="18">
        <f>25-H224-I224- (AVERAGE($G$2:$G$3))</f>
        <v>7.70302468683286</v>
      </c>
      <c r="K224" s="19">
        <f t="shared" si="54"/>
        <v>0</v>
      </c>
      <c r="L224" s="15">
        <v>26.994</v>
      </c>
      <c r="M224" s="15">
        <v>68.55</v>
      </c>
      <c r="N224" s="15">
        <v>46.335999999999999</v>
      </c>
      <c r="O224" s="15"/>
      <c r="P224" s="15"/>
      <c r="Q224" s="15"/>
    </row>
    <row r="225" spans="1:17">
      <c r="A225" s="14">
        <v>218</v>
      </c>
      <c r="B225" s="14" t="s">
        <v>74</v>
      </c>
      <c r="C225" s="15" t="s">
        <v>76</v>
      </c>
      <c r="D225" s="27">
        <v>48</v>
      </c>
      <c r="E225" s="27" t="s">
        <v>82</v>
      </c>
      <c r="F225" s="16">
        <v>32</v>
      </c>
      <c r="G225" s="17">
        <f t="shared" si="59"/>
        <v>25.002363259966963</v>
      </c>
      <c r="H225" s="15">
        <v>0</v>
      </c>
      <c r="I225" s="18">
        <v>10.3</v>
      </c>
      <c r="J225" s="18">
        <f t="shared" ref="J225:J229" si="65">25-H225-I225- (AVERAGE($G$2:$G$3))</f>
        <v>7.70302468683286</v>
      </c>
      <c r="K225" s="19">
        <f t="shared" si="54"/>
        <v>0</v>
      </c>
      <c r="L225" s="15">
        <v>27</v>
      </c>
      <c r="M225" s="15">
        <v>68.56</v>
      </c>
      <c r="N225" s="15">
        <v>46.390999999999998</v>
      </c>
      <c r="O225" s="15"/>
      <c r="P225" s="15"/>
      <c r="Q225" s="15"/>
    </row>
    <row r="226" spans="1:17">
      <c r="A226" s="14">
        <v>219</v>
      </c>
      <c r="B226" s="14" t="s">
        <v>74</v>
      </c>
      <c r="C226" s="15" t="s">
        <v>77</v>
      </c>
      <c r="D226" s="27">
        <v>48</v>
      </c>
      <c r="E226" s="27" t="s">
        <v>82</v>
      </c>
      <c r="F226" s="16">
        <v>32.008000000000003</v>
      </c>
      <c r="G226" s="17">
        <f t="shared" si="59"/>
        <v>25.008613850781956</v>
      </c>
      <c r="H226" s="15">
        <v>0</v>
      </c>
      <c r="I226" s="18">
        <v>10.3</v>
      </c>
      <c r="J226" s="18">
        <f t="shared" si="65"/>
        <v>7.70302468683286</v>
      </c>
      <c r="K226" s="19">
        <f t="shared" si="54"/>
        <v>0</v>
      </c>
      <c r="L226" s="15">
        <v>27.218</v>
      </c>
      <c r="M226" s="15">
        <v>69.53</v>
      </c>
      <c r="N226" s="15">
        <v>47.018000000000001</v>
      </c>
      <c r="O226" s="15"/>
      <c r="P226" s="15"/>
      <c r="Q226" s="15"/>
    </row>
    <row r="227" spans="1:17">
      <c r="A227" s="14">
        <v>220</v>
      </c>
      <c r="B227" s="14" t="s">
        <v>74</v>
      </c>
      <c r="C227" s="15" t="s">
        <v>78</v>
      </c>
      <c r="D227" s="27">
        <v>48</v>
      </c>
      <c r="E227" s="27" t="s">
        <v>82</v>
      </c>
      <c r="F227" s="16">
        <v>31.997</v>
      </c>
      <c r="G227" s="17">
        <f t="shared" si="59"/>
        <v>25.000019288411337</v>
      </c>
      <c r="H227" s="15">
        <v>0</v>
      </c>
      <c r="I227" s="18">
        <v>10.3</v>
      </c>
      <c r="J227" s="18">
        <f t="shared" si="65"/>
        <v>7.70302468683286</v>
      </c>
      <c r="K227" s="19">
        <f t="shared" si="54"/>
        <v>0</v>
      </c>
      <c r="L227" s="15">
        <v>27.221</v>
      </c>
      <c r="M227" s="15">
        <v>62.69</v>
      </c>
      <c r="N227" s="15">
        <v>45.478999999999999</v>
      </c>
      <c r="O227" s="15"/>
      <c r="P227" s="15"/>
      <c r="Q227" s="15"/>
    </row>
    <row r="228" spans="1:17">
      <c r="A228" s="14">
        <v>221</v>
      </c>
      <c r="B228" s="14" t="s">
        <v>74</v>
      </c>
      <c r="C228" s="15" t="s">
        <v>83</v>
      </c>
      <c r="D228" s="27">
        <v>48</v>
      </c>
      <c r="E228" s="27" t="s">
        <v>82</v>
      </c>
      <c r="F228" s="16">
        <v>31.997</v>
      </c>
      <c r="G228" s="17">
        <f t="shared" si="59"/>
        <v>25.000019288411337</v>
      </c>
      <c r="H228" s="15">
        <v>0</v>
      </c>
      <c r="I228" s="18">
        <v>10.3</v>
      </c>
      <c r="J228" s="18">
        <f t="shared" si="65"/>
        <v>7.70302468683286</v>
      </c>
      <c r="K228" s="19">
        <f t="shared" si="54"/>
        <v>0</v>
      </c>
      <c r="L228" s="15">
        <v>27.265999999999998</v>
      </c>
      <c r="M228" s="15">
        <v>62.55</v>
      </c>
      <c r="N228" s="15">
        <v>45.36</v>
      </c>
      <c r="O228" s="15"/>
      <c r="P228" s="15"/>
      <c r="Q228" s="15"/>
    </row>
    <row r="229" spans="1:17">
      <c r="A229" s="14">
        <v>222</v>
      </c>
      <c r="B229" s="14" t="s">
        <v>74</v>
      </c>
      <c r="C229" s="15" t="s">
        <v>84</v>
      </c>
      <c r="D229" s="27">
        <v>48</v>
      </c>
      <c r="E229" s="27" t="s">
        <v>82</v>
      </c>
      <c r="F229" s="16">
        <v>31.998000000000001</v>
      </c>
      <c r="G229" s="17">
        <f t="shared" si="59"/>
        <v>25.000800612263212</v>
      </c>
      <c r="H229" s="15">
        <v>0</v>
      </c>
      <c r="I229" s="18">
        <v>10.3</v>
      </c>
      <c r="J229" s="18">
        <f t="shared" si="65"/>
        <v>7.70302468683286</v>
      </c>
      <c r="K229" s="19">
        <f t="shared" si="54"/>
        <v>0</v>
      </c>
      <c r="L229" s="15"/>
      <c r="M229" s="15"/>
      <c r="N229" s="15"/>
      <c r="O229" s="15"/>
      <c r="P229" s="15"/>
      <c r="Q229" s="15"/>
    </row>
    <row r="230" spans="1:17">
      <c r="A230" s="14">
        <v>223</v>
      </c>
      <c r="B230" s="14" t="s">
        <v>74</v>
      </c>
      <c r="C230" s="15" t="s">
        <v>75</v>
      </c>
      <c r="D230" s="27">
        <v>48</v>
      </c>
      <c r="E230" s="27" t="s">
        <v>82</v>
      </c>
      <c r="F230" s="16">
        <v>31.997</v>
      </c>
      <c r="G230" s="17">
        <f t="shared" si="59"/>
        <v>25.000019288411337</v>
      </c>
      <c r="H230" s="15">
        <v>1.5</v>
      </c>
      <c r="I230" s="18">
        <v>8.3000000000000007</v>
      </c>
      <c r="J230" s="18">
        <f>25-H230-I230- (AVERAGE($G$2:$G$3))</f>
        <v>8.20302468683286</v>
      </c>
      <c r="K230" s="19">
        <f t="shared" si="54"/>
        <v>5.9999953707848501</v>
      </c>
      <c r="L230" s="15">
        <v>27.132999999999999</v>
      </c>
      <c r="M230" s="15">
        <v>63.04</v>
      </c>
      <c r="N230" s="15">
        <v>42.287999999999997</v>
      </c>
      <c r="O230" s="15"/>
      <c r="P230" s="15"/>
      <c r="Q230" s="15"/>
    </row>
    <row r="231" spans="1:17">
      <c r="A231" s="14">
        <v>224</v>
      </c>
      <c r="B231" s="14" t="s">
        <v>74</v>
      </c>
      <c r="C231" s="15" t="s">
        <v>76</v>
      </c>
      <c r="D231" s="27">
        <v>48</v>
      </c>
      <c r="E231" s="27" t="s">
        <v>82</v>
      </c>
      <c r="F231" s="16">
        <v>31.998999999999999</v>
      </c>
      <c r="G231" s="17">
        <f t="shared" si="59"/>
        <v>25.001581936115088</v>
      </c>
      <c r="H231" s="15">
        <v>1.5</v>
      </c>
      <c r="I231" s="18">
        <v>8.3000000000000007</v>
      </c>
      <c r="J231" s="18">
        <f t="shared" ref="J231:J235" si="66">25-H231-I231- (AVERAGE($G$2:$G$3))</f>
        <v>8.20302468683286</v>
      </c>
      <c r="K231" s="19">
        <f t="shared" si="54"/>
        <v>5.9996203593550685</v>
      </c>
      <c r="L231" s="15">
        <v>28.640999999999998</v>
      </c>
      <c r="M231" s="15">
        <v>56.89</v>
      </c>
      <c r="N231" s="15">
        <v>40.177999999999997</v>
      </c>
      <c r="O231" s="15"/>
      <c r="P231" s="15"/>
      <c r="Q231" s="15"/>
    </row>
    <row r="232" spans="1:17">
      <c r="A232" s="14">
        <v>225</v>
      </c>
      <c r="B232" s="14" t="s">
        <v>74</v>
      </c>
      <c r="C232" s="15" t="s">
        <v>77</v>
      </c>
      <c r="D232" s="27">
        <v>48</v>
      </c>
      <c r="E232" s="27" t="s">
        <v>82</v>
      </c>
      <c r="F232" s="16">
        <v>32.01</v>
      </c>
      <c r="G232" s="17">
        <f t="shared" si="59"/>
        <v>25.010176498485698</v>
      </c>
      <c r="H232" s="15">
        <v>1.5</v>
      </c>
      <c r="I232" s="18">
        <v>8.3000000000000007</v>
      </c>
      <c r="J232" s="18">
        <f t="shared" si="66"/>
        <v>8.20302468683286</v>
      </c>
      <c r="K232" s="19">
        <f t="shared" si="54"/>
        <v>5.997558634145669</v>
      </c>
      <c r="L232" s="15">
        <v>26.954999999999998</v>
      </c>
      <c r="M232" s="15">
        <v>59.89</v>
      </c>
      <c r="N232" s="15">
        <v>38.991999999999997</v>
      </c>
      <c r="O232" s="15"/>
      <c r="P232" s="15"/>
      <c r="Q232" s="15"/>
    </row>
    <row r="233" spans="1:17">
      <c r="A233" s="14">
        <v>226</v>
      </c>
      <c r="B233" s="14" t="s">
        <v>74</v>
      </c>
      <c r="C233" s="15" t="s">
        <v>78</v>
      </c>
      <c r="D233" s="27">
        <v>48</v>
      </c>
      <c r="E233" s="27" t="s">
        <v>82</v>
      </c>
      <c r="F233" s="16">
        <v>32.003999999999998</v>
      </c>
      <c r="G233" s="17">
        <f t="shared" si="59"/>
        <v>25.005488555374455</v>
      </c>
      <c r="H233" s="15">
        <v>1.5</v>
      </c>
      <c r="I233" s="18">
        <v>8.3000000000000007</v>
      </c>
      <c r="J233" s="18">
        <f t="shared" si="66"/>
        <v>8.20302468683286</v>
      </c>
      <c r="K233" s="19">
        <f t="shared" si="54"/>
        <v>5.9986830358393597</v>
      </c>
      <c r="L233" s="15">
        <v>27.863</v>
      </c>
      <c r="M233" s="15">
        <v>62.59</v>
      </c>
      <c r="N233" s="15">
        <v>45.579000000000001</v>
      </c>
      <c r="O233" s="15"/>
      <c r="P233" s="15"/>
      <c r="Q233" s="15"/>
    </row>
    <row r="234" spans="1:17">
      <c r="A234" s="14">
        <v>227</v>
      </c>
      <c r="B234" s="14" t="s">
        <v>74</v>
      </c>
      <c r="C234" s="15" t="s">
        <v>83</v>
      </c>
      <c r="D234" s="27">
        <v>48</v>
      </c>
      <c r="E234" s="27" t="s">
        <v>82</v>
      </c>
      <c r="F234" s="16">
        <v>31.995999999999999</v>
      </c>
      <c r="G234" s="17">
        <f t="shared" si="59"/>
        <v>24.999237964559462</v>
      </c>
      <c r="H234" s="15">
        <v>1.5</v>
      </c>
      <c r="I234" s="18">
        <v>8.3000000000000007</v>
      </c>
      <c r="J234" s="18">
        <f t="shared" si="66"/>
        <v>8.20302468683286</v>
      </c>
      <c r="K234" s="19">
        <f t="shared" si="54"/>
        <v>6.0001828940805995</v>
      </c>
      <c r="L234" s="15">
        <v>27.163</v>
      </c>
      <c r="M234" s="15">
        <v>62.45</v>
      </c>
      <c r="N234" s="15">
        <v>45.405999999999999</v>
      </c>
      <c r="O234" s="15"/>
      <c r="P234" s="15"/>
      <c r="Q234" s="15"/>
    </row>
    <row r="235" spans="1:17">
      <c r="A235" s="14">
        <v>228</v>
      </c>
      <c r="B235" s="14" t="s">
        <v>74</v>
      </c>
      <c r="C235" s="15" t="s">
        <v>84</v>
      </c>
      <c r="D235" s="27">
        <v>48</v>
      </c>
      <c r="E235" s="27" t="s">
        <v>82</v>
      </c>
      <c r="F235" s="16">
        <v>31.997</v>
      </c>
      <c r="G235" s="17">
        <f t="shared" si="59"/>
        <v>25.000019288411337</v>
      </c>
      <c r="H235" s="15">
        <v>1.5</v>
      </c>
      <c r="I235" s="18">
        <v>8.3000000000000007</v>
      </c>
      <c r="J235" s="18">
        <f t="shared" si="66"/>
        <v>8.20302468683286</v>
      </c>
      <c r="K235" s="19">
        <f t="shared" si="54"/>
        <v>5.9999953707848501</v>
      </c>
      <c r="L235" s="15"/>
      <c r="M235" s="15"/>
      <c r="N235" s="15"/>
      <c r="O235" s="15"/>
      <c r="P235" s="15"/>
      <c r="Q235" s="15"/>
    </row>
    <row r="236" spans="1:17">
      <c r="A236" s="14">
        <v>229</v>
      </c>
      <c r="B236" s="14" t="s">
        <v>74</v>
      </c>
      <c r="C236" s="15" t="s">
        <v>75</v>
      </c>
      <c r="D236" s="27">
        <v>48</v>
      </c>
      <c r="E236" s="27" t="s">
        <v>82</v>
      </c>
      <c r="F236" s="16">
        <v>31.994</v>
      </c>
      <c r="G236" s="17">
        <f t="shared" si="59"/>
        <v>24.997675316855716</v>
      </c>
      <c r="H236" s="15">
        <v>4</v>
      </c>
      <c r="I236" s="18">
        <v>2.9</v>
      </c>
      <c r="J236" s="18">
        <f>25-H236-I236- (AVERAGE($G$2:$G$3))</f>
        <v>11.103024686832862</v>
      </c>
      <c r="K236" s="19">
        <f t="shared" si="54"/>
        <v>16.001487935571493</v>
      </c>
      <c r="L236" s="15">
        <v>27.739000000000001</v>
      </c>
      <c r="M236" s="15">
        <v>57.62</v>
      </c>
      <c r="N236" s="15">
        <v>40.404000000000003</v>
      </c>
      <c r="O236" s="15"/>
      <c r="P236" s="15"/>
      <c r="Q236" s="15"/>
    </row>
    <row r="237" spans="1:17">
      <c r="A237" s="14">
        <v>230</v>
      </c>
      <c r="B237" s="14" t="s">
        <v>74</v>
      </c>
      <c r="C237" s="15" t="s">
        <v>76</v>
      </c>
      <c r="D237" s="27">
        <v>48</v>
      </c>
      <c r="E237" s="27" t="s">
        <v>82</v>
      </c>
      <c r="F237" s="16">
        <v>31.995999999999999</v>
      </c>
      <c r="G237" s="17">
        <f t="shared" si="59"/>
        <v>24.999237964559462</v>
      </c>
      <c r="H237" s="15">
        <v>4</v>
      </c>
      <c r="I237" s="18">
        <v>2.9</v>
      </c>
      <c r="J237" s="18">
        <f t="shared" ref="J237:J241" si="67">25-H237-I237- (AVERAGE($G$2:$G$3))</f>
        <v>11.103024686832862</v>
      </c>
      <c r="K237" s="19">
        <f t="shared" si="54"/>
        <v>16.000487717548268</v>
      </c>
      <c r="L237" s="15">
        <v>27.917999999999999</v>
      </c>
      <c r="M237" s="15">
        <v>58.26</v>
      </c>
      <c r="N237" s="15">
        <v>39.134</v>
      </c>
      <c r="O237" s="15"/>
      <c r="P237" s="15"/>
      <c r="Q237" s="15"/>
    </row>
    <row r="238" spans="1:17">
      <c r="A238" s="14">
        <v>231</v>
      </c>
      <c r="B238" s="14" t="s">
        <v>74</v>
      </c>
      <c r="C238" s="15" t="s">
        <v>77</v>
      </c>
      <c r="D238" s="27">
        <v>48</v>
      </c>
      <c r="E238" s="27" t="s">
        <v>82</v>
      </c>
      <c r="F238" s="16">
        <v>31.997</v>
      </c>
      <c r="G238" s="17">
        <f t="shared" si="59"/>
        <v>25.000019288411337</v>
      </c>
      <c r="H238" s="15">
        <v>4</v>
      </c>
      <c r="I238" s="18">
        <v>2.9</v>
      </c>
      <c r="J238" s="18">
        <f t="shared" si="67"/>
        <v>11.103024686832862</v>
      </c>
      <c r="K238" s="19">
        <f t="shared" si="54"/>
        <v>15.999987655426267</v>
      </c>
      <c r="L238" s="15">
        <v>26.893000000000001</v>
      </c>
      <c r="M238" s="15">
        <v>56.64</v>
      </c>
      <c r="N238" s="15">
        <v>37.744999999999997</v>
      </c>
      <c r="O238" s="15"/>
      <c r="P238" s="15"/>
      <c r="Q238" s="15"/>
    </row>
    <row r="239" spans="1:17">
      <c r="A239" s="14">
        <v>232</v>
      </c>
      <c r="B239" s="14" t="s">
        <v>74</v>
      </c>
      <c r="C239" s="15" t="s">
        <v>78</v>
      </c>
      <c r="D239" s="27">
        <v>48</v>
      </c>
      <c r="E239" s="27" t="s">
        <v>82</v>
      </c>
      <c r="F239" s="16">
        <v>32.003</v>
      </c>
      <c r="G239" s="17">
        <f t="shared" si="59"/>
        <v>25.004707231522584</v>
      </c>
      <c r="H239" s="15">
        <v>4</v>
      </c>
      <c r="I239" s="18">
        <v>2.9</v>
      </c>
      <c r="J239" s="18">
        <f t="shared" si="67"/>
        <v>11.103024686832862</v>
      </c>
      <c r="K239" s="19">
        <f t="shared" si="54"/>
        <v>15.996987938964294</v>
      </c>
      <c r="L239" s="15">
        <v>27.11</v>
      </c>
      <c r="M239" s="15">
        <v>61.6</v>
      </c>
      <c r="N239" s="15">
        <v>44.654000000000003</v>
      </c>
      <c r="O239" s="15"/>
      <c r="P239" s="15"/>
      <c r="Q239" s="15"/>
    </row>
    <row r="240" spans="1:17">
      <c r="A240" s="14">
        <v>233</v>
      </c>
      <c r="B240" s="14" t="s">
        <v>74</v>
      </c>
      <c r="C240" s="15" t="s">
        <v>83</v>
      </c>
      <c r="D240" s="27">
        <v>48</v>
      </c>
      <c r="E240" s="27" t="s">
        <v>82</v>
      </c>
      <c r="F240" s="16">
        <v>31.995000000000001</v>
      </c>
      <c r="G240" s="17">
        <f t="shared" si="59"/>
        <v>24.998456640707591</v>
      </c>
      <c r="H240" s="15">
        <v>4</v>
      </c>
      <c r="I240" s="18">
        <v>2.9</v>
      </c>
      <c r="J240" s="18">
        <f t="shared" si="67"/>
        <v>11.103024686832862</v>
      </c>
      <c r="K240" s="19">
        <f t="shared" si="54"/>
        <v>16.000987810929029</v>
      </c>
      <c r="L240" s="15">
        <v>27.437999999999999</v>
      </c>
      <c r="M240" s="15">
        <v>61.31</v>
      </c>
      <c r="N240" s="15">
        <v>44.749000000000002</v>
      </c>
      <c r="O240" s="15"/>
      <c r="P240" s="15"/>
      <c r="Q240" s="15"/>
    </row>
    <row r="241" spans="1:17">
      <c r="A241" s="14">
        <v>234</v>
      </c>
      <c r="B241" s="14" t="s">
        <v>74</v>
      </c>
      <c r="C241" s="15" t="s">
        <v>84</v>
      </c>
      <c r="D241" s="27">
        <v>48</v>
      </c>
      <c r="E241" s="27" t="s">
        <v>82</v>
      </c>
      <c r="F241" s="16">
        <v>32.000999999999998</v>
      </c>
      <c r="G241" s="17">
        <f t="shared" si="59"/>
        <v>25.003144583818834</v>
      </c>
      <c r="H241" s="15">
        <v>4</v>
      </c>
      <c r="I241" s="18">
        <v>2.9</v>
      </c>
      <c r="J241" s="18">
        <f t="shared" si="67"/>
        <v>11.103024686832862</v>
      </c>
      <c r="K241" s="19">
        <f t="shared" si="54"/>
        <v>15.997987719467337</v>
      </c>
      <c r="L241" s="15"/>
      <c r="M241" s="15"/>
      <c r="N241" s="15"/>
      <c r="O241" s="15"/>
      <c r="P241" s="15"/>
      <c r="Q241" s="15"/>
    </row>
    <row r="242" spans="1:17">
      <c r="A242" s="14">
        <v>235</v>
      </c>
      <c r="B242" s="14" t="s">
        <v>74</v>
      </c>
      <c r="C242" s="15" t="s">
        <v>75</v>
      </c>
      <c r="D242" s="27">
        <v>48</v>
      </c>
      <c r="E242" s="27" t="s">
        <v>82</v>
      </c>
      <c r="F242" s="16">
        <v>32.003</v>
      </c>
      <c r="G242" s="17">
        <f t="shared" si="59"/>
        <v>25.004707231522584</v>
      </c>
      <c r="H242" s="15">
        <v>5</v>
      </c>
      <c r="I242" s="18">
        <f t="shared" ref="I242:I247" si="68">((4.24-0.1641)*2.07)*($H$26-H242)/$H$26</f>
        <v>0</v>
      </c>
      <c r="J242" s="18">
        <f>25-H242-I242- (AVERAGE($G$2:$G$3))</f>
        <v>13.003024686832861</v>
      </c>
      <c r="K242" s="19">
        <f t="shared" si="54"/>
        <v>19.996234923705366</v>
      </c>
      <c r="L242" s="15">
        <v>27.696999999999999</v>
      </c>
      <c r="M242" s="15">
        <v>59.04</v>
      </c>
      <c r="N242" s="15">
        <v>39.662999999999997</v>
      </c>
      <c r="O242" s="15"/>
      <c r="P242" s="15"/>
      <c r="Q242" s="15"/>
    </row>
    <row r="243" spans="1:17">
      <c r="A243" s="14">
        <v>236</v>
      </c>
      <c r="B243" s="14" t="s">
        <v>74</v>
      </c>
      <c r="C243" s="15" t="s">
        <v>76</v>
      </c>
      <c r="D243" s="27">
        <v>48</v>
      </c>
      <c r="E243" s="27" t="s">
        <v>82</v>
      </c>
      <c r="F243" s="16">
        <v>32.01</v>
      </c>
      <c r="G243" s="17">
        <f t="shared" si="59"/>
        <v>25.010176498485698</v>
      </c>
      <c r="H243" s="15">
        <v>5</v>
      </c>
      <c r="I243" s="18">
        <f t="shared" si="68"/>
        <v>0</v>
      </c>
      <c r="J243" s="18">
        <f t="shared" ref="J243:J247" si="69">25-H243-I243- (AVERAGE($G$2:$G$3))</f>
        <v>13.003024686832861</v>
      </c>
      <c r="K243" s="19">
        <f t="shared" si="54"/>
        <v>19.991862113818897</v>
      </c>
      <c r="L243" s="15">
        <v>26.977</v>
      </c>
      <c r="M243" s="15">
        <v>57.91</v>
      </c>
      <c r="N243" s="15">
        <v>38.68</v>
      </c>
      <c r="O243" s="15"/>
      <c r="P243" s="15"/>
      <c r="Q243" s="15"/>
    </row>
    <row r="244" spans="1:17">
      <c r="A244" s="14">
        <v>237</v>
      </c>
      <c r="B244" s="14" t="s">
        <v>74</v>
      </c>
      <c r="C244" s="15" t="s">
        <v>77</v>
      </c>
      <c r="D244" s="27">
        <v>48</v>
      </c>
      <c r="E244" s="27" t="s">
        <v>82</v>
      </c>
      <c r="F244" s="16">
        <v>31.998000000000001</v>
      </c>
      <c r="G244" s="17">
        <f t="shared" si="59"/>
        <v>25.000800612263212</v>
      </c>
      <c r="H244" s="15">
        <v>5</v>
      </c>
      <c r="I244" s="18">
        <f t="shared" si="68"/>
        <v>0</v>
      </c>
      <c r="J244" s="18">
        <f t="shared" si="69"/>
        <v>13.003024686832861</v>
      </c>
      <c r="K244" s="19">
        <f t="shared" si="54"/>
        <v>19.999359530700133</v>
      </c>
      <c r="L244" s="15">
        <v>27.132000000000001</v>
      </c>
      <c r="M244" s="15">
        <v>57.92</v>
      </c>
      <c r="N244" s="15">
        <v>39.185000000000002</v>
      </c>
      <c r="O244" s="15"/>
      <c r="P244" s="15"/>
      <c r="Q244" s="15"/>
    </row>
    <row r="245" spans="1:17">
      <c r="A245" s="14">
        <v>238</v>
      </c>
      <c r="B245" s="14" t="s">
        <v>74</v>
      </c>
      <c r="C245" s="15" t="s">
        <v>78</v>
      </c>
      <c r="D245" s="27">
        <v>48</v>
      </c>
      <c r="E245" s="27" t="s">
        <v>82</v>
      </c>
      <c r="F245" s="16">
        <v>32.006999999999998</v>
      </c>
      <c r="G245" s="17">
        <f t="shared" si="59"/>
        <v>25.007832526930077</v>
      </c>
      <c r="H245" s="15">
        <v>5</v>
      </c>
      <c r="I245" s="18">
        <f t="shared" si="68"/>
        <v>0</v>
      </c>
      <c r="J245" s="18">
        <f t="shared" si="69"/>
        <v>13.003024686832861</v>
      </c>
      <c r="K245" s="19">
        <f t="shared" si="54"/>
        <v>19.993735940992373</v>
      </c>
      <c r="L245" s="15">
        <v>28.536999999999999</v>
      </c>
      <c r="M245" s="15">
        <v>62.19</v>
      </c>
      <c r="N245" s="15">
        <v>45.692</v>
      </c>
      <c r="O245" s="15"/>
      <c r="P245" s="15"/>
      <c r="Q245" s="15"/>
    </row>
    <row r="246" spans="1:17">
      <c r="A246" s="14">
        <v>239</v>
      </c>
      <c r="B246" s="14" t="s">
        <v>74</v>
      </c>
      <c r="C246" s="15" t="s">
        <v>83</v>
      </c>
      <c r="D246" s="27">
        <v>48</v>
      </c>
      <c r="E246" s="27" t="s">
        <v>82</v>
      </c>
      <c r="F246" s="16">
        <v>31.989000000000001</v>
      </c>
      <c r="G246" s="17">
        <f t="shared" si="59"/>
        <v>24.993768697596348</v>
      </c>
      <c r="H246" s="15">
        <v>5</v>
      </c>
      <c r="I246" s="18">
        <f t="shared" si="68"/>
        <v>0</v>
      </c>
      <c r="J246" s="18">
        <f t="shared" si="69"/>
        <v>13.003024686832861</v>
      </c>
      <c r="K246" s="19">
        <f t="shared" ref="K246:K247" si="70">H246*1/G246*100</f>
        <v>20.004986284764851</v>
      </c>
      <c r="L246" s="15">
        <v>26.957000000000001</v>
      </c>
      <c r="M246" s="15">
        <v>60.29</v>
      </c>
      <c r="N246" s="15">
        <v>43.895000000000003</v>
      </c>
      <c r="O246" s="15"/>
      <c r="P246" s="15"/>
      <c r="Q246" s="15"/>
    </row>
    <row r="247" spans="1:17">
      <c r="A247" s="14">
        <v>240</v>
      </c>
      <c r="B247" s="14" t="s">
        <v>74</v>
      </c>
      <c r="C247" s="15" t="s">
        <v>84</v>
      </c>
      <c r="D247" s="27">
        <v>48</v>
      </c>
      <c r="E247" s="27" t="s">
        <v>82</v>
      </c>
      <c r="F247" s="16">
        <v>31.995000000000001</v>
      </c>
      <c r="G247" s="17">
        <f t="shared" si="59"/>
        <v>24.998456640707591</v>
      </c>
      <c r="H247" s="15">
        <v>5</v>
      </c>
      <c r="I247" s="18">
        <f t="shared" si="68"/>
        <v>0</v>
      </c>
      <c r="J247" s="18">
        <f t="shared" si="69"/>
        <v>13.003024686832861</v>
      </c>
      <c r="K247" s="19">
        <f t="shared" si="70"/>
        <v>20.001234763661284</v>
      </c>
      <c r="L247" s="15"/>
      <c r="M247" s="15"/>
      <c r="N247" s="15"/>
      <c r="O247" s="15"/>
      <c r="P247" s="15"/>
      <c r="Q247" s="15"/>
    </row>
  </sheetData>
  <phoneticPr fontId="46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"/>
  <sheetViews>
    <sheetView topLeftCell="C1" workbookViewId="0">
      <selection activeCell="Y12" sqref="Y12"/>
    </sheetView>
  </sheetViews>
  <sheetFormatPr defaultColWidth="8.85546875" defaultRowHeight="15"/>
  <cols>
    <col min="1" max="1" width="7" bestFit="1" customWidth="1"/>
    <col min="2" max="2" width="7.85546875" bestFit="1" customWidth="1"/>
    <col min="3" max="3" width="8" bestFit="1" customWidth="1"/>
    <col min="4" max="4" width="7.42578125" bestFit="1" customWidth="1"/>
    <col min="5" max="5" width="6.42578125" bestFit="1" customWidth="1"/>
  </cols>
  <sheetData>
    <row r="1" spans="1:23">
      <c r="A1" t="s">
        <v>187</v>
      </c>
    </row>
    <row r="3" spans="1:23">
      <c r="A3" t="s">
        <v>190</v>
      </c>
      <c r="B3" t="s">
        <v>186</v>
      </c>
      <c r="C3" t="s">
        <v>183</v>
      </c>
      <c r="D3" t="s">
        <v>184</v>
      </c>
      <c r="E3" t="s">
        <v>185</v>
      </c>
      <c r="G3" t="s">
        <v>27</v>
      </c>
      <c r="H3" t="s">
        <v>186</v>
      </c>
      <c r="I3" t="s">
        <v>183</v>
      </c>
      <c r="J3" t="s">
        <v>184</v>
      </c>
      <c r="K3" t="s">
        <v>185</v>
      </c>
      <c r="M3" t="s">
        <v>28</v>
      </c>
      <c r="N3" t="s">
        <v>186</v>
      </c>
      <c r="O3" t="s">
        <v>183</v>
      </c>
      <c r="P3" t="s">
        <v>184</v>
      </c>
      <c r="Q3" t="s">
        <v>185</v>
      </c>
      <c r="S3" t="s">
        <v>29</v>
      </c>
      <c r="T3" t="s">
        <v>186</v>
      </c>
      <c r="U3" t="s">
        <v>183</v>
      </c>
      <c r="V3" t="s">
        <v>184</v>
      </c>
      <c r="W3" t="s">
        <v>185</v>
      </c>
    </row>
    <row r="4" spans="1:23">
      <c r="A4" t="s">
        <v>171</v>
      </c>
      <c r="B4" t="s">
        <v>169</v>
      </c>
      <c r="C4">
        <v>11.824999999999999</v>
      </c>
      <c r="D4">
        <v>5.2169999999999996</v>
      </c>
      <c r="E4" s="151">
        <f>C4/D4</f>
        <v>2.2666283304581176</v>
      </c>
      <c r="G4" t="s">
        <v>171</v>
      </c>
      <c r="H4" t="s">
        <v>169</v>
      </c>
      <c r="I4">
        <v>10.653</v>
      </c>
      <c r="J4">
        <v>4.5960000000000001</v>
      </c>
      <c r="K4" s="151">
        <f>I4/J4</f>
        <v>2.3178851174934727</v>
      </c>
      <c r="M4" t="s">
        <v>171</v>
      </c>
      <c r="N4" t="s">
        <v>169</v>
      </c>
      <c r="O4">
        <v>10.614000000000001</v>
      </c>
      <c r="P4">
        <v>5.2939999999999996</v>
      </c>
      <c r="Q4" s="151">
        <f>O4/P4</f>
        <v>2.0049112202493391</v>
      </c>
      <c r="S4" t="s">
        <v>171</v>
      </c>
      <c r="T4" t="s">
        <v>169</v>
      </c>
      <c r="U4">
        <v>10.449</v>
      </c>
      <c r="V4">
        <v>5.6989999999999998</v>
      </c>
      <c r="W4" s="151">
        <f t="shared" ref="W4:W14" si="0">U4/V4</f>
        <v>1.833479557817161</v>
      </c>
    </row>
    <row r="5" spans="1:23">
      <c r="A5" t="s">
        <v>172</v>
      </c>
      <c r="B5" t="s">
        <v>170</v>
      </c>
      <c r="C5">
        <v>11367.853999999999</v>
      </c>
      <c r="D5">
        <v>7663.7139999999999</v>
      </c>
      <c r="E5" s="151">
        <f t="shared" ref="E5:E15" si="1">C5/D5</f>
        <v>1.4833348426102539</v>
      </c>
      <c r="G5" t="s">
        <v>172</v>
      </c>
      <c r="H5" t="s">
        <v>170</v>
      </c>
      <c r="I5">
        <v>15181.02</v>
      </c>
      <c r="J5">
        <v>5872.3090000000002</v>
      </c>
      <c r="K5" s="151">
        <f t="shared" ref="K5:K15" si="2">I5/J5</f>
        <v>2.5851875301521088</v>
      </c>
      <c r="M5" t="s">
        <v>172</v>
      </c>
      <c r="N5" t="s">
        <v>170</v>
      </c>
      <c r="O5">
        <v>11775.442999999999</v>
      </c>
      <c r="P5">
        <v>5751.0749999999998</v>
      </c>
      <c r="Q5" s="151">
        <f t="shared" ref="Q5:Q15" si="3">O5/P5</f>
        <v>2.0475203331551057</v>
      </c>
      <c r="S5" t="s">
        <v>172</v>
      </c>
      <c r="T5" t="s">
        <v>170</v>
      </c>
      <c r="U5">
        <v>11120.127</v>
      </c>
      <c r="V5">
        <v>9224.7540000000008</v>
      </c>
      <c r="W5" s="151"/>
    </row>
    <row r="6" spans="1:23">
      <c r="A6" t="s">
        <v>173</v>
      </c>
      <c r="B6" t="s">
        <v>169</v>
      </c>
      <c r="C6">
        <v>10.977</v>
      </c>
      <c r="D6">
        <v>5.1970000000000001</v>
      </c>
      <c r="E6" s="151">
        <f t="shared" si="1"/>
        <v>2.1121801039060997</v>
      </c>
      <c r="G6" t="s">
        <v>173</v>
      </c>
      <c r="H6" t="s">
        <v>169</v>
      </c>
      <c r="I6">
        <v>10.802</v>
      </c>
      <c r="J6">
        <v>4.5259999999999998</v>
      </c>
      <c r="K6" s="151">
        <f t="shared" si="2"/>
        <v>2.386654882898807</v>
      </c>
      <c r="M6" t="s">
        <v>173</v>
      </c>
      <c r="N6" t="s">
        <v>169</v>
      </c>
      <c r="O6">
        <v>10.101000000000001</v>
      </c>
      <c r="P6">
        <v>4.7329999999999997</v>
      </c>
      <c r="Q6" s="151">
        <f t="shared" si="3"/>
        <v>2.1341643777730828</v>
      </c>
      <c r="S6" t="s">
        <v>173</v>
      </c>
      <c r="T6" t="s">
        <v>169</v>
      </c>
      <c r="U6">
        <v>10.211</v>
      </c>
      <c r="V6">
        <v>5.3449999999999998</v>
      </c>
      <c r="W6" s="151">
        <f>U6/V6</f>
        <v>1.9103835360149675</v>
      </c>
    </row>
    <row r="7" spans="1:23">
      <c r="A7" t="s">
        <v>174</v>
      </c>
      <c r="B7" t="s">
        <v>170</v>
      </c>
      <c r="C7">
        <v>11520.462</v>
      </c>
      <c r="D7">
        <v>7630.97</v>
      </c>
      <c r="E7" s="151">
        <f t="shared" si="1"/>
        <v>1.5096982428184096</v>
      </c>
      <c r="G7" t="s">
        <v>174</v>
      </c>
      <c r="H7" t="s">
        <v>170</v>
      </c>
      <c r="I7">
        <v>15252.53</v>
      </c>
      <c r="J7">
        <v>5849.6850000000004</v>
      </c>
      <c r="K7" s="151">
        <f t="shared" si="2"/>
        <v>2.6074104844961736</v>
      </c>
      <c r="M7" t="s">
        <v>174</v>
      </c>
      <c r="N7" t="s">
        <v>170</v>
      </c>
      <c r="O7">
        <v>8813.1299999999992</v>
      </c>
      <c r="P7">
        <v>4400.7269999999999</v>
      </c>
      <c r="Q7" s="151">
        <f t="shared" si="3"/>
        <v>2.0026531979829696</v>
      </c>
      <c r="S7" t="s">
        <v>174</v>
      </c>
      <c r="T7" t="s">
        <v>170</v>
      </c>
      <c r="U7">
        <v>11022.271000000001</v>
      </c>
      <c r="V7">
        <v>9000.3619999999992</v>
      </c>
      <c r="W7" s="151"/>
    </row>
    <row r="8" spans="1:23">
      <c r="A8" t="s">
        <v>175</v>
      </c>
      <c r="B8" t="s">
        <v>169</v>
      </c>
      <c r="C8">
        <v>11.122</v>
      </c>
      <c r="D8">
        <v>5.0439999999999996</v>
      </c>
      <c r="E8" s="151">
        <f t="shared" si="1"/>
        <v>2.2049960348929423</v>
      </c>
      <c r="G8" t="s">
        <v>175</v>
      </c>
      <c r="H8" t="s">
        <v>169</v>
      </c>
      <c r="I8">
        <v>10.327999999999999</v>
      </c>
      <c r="J8">
        <v>4.6920000000000002</v>
      </c>
      <c r="K8" s="151">
        <f t="shared" si="2"/>
        <v>2.2011935208866151</v>
      </c>
      <c r="M8" t="s">
        <v>175</v>
      </c>
      <c r="N8" t="s">
        <v>169</v>
      </c>
      <c r="O8">
        <v>10.282</v>
      </c>
      <c r="P8">
        <v>4.7249999999999996</v>
      </c>
      <c r="Q8" s="151">
        <f t="shared" si="3"/>
        <v>2.1760846560846563</v>
      </c>
      <c r="S8" t="s">
        <v>175</v>
      </c>
      <c r="T8" t="s">
        <v>169</v>
      </c>
      <c r="U8">
        <v>9.9749999999999996</v>
      </c>
      <c r="V8">
        <v>5.3780000000000001</v>
      </c>
      <c r="W8" s="151">
        <f t="shared" si="0"/>
        <v>1.8547787281517292</v>
      </c>
    </row>
    <row r="9" spans="1:23">
      <c r="A9" t="s">
        <v>176</v>
      </c>
      <c r="B9" t="s">
        <v>170</v>
      </c>
      <c r="C9">
        <v>11610.769</v>
      </c>
      <c r="D9">
        <v>7622.6890000000003</v>
      </c>
      <c r="E9" s="151">
        <f t="shared" si="1"/>
        <v>1.5231854533223119</v>
      </c>
      <c r="G9" t="s">
        <v>176</v>
      </c>
      <c r="H9" t="s">
        <v>170</v>
      </c>
      <c r="I9">
        <v>15172.362999999999</v>
      </c>
      <c r="J9">
        <v>5859.018</v>
      </c>
      <c r="K9" s="151">
        <f t="shared" si="2"/>
        <v>2.5895743962554816</v>
      </c>
      <c r="M9" t="s">
        <v>176</v>
      </c>
      <c r="N9" t="s">
        <v>170</v>
      </c>
      <c r="O9">
        <v>8330.6759999999995</v>
      </c>
      <c r="P9">
        <v>5790.0510000000004</v>
      </c>
      <c r="Q9" s="151">
        <f t="shared" si="3"/>
        <v>1.4387914717849635</v>
      </c>
      <c r="S9" t="s">
        <v>176</v>
      </c>
      <c r="T9" t="s">
        <v>170</v>
      </c>
      <c r="U9">
        <v>11215.494000000001</v>
      </c>
      <c r="V9">
        <v>6904.5129999999999</v>
      </c>
      <c r="W9" s="151"/>
    </row>
    <row r="10" spans="1:23">
      <c r="A10" t="s">
        <v>177</v>
      </c>
      <c r="B10" t="s">
        <v>169</v>
      </c>
      <c r="C10">
        <v>10.67</v>
      </c>
      <c r="D10">
        <v>5.1449999999999996</v>
      </c>
      <c r="E10" s="151">
        <f t="shared" si="1"/>
        <v>2.0738581146744415</v>
      </c>
      <c r="G10" t="s">
        <v>177</v>
      </c>
      <c r="H10" t="s">
        <v>169</v>
      </c>
      <c r="I10">
        <v>10.657999999999999</v>
      </c>
      <c r="J10">
        <v>4.6539999999999999</v>
      </c>
      <c r="K10" s="151">
        <f t="shared" si="2"/>
        <v>2.2900730554361837</v>
      </c>
      <c r="M10" t="s">
        <v>177</v>
      </c>
      <c r="N10" t="s">
        <v>169</v>
      </c>
      <c r="O10">
        <v>9.4260000000000002</v>
      </c>
      <c r="P10">
        <v>4.6689999999999996</v>
      </c>
      <c r="Q10" s="151">
        <f t="shared" si="3"/>
        <v>2.0188477189976441</v>
      </c>
      <c r="S10" t="s">
        <v>177</v>
      </c>
      <c r="T10" t="s">
        <v>169</v>
      </c>
      <c r="U10">
        <v>10.209</v>
      </c>
      <c r="V10">
        <v>5.3730000000000002</v>
      </c>
      <c r="W10" s="151">
        <f t="shared" si="0"/>
        <v>1.9000558347292014</v>
      </c>
    </row>
    <row r="11" spans="1:23">
      <c r="A11" t="s">
        <v>178</v>
      </c>
      <c r="B11" t="s">
        <v>170</v>
      </c>
      <c r="C11">
        <v>11123.51</v>
      </c>
      <c r="D11">
        <v>7566.2330000000002</v>
      </c>
      <c r="E11" s="151">
        <f t="shared" si="1"/>
        <v>1.4701516593528114</v>
      </c>
      <c r="G11" t="s">
        <v>178</v>
      </c>
      <c r="H11" t="s">
        <v>170</v>
      </c>
      <c r="I11">
        <v>15225.432000000001</v>
      </c>
      <c r="J11">
        <v>5788.3180000000002</v>
      </c>
      <c r="K11" s="151">
        <f t="shared" si="2"/>
        <v>2.630372415613655</v>
      </c>
      <c r="M11" t="s">
        <v>178</v>
      </c>
      <c r="N11" t="s">
        <v>170</v>
      </c>
      <c r="O11">
        <v>11491.513999999999</v>
      </c>
      <c r="P11">
        <v>5714.31</v>
      </c>
      <c r="Q11" s="151">
        <f t="shared" si="3"/>
        <v>2.0110064032227859</v>
      </c>
      <c r="S11" t="s">
        <v>178</v>
      </c>
      <c r="T11" t="s">
        <v>170</v>
      </c>
      <c r="U11">
        <v>8622.0519999999997</v>
      </c>
      <c r="V11">
        <v>9371.9120000000003</v>
      </c>
      <c r="W11" s="151"/>
    </row>
    <row r="12" spans="1:23">
      <c r="A12" t="s">
        <v>179</v>
      </c>
      <c r="B12" t="s">
        <v>169</v>
      </c>
      <c r="C12">
        <v>10.833</v>
      </c>
      <c r="D12">
        <v>5.1920000000000002</v>
      </c>
      <c r="E12" s="151">
        <f t="shared" si="1"/>
        <v>2.0864791987673343</v>
      </c>
      <c r="G12" t="s">
        <v>179</v>
      </c>
      <c r="H12" t="s">
        <v>169</v>
      </c>
      <c r="I12">
        <v>10.16</v>
      </c>
      <c r="J12">
        <v>4.6059999999999999</v>
      </c>
      <c r="K12" s="151">
        <f t="shared" si="2"/>
        <v>2.2058184976118107</v>
      </c>
      <c r="M12" t="s">
        <v>179</v>
      </c>
      <c r="N12" t="s">
        <v>169</v>
      </c>
      <c r="O12">
        <v>9.6910000000000007</v>
      </c>
      <c r="P12">
        <v>4.8250000000000002</v>
      </c>
      <c r="Q12" s="151">
        <f t="shared" si="3"/>
        <v>2.008497409326425</v>
      </c>
      <c r="S12" t="s">
        <v>179</v>
      </c>
      <c r="T12" t="s">
        <v>169</v>
      </c>
      <c r="U12">
        <v>10.092000000000001</v>
      </c>
      <c r="V12">
        <v>5.3979999999999997</v>
      </c>
      <c r="W12" s="151">
        <f t="shared" si="0"/>
        <v>1.8695813264171917</v>
      </c>
    </row>
    <row r="13" spans="1:23">
      <c r="A13" t="s">
        <v>180</v>
      </c>
      <c r="B13" t="s">
        <v>170</v>
      </c>
      <c r="C13">
        <v>11423.581</v>
      </c>
      <c r="D13">
        <v>7402.8879999999999</v>
      </c>
      <c r="E13" s="151">
        <f t="shared" si="1"/>
        <v>1.543124926380083</v>
      </c>
      <c r="G13" t="s">
        <v>180</v>
      </c>
      <c r="H13" t="s">
        <v>170</v>
      </c>
      <c r="I13">
        <v>15129.456</v>
      </c>
      <c r="J13">
        <v>5761.7349999999997</v>
      </c>
      <c r="K13" s="151">
        <f t="shared" si="2"/>
        <v>2.625850720312545</v>
      </c>
      <c r="M13" t="s">
        <v>180</v>
      </c>
      <c r="N13" t="s">
        <v>170</v>
      </c>
      <c r="O13">
        <v>11566.455</v>
      </c>
      <c r="P13">
        <v>4208.3329999999996</v>
      </c>
      <c r="Q13" s="151">
        <f t="shared" si="3"/>
        <v>2.7484647721556259</v>
      </c>
      <c r="S13" t="s">
        <v>180</v>
      </c>
      <c r="T13" t="s">
        <v>170</v>
      </c>
      <c r="U13">
        <v>7710.9459999999999</v>
      </c>
      <c r="V13">
        <v>9222.4699999999993</v>
      </c>
      <c r="W13" s="151"/>
    </row>
    <row r="14" spans="1:23">
      <c r="A14" t="s">
        <v>181</v>
      </c>
      <c r="B14" t="s">
        <v>169</v>
      </c>
      <c r="C14">
        <v>10.782</v>
      </c>
      <c r="D14">
        <v>5.117</v>
      </c>
      <c r="E14" s="151">
        <f t="shared" si="1"/>
        <v>2.107094000390854</v>
      </c>
      <c r="G14" t="s">
        <v>181</v>
      </c>
      <c r="H14" t="s">
        <v>169</v>
      </c>
      <c r="I14">
        <v>10.541</v>
      </c>
      <c r="J14">
        <v>4.5819999999999999</v>
      </c>
      <c r="K14" s="151">
        <f t="shared" si="2"/>
        <v>2.3005237887385421</v>
      </c>
      <c r="M14" t="s">
        <v>181</v>
      </c>
      <c r="N14" t="s">
        <v>169</v>
      </c>
      <c r="O14">
        <v>9.52</v>
      </c>
      <c r="P14">
        <v>4.758</v>
      </c>
      <c r="Q14" s="151">
        <f t="shared" si="3"/>
        <v>2.0008406893652793</v>
      </c>
      <c r="S14" t="s">
        <v>181</v>
      </c>
      <c r="T14" t="s">
        <v>169</v>
      </c>
      <c r="U14">
        <v>10.103</v>
      </c>
      <c r="V14">
        <v>5.3540000000000001</v>
      </c>
      <c r="W14" s="151">
        <f t="shared" si="0"/>
        <v>1.8870003735524841</v>
      </c>
    </row>
    <row r="15" spans="1:23">
      <c r="A15" t="s">
        <v>182</v>
      </c>
      <c r="B15" t="s">
        <v>170</v>
      </c>
      <c r="C15">
        <v>11545.039000000001</v>
      </c>
      <c r="D15">
        <v>7401.3819999999996</v>
      </c>
      <c r="E15" s="151">
        <f t="shared" si="1"/>
        <v>1.559849093047758</v>
      </c>
      <c r="G15" t="s">
        <v>182</v>
      </c>
      <c r="H15" t="s">
        <v>170</v>
      </c>
      <c r="I15">
        <v>15146.017</v>
      </c>
      <c r="J15">
        <v>5752.12</v>
      </c>
      <c r="K15" s="151">
        <f t="shared" si="2"/>
        <v>2.6331190934820552</v>
      </c>
      <c r="M15" t="s">
        <v>182</v>
      </c>
      <c r="N15" t="s">
        <v>170</v>
      </c>
      <c r="O15">
        <v>11653.84</v>
      </c>
      <c r="P15">
        <v>5776.5060000000003</v>
      </c>
      <c r="Q15" s="151">
        <f t="shared" si="3"/>
        <v>2.0174548420792777</v>
      </c>
      <c r="S15" t="s">
        <v>182</v>
      </c>
      <c r="T15" t="s">
        <v>170</v>
      </c>
      <c r="U15">
        <v>10954.547</v>
      </c>
      <c r="V15">
        <v>9251.2610000000004</v>
      </c>
      <c r="W15" s="151"/>
    </row>
    <row r="16" spans="1:23">
      <c r="E16" s="151">
        <f>AVERAGE(E4:E15)</f>
        <v>1.828381666718452</v>
      </c>
      <c r="K16" s="151">
        <f>AVERAGE(K4:K15)</f>
        <v>2.447805291948121</v>
      </c>
      <c r="Q16" s="151">
        <f>AVERAGE(Q4:Q15)</f>
        <v>2.0507697576814294</v>
      </c>
      <c r="W16" s="151">
        <f>AVERAGE(W4:W15)</f>
        <v>1.8758798927804559</v>
      </c>
    </row>
  </sheetData>
  <phoneticPr fontId="4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O33"/>
  <sheetViews>
    <sheetView workbookViewId="0">
      <selection activeCell="Y37" sqref="Y37"/>
    </sheetView>
  </sheetViews>
  <sheetFormatPr defaultColWidth="8.85546875" defaultRowHeight="12.75"/>
  <cols>
    <col min="1" max="1" width="9.140625" style="170" bestFit="1" customWidth="1"/>
    <col min="2" max="6" width="5" style="166" bestFit="1" customWidth="1"/>
    <col min="7" max="7" width="7.140625" style="166" bestFit="1" customWidth="1"/>
    <col min="8" max="8" width="9.42578125" style="166" bestFit="1" customWidth="1"/>
    <col min="9" max="41" width="6.7109375" style="166" customWidth="1"/>
    <col min="42" max="16384" width="8.85546875" style="166"/>
  </cols>
  <sheetData>
    <row r="1" spans="1:41">
      <c r="A1" s="164" t="s">
        <v>42</v>
      </c>
      <c r="B1" s="165"/>
      <c r="C1" s="165"/>
      <c r="E1" s="165"/>
      <c r="F1" s="165"/>
      <c r="H1" s="165"/>
      <c r="I1" s="165"/>
      <c r="K1" s="165"/>
      <c r="L1" s="165"/>
      <c r="N1" s="165"/>
      <c r="O1" s="165"/>
    </row>
    <row r="2" spans="1:41" s="170" customFormat="1" ht="38.25">
      <c r="B2" s="169" t="s">
        <v>34</v>
      </c>
      <c r="C2" s="169"/>
      <c r="D2" s="169"/>
      <c r="E2" s="169"/>
      <c r="F2" s="169"/>
      <c r="G2" s="169" t="s">
        <v>36</v>
      </c>
      <c r="H2" s="169"/>
      <c r="I2" s="169"/>
      <c r="J2" s="169"/>
      <c r="K2" s="169"/>
      <c r="L2" s="169" t="s">
        <v>37</v>
      </c>
      <c r="M2" s="169"/>
      <c r="N2" s="169"/>
      <c r="O2" s="169"/>
      <c r="P2" s="169"/>
      <c r="Q2" s="169" t="s">
        <v>38</v>
      </c>
      <c r="R2" s="169"/>
      <c r="S2" s="169"/>
      <c r="T2" s="169"/>
      <c r="U2" s="169"/>
      <c r="V2" s="169" t="s">
        <v>39</v>
      </c>
      <c r="W2" s="169"/>
      <c r="X2" s="169"/>
      <c r="Y2" s="169"/>
      <c r="Z2" s="169"/>
      <c r="AA2" s="169" t="s">
        <v>40</v>
      </c>
      <c r="AB2" s="169"/>
      <c r="AC2" s="169"/>
      <c r="AD2" s="169"/>
      <c r="AE2" s="169"/>
      <c r="AF2" s="169" t="s">
        <v>41</v>
      </c>
      <c r="AG2" s="169"/>
      <c r="AH2" s="169"/>
      <c r="AI2" s="169"/>
      <c r="AJ2" s="169"/>
      <c r="AK2" s="169" t="s">
        <v>35</v>
      </c>
      <c r="AL2" s="169"/>
      <c r="AM2" s="169"/>
      <c r="AN2" s="169"/>
      <c r="AO2" s="169"/>
    </row>
    <row r="3" spans="1:41" s="170" customFormat="1">
      <c r="A3" s="169"/>
      <c r="B3" s="170">
        <v>16</v>
      </c>
      <c r="C3" s="170">
        <v>24</v>
      </c>
      <c r="D3" s="170">
        <v>32</v>
      </c>
      <c r="E3" s="170">
        <v>40</v>
      </c>
      <c r="F3" s="170">
        <v>48</v>
      </c>
      <c r="G3" s="170">
        <v>16</v>
      </c>
      <c r="H3" s="170">
        <v>24</v>
      </c>
      <c r="I3" s="170">
        <v>32</v>
      </c>
      <c r="J3" s="170">
        <v>40</v>
      </c>
      <c r="K3" s="170">
        <v>48</v>
      </c>
      <c r="L3" s="170">
        <v>16</v>
      </c>
      <c r="M3" s="170">
        <v>24</v>
      </c>
      <c r="N3" s="170">
        <v>32</v>
      </c>
      <c r="O3" s="170">
        <v>40</v>
      </c>
      <c r="P3" s="170">
        <v>48</v>
      </c>
      <c r="Q3" s="170">
        <v>16</v>
      </c>
      <c r="R3" s="170">
        <v>24</v>
      </c>
      <c r="S3" s="170">
        <v>32</v>
      </c>
      <c r="T3" s="170">
        <v>40</v>
      </c>
      <c r="U3" s="170">
        <v>48</v>
      </c>
      <c r="V3" s="170">
        <v>16</v>
      </c>
      <c r="W3" s="170">
        <v>24</v>
      </c>
      <c r="X3" s="170">
        <v>32</v>
      </c>
      <c r="Y3" s="170">
        <v>40</v>
      </c>
      <c r="Z3" s="170">
        <v>48</v>
      </c>
      <c r="AA3" s="170">
        <v>16</v>
      </c>
      <c r="AB3" s="170">
        <v>24</v>
      </c>
      <c r="AC3" s="170">
        <v>32</v>
      </c>
      <c r="AD3" s="170">
        <v>40</v>
      </c>
      <c r="AE3" s="170">
        <v>48</v>
      </c>
      <c r="AF3" s="170">
        <v>16</v>
      </c>
      <c r="AG3" s="170">
        <v>24</v>
      </c>
      <c r="AH3" s="170">
        <v>32</v>
      </c>
      <c r="AI3" s="170">
        <v>40</v>
      </c>
      <c r="AJ3" s="170">
        <v>48</v>
      </c>
      <c r="AK3" s="170">
        <v>16</v>
      </c>
      <c r="AL3" s="170">
        <v>24</v>
      </c>
      <c r="AM3" s="170">
        <v>32</v>
      </c>
      <c r="AN3" s="170">
        <v>40</v>
      </c>
      <c r="AO3" s="170">
        <v>48</v>
      </c>
    </row>
    <row r="4" spans="1:41">
      <c r="A4" s="163">
        <v>0</v>
      </c>
      <c r="B4" s="167">
        <v>4.7649999999999997</v>
      </c>
      <c r="C4" s="167">
        <v>4.7625000000000002</v>
      </c>
      <c r="D4" s="167">
        <v>4.66</v>
      </c>
      <c r="E4" s="167">
        <v>4.5875000000000004</v>
      </c>
      <c r="F4" s="167">
        <v>4.4850000000000003</v>
      </c>
      <c r="G4" s="168">
        <v>162.41083333333333</v>
      </c>
      <c r="H4" s="162">
        <v>352.77533333333332</v>
      </c>
      <c r="I4" s="162">
        <v>433.41713666666664</v>
      </c>
      <c r="J4" s="162">
        <v>533.19867916666669</v>
      </c>
      <c r="K4" s="162">
        <v>669.55661666666674</v>
      </c>
      <c r="L4" s="162">
        <v>1011.6462499999998</v>
      </c>
      <c r="M4" s="162">
        <v>3120.5741666666668</v>
      </c>
      <c r="N4" s="162">
        <v>5623.09375</v>
      </c>
      <c r="O4" s="162">
        <v>3807.2679166666662</v>
      </c>
      <c r="P4" s="162">
        <v>4141.0457500000002</v>
      </c>
      <c r="Q4" s="168">
        <v>5.3675000000000006</v>
      </c>
      <c r="R4" s="168">
        <v>3.9020000000000001</v>
      </c>
      <c r="S4" s="168">
        <v>4.6741250000000001</v>
      </c>
      <c r="T4" s="168">
        <v>0.89100000000000001</v>
      </c>
      <c r="U4" s="168">
        <v>0.22309500000000002</v>
      </c>
      <c r="V4" s="168">
        <v>1.836125</v>
      </c>
      <c r="W4" s="168">
        <v>2.5211250000000001</v>
      </c>
      <c r="X4" s="168">
        <v>2.9707500000000002</v>
      </c>
      <c r="Y4" s="168">
        <v>3.5945</v>
      </c>
      <c r="Z4" s="168">
        <v>4.9554999999999998</v>
      </c>
      <c r="AA4" s="168">
        <v>3.4951249999999994</v>
      </c>
      <c r="AB4" s="168">
        <v>5.5756249999999996</v>
      </c>
      <c r="AC4" s="168">
        <v>6.1226250000000011</v>
      </c>
      <c r="AD4" s="168">
        <v>7.3445000000000009</v>
      </c>
      <c r="AE4" s="168">
        <v>7.417654999999999</v>
      </c>
      <c r="AF4" s="168">
        <v>36.664999999999999</v>
      </c>
      <c r="AG4" s="168">
        <v>39.4925</v>
      </c>
      <c r="AH4" s="168">
        <v>45.662499999999994</v>
      </c>
      <c r="AI4" s="168">
        <v>55.157499999999999</v>
      </c>
      <c r="AJ4" s="168">
        <v>62.887500000000003</v>
      </c>
      <c r="AK4" s="162">
        <v>4990</v>
      </c>
      <c r="AL4" s="162">
        <v>5895</v>
      </c>
      <c r="AM4" s="162">
        <v>6425</v>
      </c>
      <c r="AN4" s="162">
        <v>6400</v>
      </c>
      <c r="AO4" s="162">
        <v>6365</v>
      </c>
    </row>
    <row r="5" spans="1:41">
      <c r="A5" s="163">
        <v>6</v>
      </c>
      <c r="B5" s="167">
        <v>6.57</v>
      </c>
      <c r="C5" s="167">
        <v>6.6749999999999998</v>
      </c>
      <c r="D5" s="167">
        <v>6.6324999999999994</v>
      </c>
      <c r="E5" s="167">
        <v>6.66</v>
      </c>
      <c r="F5" s="167">
        <v>6.7250000000000005</v>
      </c>
      <c r="G5" s="168">
        <v>83.507166666666677</v>
      </c>
      <c r="H5" s="168">
        <v>0.997</v>
      </c>
      <c r="I5" s="168">
        <v>0.5349166666666666</v>
      </c>
      <c r="J5" s="168">
        <v>33.120666666666672</v>
      </c>
      <c r="K5" s="168">
        <v>31.876249999999999</v>
      </c>
      <c r="L5" s="162">
        <v>1848.8933333333332</v>
      </c>
      <c r="M5" s="162">
        <v>6144.7030833333329</v>
      </c>
      <c r="N5" s="162">
        <v>10888.919416666666</v>
      </c>
      <c r="O5" s="162">
        <v>8288.6094999999987</v>
      </c>
      <c r="P5" s="162">
        <v>10440.253500000001</v>
      </c>
      <c r="Q5" s="168">
        <v>0.23672499999999999</v>
      </c>
      <c r="R5" s="168">
        <v>0.19233749999999999</v>
      </c>
      <c r="S5" s="168">
        <v>0.24554999999999999</v>
      </c>
      <c r="T5" s="168">
        <v>0.28507499999999997</v>
      </c>
      <c r="U5" s="168">
        <v>0.28095000000000003</v>
      </c>
      <c r="V5" s="168">
        <v>5.1812500000000004</v>
      </c>
      <c r="W5" s="168">
        <v>8.1999999999999993</v>
      </c>
      <c r="X5" s="168">
        <v>10.05875</v>
      </c>
      <c r="Y5" s="168">
        <v>11.88875</v>
      </c>
      <c r="Z5" s="168">
        <v>14.41375</v>
      </c>
      <c r="AA5" s="168">
        <v>18.339525000000002</v>
      </c>
      <c r="AB5" s="168">
        <v>15.822056604803496</v>
      </c>
      <c r="AC5" s="168">
        <v>16.397665065502188</v>
      </c>
      <c r="AD5" s="168">
        <v>18.031415174672492</v>
      </c>
      <c r="AE5" s="168">
        <v>21.459230131004372</v>
      </c>
      <c r="AF5" s="162">
        <v>226.89999999999998</v>
      </c>
      <c r="AG5" s="162">
        <v>232.92499999999998</v>
      </c>
      <c r="AH5" s="162">
        <v>266.5</v>
      </c>
      <c r="AI5" s="162">
        <v>264.77499999999998</v>
      </c>
      <c r="AJ5" s="162">
        <v>301.77500000000003</v>
      </c>
      <c r="AK5" s="162"/>
      <c r="AL5" s="162"/>
      <c r="AM5" s="162"/>
      <c r="AN5" s="162"/>
      <c r="AO5" s="162"/>
    </row>
    <row r="6" spans="1:41">
      <c r="A6" s="163">
        <v>16</v>
      </c>
      <c r="B6" s="167">
        <v>8.2000000000000011</v>
      </c>
      <c r="C6" s="167">
        <v>8.27</v>
      </c>
      <c r="D6" s="167">
        <v>8.26</v>
      </c>
      <c r="E6" s="167">
        <v>8.36</v>
      </c>
      <c r="F6" s="167">
        <v>8.4124999999999996</v>
      </c>
      <c r="G6" s="168">
        <v>1.07975</v>
      </c>
      <c r="H6" s="168">
        <v>12.298</v>
      </c>
      <c r="I6" s="168">
        <v>5.9000000000000004E-2</v>
      </c>
      <c r="J6" s="168">
        <v>7.4416666666666673E-2</v>
      </c>
      <c r="K6" s="168">
        <v>0.25874999999999998</v>
      </c>
      <c r="L6" s="162">
        <v>96.165916666666661</v>
      </c>
      <c r="M6" s="162">
        <v>626.09691666666663</v>
      </c>
      <c r="N6" s="162">
        <v>2666.8078333333333</v>
      </c>
      <c r="O6" s="162">
        <v>2361.1546666666668</v>
      </c>
      <c r="P6" s="162">
        <v>4024.6237500000007</v>
      </c>
      <c r="Q6" s="168">
        <v>12.969999999999999</v>
      </c>
      <c r="R6" s="168">
        <v>3.26125</v>
      </c>
      <c r="S6" s="168">
        <v>4.1557500000000003</v>
      </c>
      <c r="T6" s="168">
        <v>5.0075000000000003</v>
      </c>
      <c r="U6" s="168">
        <v>4.8044999999999991</v>
      </c>
      <c r="V6" s="168">
        <v>20.942500000000003</v>
      </c>
      <c r="W6" s="168">
        <v>27.375</v>
      </c>
      <c r="X6" s="168">
        <v>35.450000000000003</v>
      </c>
      <c r="Y6" s="168">
        <v>41.8825</v>
      </c>
      <c r="Z6" s="168">
        <v>45.197500000000005</v>
      </c>
      <c r="AA6" s="162">
        <v>338.28750000000002</v>
      </c>
      <c r="AB6" s="162">
        <v>323.36374999999998</v>
      </c>
      <c r="AC6" s="162">
        <v>340.49424999999997</v>
      </c>
      <c r="AD6" s="162">
        <v>367.31</v>
      </c>
      <c r="AE6" s="162">
        <v>335.39799999999997</v>
      </c>
      <c r="AF6" s="162">
        <v>4846.5</v>
      </c>
      <c r="AG6" s="162">
        <v>4767.25</v>
      </c>
      <c r="AH6" s="162">
        <v>4608.5</v>
      </c>
      <c r="AI6" s="162">
        <v>4542.5</v>
      </c>
      <c r="AJ6" s="162">
        <v>4983.25</v>
      </c>
      <c r="AK6" s="162"/>
      <c r="AL6" s="162"/>
      <c r="AM6" s="162"/>
      <c r="AN6" s="162"/>
      <c r="AO6" s="162"/>
    </row>
    <row r="7" spans="1:41">
      <c r="A7" s="163">
        <v>20</v>
      </c>
      <c r="B7" s="167">
        <v>8.7800000000000011</v>
      </c>
      <c r="C7" s="167">
        <v>8.8824999999999985</v>
      </c>
      <c r="D7" s="167">
        <v>8.7575000000000003</v>
      </c>
      <c r="E7" s="167">
        <v>8.76</v>
      </c>
      <c r="F7" s="167">
        <v>8.73</v>
      </c>
      <c r="G7" s="168">
        <v>0.31216666666666665</v>
      </c>
      <c r="H7" s="168">
        <v>0.42700000000000005</v>
      </c>
      <c r="I7" s="168">
        <v>0.70141666666666669</v>
      </c>
      <c r="J7" s="168">
        <v>0.93991666666666662</v>
      </c>
      <c r="K7" s="168">
        <v>1.3810833333333334</v>
      </c>
      <c r="L7" s="162">
        <v>67.801750000000013</v>
      </c>
      <c r="M7" s="162">
        <v>108.678</v>
      </c>
      <c r="N7" s="162">
        <v>154.24091666666666</v>
      </c>
      <c r="O7" s="162">
        <v>107.06283333333334</v>
      </c>
      <c r="P7" s="162">
        <v>313.1463333333333</v>
      </c>
      <c r="Q7" s="168">
        <v>18.260000000000002</v>
      </c>
      <c r="R7" s="168">
        <v>18.462499999999999</v>
      </c>
      <c r="S7" s="168">
        <v>18.824999999999996</v>
      </c>
      <c r="T7" s="168">
        <v>16.442500000000003</v>
      </c>
      <c r="U7" s="168">
        <v>7.4240000000000004</v>
      </c>
      <c r="V7" s="168">
        <v>30.497500000000002</v>
      </c>
      <c r="W7" s="168">
        <v>30.987500000000001</v>
      </c>
      <c r="X7" s="168">
        <v>32.085000000000008</v>
      </c>
      <c r="Y7" s="168">
        <v>35.172499999999999</v>
      </c>
      <c r="Z7" s="168">
        <v>50.352499999999999</v>
      </c>
      <c r="AA7" s="162">
        <v>440.59249999999997</v>
      </c>
      <c r="AB7" s="162">
        <v>490.75</v>
      </c>
      <c r="AC7" s="162">
        <v>542.76499999999999</v>
      </c>
      <c r="AD7" s="162">
        <v>462.76</v>
      </c>
      <c r="AE7" s="162">
        <v>536.19849999999997</v>
      </c>
      <c r="AF7" s="162">
        <v>5670</v>
      </c>
      <c r="AG7" s="162">
        <v>5996</v>
      </c>
      <c r="AH7" s="162">
        <v>5483.25</v>
      </c>
      <c r="AI7" s="162">
        <v>5582.5</v>
      </c>
      <c r="AJ7" s="162">
        <v>6493.25</v>
      </c>
      <c r="AK7" s="162"/>
      <c r="AL7" s="162"/>
      <c r="AM7" s="162"/>
      <c r="AN7" s="162"/>
      <c r="AO7" s="162"/>
    </row>
    <row r="9" spans="1:41">
      <c r="A9" s="164" t="s">
        <v>43</v>
      </c>
    </row>
    <row r="10" spans="1:41" s="165" customFormat="1" ht="38.25">
      <c r="A10" s="169"/>
      <c r="B10" s="169" t="s">
        <v>34</v>
      </c>
      <c r="C10" s="169"/>
      <c r="D10" s="169"/>
      <c r="E10" s="169"/>
      <c r="F10" s="169"/>
      <c r="G10" s="169" t="s">
        <v>36</v>
      </c>
      <c r="H10" s="169"/>
      <c r="I10" s="169"/>
      <c r="J10" s="169"/>
      <c r="K10" s="169"/>
      <c r="L10" s="169" t="s">
        <v>37</v>
      </c>
      <c r="M10" s="169"/>
      <c r="N10" s="169"/>
      <c r="O10" s="169"/>
      <c r="P10" s="169"/>
      <c r="Q10" s="169" t="s">
        <v>38</v>
      </c>
      <c r="R10" s="169"/>
      <c r="S10" s="169"/>
      <c r="T10" s="169"/>
      <c r="U10" s="169"/>
      <c r="V10" s="169" t="s">
        <v>39</v>
      </c>
      <c r="W10" s="169"/>
      <c r="X10" s="169"/>
      <c r="Y10" s="169"/>
      <c r="Z10" s="169"/>
      <c r="AA10" s="169" t="s">
        <v>40</v>
      </c>
      <c r="AB10" s="169"/>
      <c r="AC10" s="169"/>
      <c r="AD10" s="169"/>
      <c r="AE10" s="169"/>
      <c r="AF10" s="169" t="s">
        <v>41</v>
      </c>
      <c r="AG10" s="169"/>
      <c r="AH10" s="169"/>
      <c r="AI10" s="169"/>
      <c r="AJ10" s="169"/>
      <c r="AK10" s="169" t="s">
        <v>35</v>
      </c>
      <c r="AL10" s="169"/>
      <c r="AM10" s="169"/>
      <c r="AN10" s="169"/>
      <c r="AO10" s="169"/>
    </row>
    <row r="11" spans="1:41">
      <c r="B11" s="170">
        <v>16</v>
      </c>
      <c r="C11" s="170">
        <v>24</v>
      </c>
      <c r="D11" s="170">
        <v>32</v>
      </c>
      <c r="E11" s="170">
        <v>40</v>
      </c>
      <c r="F11" s="170">
        <v>48</v>
      </c>
      <c r="G11" s="170">
        <v>16</v>
      </c>
      <c r="H11" s="170">
        <v>24</v>
      </c>
      <c r="I11" s="170">
        <v>32</v>
      </c>
      <c r="J11" s="170">
        <v>40</v>
      </c>
      <c r="K11" s="170">
        <v>48</v>
      </c>
      <c r="L11" s="170">
        <v>16</v>
      </c>
      <c r="M11" s="170">
        <v>24</v>
      </c>
      <c r="N11" s="170">
        <v>32</v>
      </c>
      <c r="O11" s="170">
        <v>40</v>
      </c>
      <c r="P11" s="170">
        <v>48</v>
      </c>
      <c r="Q11" s="170">
        <v>16</v>
      </c>
      <c r="R11" s="170">
        <v>24</v>
      </c>
      <c r="S11" s="170">
        <v>32</v>
      </c>
      <c r="T11" s="170">
        <v>40</v>
      </c>
      <c r="U11" s="170">
        <v>48</v>
      </c>
      <c r="V11" s="170">
        <v>16</v>
      </c>
      <c r="W11" s="170">
        <v>24</v>
      </c>
      <c r="X11" s="170">
        <v>32</v>
      </c>
      <c r="Y11" s="170">
        <v>40</v>
      </c>
      <c r="Z11" s="170">
        <v>48</v>
      </c>
      <c r="AA11" s="170">
        <v>16</v>
      </c>
      <c r="AB11" s="170">
        <v>24</v>
      </c>
      <c r="AC11" s="170">
        <v>32</v>
      </c>
      <c r="AD11" s="170">
        <v>40</v>
      </c>
      <c r="AE11" s="170">
        <v>48</v>
      </c>
      <c r="AF11" s="170">
        <v>16</v>
      </c>
      <c r="AG11" s="170">
        <v>24</v>
      </c>
      <c r="AH11" s="170">
        <v>32</v>
      </c>
      <c r="AI11" s="170">
        <v>40</v>
      </c>
      <c r="AJ11" s="170">
        <v>48</v>
      </c>
      <c r="AK11" s="170">
        <v>16</v>
      </c>
      <c r="AL11" s="170">
        <v>24</v>
      </c>
      <c r="AM11" s="170">
        <v>32</v>
      </c>
      <c r="AN11" s="170">
        <v>40</v>
      </c>
      <c r="AO11" s="170">
        <v>48</v>
      </c>
    </row>
    <row r="12" spans="1:41">
      <c r="A12" s="170">
        <v>0</v>
      </c>
      <c r="B12" s="167">
        <v>4.7383333333333342</v>
      </c>
      <c r="C12" s="167">
        <v>4.6783333333333337</v>
      </c>
      <c r="D12" s="167">
        <v>4.6933333333333342</v>
      </c>
      <c r="E12" s="167">
        <v>4.6583333333333332</v>
      </c>
      <c r="F12" s="167">
        <v>4.4933333333333332</v>
      </c>
      <c r="G12" s="167">
        <v>82.846217202766184</v>
      </c>
      <c r="H12" s="162">
        <v>122.62973103122533</v>
      </c>
      <c r="I12" s="162">
        <v>113.86834005234208</v>
      </c>
      <c r="J12" s="168">
        <v>92.832877702967821</v>
      </c>
      <c r="K12" s="168">
        <v>92.587759794512792</v>
      </c>
      <c r="L12" s="167">
        <v>1.3794914724105611</v>
      </c>
      <c r="M12" s="167">
        <v>2.4194189915175839</v>
      </c>
      <c r="N12" s="167">
        <v>3.4345353858241352</v>
      </c>
      <c r="O12" s="167">
        <v>1.1985245100014466</v>
      </c>
      <c r="P12" s="167">
        <v>1.7529108699892386</v>
      </c>
      <c r="Q12" s="168">
        <v>39.353333333333332</v>
      </c>
      <c r="R12" s="168">
        <v>37.404166666666669</v>
      </c>
      <c r="S12" s="168">
        <v>38.273333333333333</v>
      </c>
      <c r="T12" s="168">
        <v>35.055</v>
      </c>
      <c r="U12" s="168">
        <v>34.175833333333337</v>
      </c>
      <c r="V12" s="168">
        <v>2.0496666666666665</v>
      </c>
      <c r="W12" s="168">
        <v>2.3595000000000002</v>
      </c>
      <c r="X12" s="168">
        <v>3.006416666666667</v>
      </c>
      <c r="Y12" s="168">
        <v>3.4906666666666664</v>
      </c>
      <c r="Z12" s="168">
        <v>4.2075000000000005</v>
      </c>
      <c r="AA12" s="167">
        <v>3.3428333333333349</v>
      </c>
      <c r="AB12" s="167">
        <v>4.6171666666666651</v>
      </c>
      <c r="AC12" s="167">
        <v>6.5519166666666671</v>
      </c>
      <c r="AD12" s="167">
        <v>4.4926666666666693</v>
      </c>
      <c r="AE12" s="167">
        <v>7.1191666666666684</v>
      </c>
      <c r="AF12" s="167">
        <v>41.88333333333334</v>
      </c>
      <c r="AG12" s="167">
        <v>42.41</v>
      </c>
      <c r="AH12" s="167">
        <v>46.111666666666657</v>
      </c>
      <c r="AI12" s="167">
        <v>47.111666666666672</v>
      </c>
      <c r="AJ12" s="167">
        <v>53.055</v>
      </c>
      <c r="AK12" s="162">
        <v>4540</v>
      </c>
      <c r="AL12" s="162">
        <v>5313.333333333333</v>
      </c>
      <c r="AM12" s="162">
        <v>5776.666666666667</v>
      </c>
      <c r="AN12" s="162">
        <v>5746.666666666667</v>
      </c>
      <c r="AO12" s="162">
        <v>5690</v>
      </c>
    </row>
    <row r="13" spans="1:41">
      <c r="A13" s="170">
        <v>6</v>
      </c>
      <c r="B13" s="167">
        <v>6.5233333333333334</v>
      </c>
      <c r="C13" s="167">
        <v>6.6366666666666667</v>
      </c>
      <c r="D13" s="167">
        <v>6.6450000000000005</v>
      </c>
      <c r="E13" s="167">
        <v>6.6049999999999995</v>
      </c>
      <c r="F13" s="167">
        <v>6.6433333333333318</v>
      </c>
      <c r="G13" s="167">
        <v>297.45456757778805</v>
      </c>
      <c r="H13" s="162">
        <v>488.41554148803669</v>
      </c>
      <c r="I13" s="162">
        <v>425.43614599442759</v>
      </c>
      <c r="J13" s="162">
        <v>513.31792797688115</v>
      </c>
      <c r="K13" s="162">
        <v>306.80906358662338</v>
      </c>
      <c r="L13" s="167">
        <v>4.6552539120855672</v>
      </c>
      <c r="M13" s="167">
        <v>6.3708135145553664</v>
      </c>
      <c r="N13" s="167">
        <v>10.717781114425426</v>
      </c>
      <c r="O13" s="167">
        <v>4.3643587036356903</v>
      </c>
      <c r="P13" s="167">
        <v>3.7335972175888412</v>
      </c>
      <c r="Q13" s="168">
        <v>28.850833333333338</v>
      </c>
      <c r="R13" s="168">
        <v>27.839166666666667</v>
      </c>
      <c r="S13" s="168">
        <v>28.668333333333333</v>
      </c>
      <c r="T13" s="168">
        <v>30.006666666666671</v>
      </c>
      <c r="U13" s="168">
        <v>31.227500000000003</v>
      </c>
      <c r="V13" s="168">
        <v>6.7316666666666665</v>
      </c>
      <c r="W13" s="168">
        <v>7.9883333333333333</v>
      </c>
      <c r="X13" s="168">
        <v>9.307500000000001</v>
      </c>
      <c r="Y13" s="168">
        <v>10.034166666666666</v>
      </c>
      <c r="Z13" s="168">
        <v>11.935000000000002</v>
      </c>
      <c r="AA13" s="168">
        <v>14.554909024745266</v>
      </c>
      <c r="AB13" s="168">
        <v>15.440877001455609</v>
      </c>
      <c r="AC13" s="168">
        <v>11.623875545851531</v>
      </c>
      <c r="AD13" s="168">
        <v>12.753926491994184</v>
      </c>
      <c r="AE13" s="168">
        <v>12.608970160116449</v>
      </c>
      <c r="AF13" s="162">
        <v>192.93333333333331</v>
      </c>
      <c r="AG13" s="162">
        <v>201.89999999999998</v>
      </c>
      <c r="AH13" s="162">
        <v>211.21666666666667</v>
      </c>
      <c r="AI13" s="162">
        <v>195.18333333333331</v>
      </c>
      <c r="AJ13" s="162">
        <v>223.20000000000002</v>
      </c>
      <c r="AK13" s="162"/>
      <c r="AL13" s="162"/>
      <c r="AM13" s="162"/>
      <c r="AN13" s="162"/>
      <c r="AO13" s="162"/>
    </row>
    <row r="14" spans="1:41">
      <c r="A14" s="170">
        <v>16</v>
      </c>
      <c r="B14" s="167">
        <v>8.3149999999999995</v>
      </c>
      <c r="C14" s="167">
        <v>8.3666666666666654</v>
      </c>
      <c r="D14" s="167">
        <v>8.3950000000000014</v>
      </c>
      <c r="E14" s="167">
        <v>8.3533333333333353</v>
      </c>
      <c r="F14" s="167">
        <v>8.3899999999999988</v>
      </c>
      <c r="G14" s="167">
        <v>23.439880202980842</v>
      </c>
      <c r="H14" s="162">
        <v>1543.6955062025661</v>
      </c>
      <c r="I14" s="162">
        <v>962.62222409215053</v>
      </c>
      <c r="J14" s="162">
        <v>889.46255880150727</v>
      </c>
      <c r="K14" s="162">
        <v>342.73438635759675</v>
      </c>
      <c r="L14" s="167">
        <v>0.46246490659828821</v>
      </c>
      <c r="M14" s="167">
        <v>2.3826872050673473</v>
      </c>
      <c r="N14" s="167">
        <v>2.8379621856170392</v>
      </c>
      <c r="O14" s="167">
        <v>1.8714497587638501</v>
      </c>
      <c r="P14" s="167">
        <v>2.3075792572471543</v>
      </c>
      <c r="Q14" s="168">
        <v>37.401666666666671</v>
      </c>
      <c r="R14" s="168">
        <v>14.839999999999998</v>
      </c>
      <c r="S14" s="168">
        <v>18.674999999999997</v>
      </c>
      <c r="T14" s="168">
        <v>21.383333333333336</v>
      </c>
      <c r="U14" s="168">
        <v>24.621666666666666</v>
      </c>
      <c r="V14" s="168">
        <v>19.396666666666668</v>
      </c>
      <c r="W14" s="168">
        <v>26.283333333333335</v>
      </c>
      <c r="X14" s="168">
        <v>30.723333333333333</v>
      </c>
      <c r="Y14" s="168">
        <v>36.878333333333337</v>
      </c>
      <c r="Z14" s="168">
        <v>41.708333333333336</v>
      </c>
      <c r="AA14" s="162">
        <v>265.21833333333331</v>
      </c>
      <c r="AB14" s="162">
        <v>268.49333333333334</v>
      </c>
      <c r="AC14" s="162">
        <v>288.685</v>
      </c>
      <c r="AD14" s="162">
        <v>289.53833333333336</v>
      </c>
      <c r="AE14" s="162">
        <v>297.05333333333328</v>
      </c>
      <c r="AF14" s="162">
        <v>3990.1666666666665</v>
      </c>
      <c r="AG14" s="162">
        <v>3848</v>
      </c>
      <c r="AH14" s="162">
        <v>4094.1666666666665</v>
      </c>
      <c r="AI14" s="162">
        <v>4010</v>
      </c>
      <c r="AJ14" s="162">
        <v>4038</v>
      </c>
      <c r="AK14" s="162"/>
      <c r="AL14" s="162"/>
      <c r="AM14" s="162"/>
      <c r="AN14" s="162"/>
      <c r="AO14" s="162"/>
    </row>
    <row r="15" spans="1:41">
      <c r="A15" s="170">
        <v>20</v>
      </c>
      <c r="B15" s="167">
        <v>9.0200000000000014</v>
      </c>
      <c r="C15" s="167">
        <v>8.9683333333333355</v>
      </c>
      <c r="D15" s="167">
        <v>8.9666666666666668</v>
      </c>
      <c r="E15" s="167">
        <v>8.9849999999999994</v>
      </c>
      <c r="F15" s="167">
        <v>8.8316666666666688</v>
      </c>
      <c r="G15" s="167">
        <v>0.13579801474623951</v>
      </c>
      <c r="H15" s="167">
        <v>5.3549250117060936</v>
      </c>
      <c r="I15" s="167">
        <v>5.464238165611401</v>
      </c>
      <c r="J15" s="167">
        <v>4.6418486886146502</v>
      </c>
      <c r="K15" s="168">
        <v>46.353260303930483</v>
      </c>
      <c r="L15" s="167">
        <v>-1.2832059574605892E-2</v>
      </c>
      <c r="M15" s="167">
        <v>-7.9435763924403699E-2</v>
      </c>
      <c r="N15" s="167">
        <v>-2.6051146210468511E-2</v>
      </c>
      <c r="O15" s="167">
        <v>-0.1253054694015166</v>
      </c>
      <c r="P15" s="167">
        <v>0.42200205424791931</v>
      </c>
      <c r="Q15" s="168">
        <v>48.801666666666669</v>
      </c>
      <c r="R15" s="168">
        <v>46.281666666666666</v>
      </c>
      <c r="S15" s="168">
        <v>44.778333333333329</v>
      </c>
      <c r="T15" s="168">
        <v>40.888333333333335</v>
      </c>
      <c r="U15" s="168">
        <v>28.235000000000003</v>
      </c>
      <c r="V15" s="168">
        <v>25.798333333333332</v>
      </c>
      <c r="W15" s="168">
        <v>26.285</v>
      </c>
      <c r="X15" s="168">
        <v>26.786666666666665</v>
      </c>
      <c r="Y15" s="168">
        <v>30.286666666666665</v>
      </c>
      <c r="Z15" s="168">
        <v>44.574999999999996</v>
      </c>
      <c r="AA15" s="162">
        <v>426.5333333333333</v>
      </c>
      <c r="AB15" s="162">
        <v>395.76666666666665</v>
      </c>
      <c r="AC15" s="162">
        <v>469.16833333333335</v>
      </c>
      <c r="AD15" s="162">
        <v>458.00833333333338</v>
      </c>
      <c r="AE15" s="162">
        <v>484.42333333333335</v>
      </c>
      <c r="AF15" s="162">
        <v>5328.5</v>
      </c>
      <c r="AG15" s="162">
        <v>4660</v>
      </c>
      <c r="AH15" s="162">
        <v>4525.5</v>
      </c>
      <c r="AI15" s="162">
        <v>5109.333333333333</v>
      </c>
      <c r="AJ15" s="162">
        <v>5134.333333333333</v>
      </c>
      <c r="AK15" s="162"/>
      <c r="AL15" s="162"/>
      <c r="AM15" s="162"/>
      <c r="AN15" s="162"/>
      <c r="AO15" s="162"/>
    </row>
    <row r="18" spans="1:41">
      <c r="A18" s="164" t="s">
        <v>44</v>
      </c>
      <c r="B18" s="166" t="s">
        <v>46</v>
      </c>
    </row>
    <row r="19" spans="1:41" ht="38.25">
      <c r="A19" s="169"/>
      <c r="B19" s="169" t="s">
        <v>34</v>
      </c>
      <c r="C19" s="169"/>
      <c r="D19" s="169"/>
      <c r="E19" s="169"/>
      <c r="F19" s="169"/>
      <c r="G19" s="169" t="s">
        <v>36</v>
      </c>
      <c r="H19" s="169"/>
      <c r="I19" s="169"/>
      <c r="J19" s="169"/>
      <c r="K19" s="169"/>
      <c r="L19" s="169" t="s">
        <v>37</v>
      </c>
      <c r="M19" s="169"/>
      <c r="N19" s="169"/>
      <c r="O19" s="169"/>
      <c r="P19" s="169"/>
      <c r="Q19" s="169" t="s">
        <v>38</v>
      </c>
      <c r="R19" s="169"/>
      <c r="S19" s="169"/>
      <c r="T19" s="169"/>
      <c r="U19" s="169"/>
      <c r="V19" s="169" t="s">
        <v>39</v>
      </c>
      <c r="W19" s="169"/>
      <c r="X19" s="169"/>
      <c r="Y19" s="169"/>
      <c r="Z19" s="169"/>
      <c r="AA19" s="169" t="s">
        <v>40</v>
      </c>
      <c r="AB19" s="169"/>
      <c r="AC19" s="169"/>
      <c r="AD19" s="169"/>
      <c r="AE19" s="169"/>
      <c r="AF19" s="169" t="s">
        <v>41</v>
      </c>
      <c r="AG19" s="169"/>
      <c r="AH19" s="169"/>
      <c r="AI19" s="169"/>
      <c r="AJ19" s="169"/>
      <c r="AK19" s="169" t="s">
        <v>35</v>
      </c>
      <c r="AL19" s="169"/>
      <c r="AM19" s="169"/>
      <c r="AN19" s="169"/>
      <c r="AO19" s="169"/>
    </row>
    <row r="20" spans="1:41">
      <c r="B20" s="170">
        <v>16</v>
      </c>
      <c r="C20" s="170">
        <v>24</v>
      </c>
      <c r="D20" s="170">
        <v>32</v>
      </c>
      <c r="E20" s="170">
        <v>40</v>
      </c>
      <c r="F20" s="170">
        <v>48</v>
      </c>
      <c r="G20" s="170">
        <v>16</v>
      </c>
      <c r="H20" s="170">
        <v>24</v>
      </c>
      <c r="I20" s="170">
        <v>32</v>
      </c>
      <c r="J20" s="170">
        <v>40</v>
      </c>
      <c r="K20" s="170">
        <v>48</v>
      </c>
      <c r="L20" s="170">
        <v>16</v>
      </c>
      <c r="M20" s="170">
        <v>24</v>
      </c>
      <c r="N20" s="170">
        <v>32</v>
      </c>
      <c r="O20" s="170">
        <v>40</v>
      </c>
      <c r="P20" s="170">
        <v>48</v>
      </c>
      <c r="Q20" s="170">
        <v>16</v>
      </c>
      <c r="R20" s="170">
        <v>24</v>
      </c>
      <c r="S20" s="170">
        <v>32</v>
      </c>
      <c r="T20" s="170">
        <v>40</v>
      </c>
      <c r="U20" s="170">
        <v>48</v>
      </c>
      <c r="V20" s="170">
        <v>16</v>
      </c>
      <c r="W20" s="170">
        <v>24</v>
      </c>
      <c r="X20" s="170">
        <v>32</v>
      </c>
      <c r="Y20" s="170">
        <v>40</v>
      </c>
      <c r="Z20" s="170">
        <v>48</v>
      </c>
      <c r="AA20" s="170">
        <v>16</v>
      </c>
      <c r="AB20" s="170">
        <v>24</v>
      </c>
      <c r="AC20" s="170">
        <v>32</v>
      </c>
      <c r="AD20" s="170">
        <v>40</v>
      </c>
      <c r="AE20" s="170">
        <v>48</v>
      </c>
      <c r="AF20" s="170">
        <v>16</v>
      </c>
      <c r="AG20" s="170">
        <v>24</v>
      </c>
      <c r="AH20" s="170">
        <v>32</v>
      </c>
      <c r="AI20" s="170">
        <v>40</v>
      </c>
      <c r="AJ20" s="170">
        <v>48</v>
      </c>
      <c r="AK20" s="170">
        <v>16</v>
      </c>
      <c r="AL20" s="170">
        <v>24</v>
      </c>
      <c r="AM20" s="170">
        <v>32</v>
      </c>
      <c r="AN20" s="170">
        <v>40</v>
      </c>
      <c r="AO20" s="170">
        <v>48</v>
      </c>
    </row>
    <row r="21" spans="1:41">
      <c r="A21" s="170">
        <v>0</v>
      </c>
      <c r="B21" s="167">
        <f>B4-B12</f>
        <v>2.6666666666665506E-2</v>
      </c>
      <c r="C21" s="167">
        <f t="shared" ref="C21:AO21" si="0">C4-C12</f>
        <v>8.4166666666666501E-2</v>
      </c>
      <c r="D21" s="167">
        <f t="shared" si="0"/>
        <v>-3.3333333333334103E-2</v>
      </c>
      <c r="E21" s="167">
        <f t="shared" si="0"/>
        <v>-7.083333333333286E-2</v>
      </c>
      <c r="F21" s="167">
        <f t="shared" si="0"/>
        <v>-8.3333333333328596E-3</v>
      </c>
      <c r="G21" s="162">
        <f t="shared" si="0"/>
        <v>79.564616130567146</v>
      </c>
      <c r="H21" s="162">
        <f t="shared" si="0"/>
        <v>230.14560230210799</v>
      </c>
      <c r="I21" s="162">
        <f t="shared" si="0"/>
        <v>319.54879661432454</v>
      </c>
      <c r="J21" s="162">
        <f t="shared" si="0"/>
        <v>440.36580146369886</v>
      </c>
      <c r="K21" s="162">
        <f t="shared" si="0"/>
        <v>576.96885687215399</v>
      </c>
      <c r="L21" s="162">
        <f t="shared" si="0"/>
        <v>1010.2667585275892</v>
      </c>
      <c r="M21" s="162">
        <f t="shared" si="0"/>
        <v>3118.1547476751493</v>
      </c>
      <c r="N21" s="162">
        <f t="shared" si="0"/>
        <v>5619.6592146141757</v>
      </c>
      <c r="O21" s="162">
        <f t="shared" si="0"/>
        <v>3806.0693921566649</v>
      </c>
      <c r="P21" s="162">
        <f t="shared" si="0"/>
        <v>4139.2928391300111</v>
      </c>
      <c r="Q21" s="168">
        <f t="shared" si="0"/>
        <v>-33.985833333333332</v>
      </c>
      <c r="R21" s="168">
        <f t="shared" si="0"/>
        <v>-33.502166666666668</v>
      </c>
      <c r="S21" s="168">
        <f t="shared" si="0"/>
        <v>-33.599208333333337</v>
      </c>
      <c r="T21" s="168">
        <f t="shared" si="0"/>
        <v>-34.164000000000001</v>
      </c>
      <c r="U21" s="168">
        <f t="shared" si="0"/>
        <v>-33.952738333333336</v>
      </c>
      <c r="V21" s="168">
        <f t="shared" si="0"/>
        <v>-0.21354166666666652</v>
      </c>
      <c r="W21" s="168">
        <f t="shared" si="0"/>
        <v>0.16162499999999991</v>
      </c>
      <c r="X21" s="168">
        <f t="shared" si="0"/>
        <v>-3.5666666666666735E-2</v>
      </c>
      <c r="Y21" s="168">
        <f t="shared" si="0"/>
        <v>0.10383333333333367</v>
      </c>
      <c r="Z21" s="168">
        <f t="shared" si="0"/>
        <v>0.74799999999999933</v>
      </c>
      <c r="AA21" s="168">
        <f t="shared" si="0"/>
        <v>0.15229166666666449</v>
      </c>
      <c r="AB21" s="168">
        <f t="shared" si="0"/>
        <v>0.95845833333333452</v>
      </c>
      <c r="AC21" s="168">
        <f t="shared" si="0"/>
        <v>-0.42929166666666596</v>
      </c>
      <c r="AD21" s="168">
        <f t="shared" si="0"/>
        <v>2.8518333333333317</v>
      </c>
      <c r="AE21" s="168">
        <f t="shared" si="0"/>
        <v>0.29848833333333058</v>
      </c>
      <c r="AF21" s="168">
        <f t="shared" si="0"/>
        <v>-5.2183333333333408</v>
      </c>
      <c r="AG21" s="168">
        <f t="shared" si="0"/>
        <v>-2.9174999999999969</v>
      </c>
      <c r="AH21" s="168">
        <f t="shared" si="0"/>
        <v>-0.44916666666666316</v>
      </c>
      <c r="AI21" s="168">
        <f t="shared" si="0"/>
        <v>8.0458333333333272</v>
      </c>
      <c r="AJ21" s="168">
        <f t="shared" si="0"/>
        <v>9.8325000000000031</v>
      </c>
      <c r="AK21" s="162">
        <f t="shared" si="0"/>
        <v>450</v>
      </c>
      <c r="AL21" s="162">
        <f t="shared" si="0"/>
        <v>581.66666666666697</v>
      </c>
      <c r="AM21" s="162">
        <f t="shared" si="0"/>
        <v>648.33333333333303</v>
      </c>
      <c r="AN21" s="162">
        <f t="shared" si="0"/>
        <v>653.33333333333303</v>
      </c>
      <c r="AO21" s="162">
        <f t="shared" si="0"/>
        <v>675</v>
      </c>
    </row>
    <row r="22" spans="1:41">
      <c r="A22" s="170">
        <v>6</v>
      </c>
      <c r="B22" s="167">
        <f t="shared" ref="B22:Q24" si="1">B5-B13</f>
        <v>4.6666666666666856E-2</v>
      </c>
      <c r="C22" s="167">
        <f t="shared" si="1"/>
        <v>3.8333333333333108E-2</v>
      </c>
      <c r="D22" s="167">
        <f t="shared" si="1"/>
        <v>-1.2500000000001066E-2</v>
      </c>
      <c r="E22" s="167">
        <f t="shared" si="1"/>
        <v>5.5000000000000604E-2</v>
      </c>
      <c r="F22" s="167">
        <f t="shared" si="1"/>
        <v>8.1666666666668775E-2</v>
      </c>
      <c r="G22" s="162">
        <f t="shared" si="1"/>
        <v>-213.94740091112138</v>
      </c>
      <c r="H22" s="162">
        <f t="shared" si="1"/>
        <v>-487.41854148803668</v>
      </c>
      <c r="I22" s="162">
        <f t="shared" si="1"/>
        <v>-424.90122932776092</v>
      </c>
      <c r="J22" s="162">
        <f t="shared" si="1"/>
        <v>-480.19726131021446</v>
      </c>
      <c r="K22" s="162">
        <f t="shared" si="1"/>
        <v>-274.93281358662341</v>
      </c>
      <c r="L22" s="162">
        <f t="shared" si="1"/>
        <v>1844.2380794212477</v>
      </c>
      <c r="M22" s="162">
        <f t="shared" si="1"/>
        <v>6138.3322698187776</v>
      </c>
      <c r="N22" s="162">
        <f t="shared" si="1"/>
        <v>10878.201635552241</v>
      </c>
      <c r="O22" s="162">
        <f t="shared" si="1"/>
        <v>8284.2451412963637</v>
      </c>
      <c r="P22" s="162">
        <f t="shared" si="1"/>
        <v>10436.519902782411</v>
      </c>
      <c r="Q22" s="168">
        <f t="shared" si="1"/>
        <v>-28.614108333333338</v>
      </c>
      <c r="R22" s="168">
        <f t="shared" ref="R22:AO22" si="2">R5-R13</f>
        <v>-27.646829166666667</v>
      </c>
      <c r="S22" s="168">
        <f t="shared" si="2"/>
        <v>-28.422783333333332</v>
      </c>
      <c r="T22" s="168">
        <f t="shared" si="2"/>
        <v>-29.721591666666672</v>
      </c>
      <c r="U22" s="168">
        <f t="shared" si="2"/>
        <v>-30.946550000000002</v>
      </c>
      <c r="V22" s="168">
        <f t="shared" si="2"/>
        <v>-1.5504166666666661</v>
      </c>
      <c r="W22" s="168">
        <f t="shared" si="2"/>
        <v>0.211666666666666</v>
      </c>
      <c r="X22" s="168">
        <f t="shared" si="2"/>
        <v>0.75124999999999886</v>
      </c>
      <c r="Y22" s="168">
        <f t="shared" si="2"/>
        <v>1.8545833333333341</v>
      </c>
      <c r="Z22" s="168">
        <f t="shared" si="2"/>
        <v>2.478749999999998</v>
      </c>
      <c r="AA22" s="168">
        <f t="shared" si="2"/>
        <v>3.7846159752547361</v>
      </c>
      <c r="AB22" s="168">
        <f t="shared" si="2"/>
        <v>0.3811796033478867</v>
      </c>
      <c r="AC22" s="168">
        <f t="shared" si="2"/>
        <v>4.7737895196506575</v>
      </c>
      <c r="AD22" s="168">
        <f t="shared" si="2"/>
        <v>5.2774886826783085</v>
      </c>
      <c r="AE22" s="168">
        <f t="shared" si="2"/>
        <v>8.8502599708879224</v>
      </c>
      <c r="AF22" s="168">
        <f t="shared" si="2"/>
        <v>33.966666666666669</v>
      </c>
      <c r="AG22" s="168">
        <f t="shared" si="2"/>
        <v>31.025000000000006</v>
      </c>
      <c r="AH22" s="168">
        <f t="shared" si="2"/>
        <v>55.283333333333331</v>
      </c>
      <c r="AI22" s="168">
        <f t="shared" si="2"/>
        <v>69.591666666666669</v>
      </c>
      <c r="AJ22" s="168">
        <f t="shared" si="2"/>
        <v>78.575000000000017</v>
      </c>
      <c r="AK22" s="162">
        <f>AK5-AK13</f>
        <v>0</v>
      </c>
      <c r="AL22" s="162">
        <f t="shared" si="2"/>
        <v>0</v>
      </c>
      <c r="AM22" s="162">
        <f t="shared" si="2"/>
        <v>0</v>
      </c>
      <c r="AN22" s="162">
        <f t="shared" si="2"/>
        <v>0</v>
      </c>
      <c r="AO22" s="162">
        <f t="shared" si="2"/>
        <v>0</v>
      </c>
    </row>
    <row r="23" spans="1:41">
      <c r="A23" s="170">
        <v>16</v>
      </c>
      <c r="B23" s="167">
        <f>B6-B14</f>
        <v>-0.11499999999999844</v>
      </c>
      <c r="C23" s="167">
        <f t="shared" si="1"/>
        <v>-9.666666666666579E-2</v>
      </c>
      <c r="D23" s="167">
        <f t="shared" si="1"/>
        <v>-0.13500000000000156</v>
      </c>
      <c r="E23" s="167">
        <f t="shared" si="1"/>
        <v>6.6666666666641561E-3</v>
      </c>
      <c r="F23" s="167">
        <f t="shared" si="1"/>
        <v>2.2500000000000853E-2</v>
      </c>
      <c r="G23" s="162">
        <f t="shared" si="1"/>
        <v>-22.360130202980841</v>
      </c>
      <c r="H23" s="162">
        <f t="shared" si="1"/>
        <v>-1531.3975062025661</v>
      </c>
      <c r="I23" s="162">
        <f t="shared" si="1"/>
        <v>-962.56322409215056</v>
      </c>
      <c r="J23" s="162">
        <f t="shared" si="1"/>
        <v>-889.38814213484056</v>
      </c>
      <c r="K23" s="162">
        <f t="shared" si="1"/>
        <v>-342.47563635759673</v>
      </c>
      <c r="L23" s="162">
        <f t="shared" si="1"/>
        <v>95.703451760068376</v>
      </c>
      <c r="M23" s="162">
        <f t="shared" si="1"/>
        <v>623.7142294615993</v>
      </c>
      <c r="N23" s="162">
        <f t="shared" si="1"/>
        <v>2663.9698711477163</v>
      </c>
      <c r="O23" s="162">
        <f t="shared" si="1"/>
        <v>2359.2832169079029</v>
      </c>
      <c r="P23" s="162">
        <f t="shared" si="1"/>
        <v>4022.3161707427535</v>
      </c>
      <c r="Q23" s="168">
        <f t="shared" si="1"/>
        <v>-24.431666666666672</v>
      </c>
      <c r="R23" s="168">
        <f t="shared" ref="R23:AO23" si="3">R6-R14</f>
        <v>-11.578749999999998</v>
      </c>
      <c r="S23" s="168">
        <f t="shared" si="3"/>
        <v>-14.519249999999996</v>
      </c>
      <c r="T23" s="168">
        <f t="shared" si="3"/>
        <v>-16.375833333333336</v>
      </c>
      <c r="U23" s="168">
        <f t="shared" si="3"/>
        <v>-19.817166666666665</v>
      </c>
      <c r="V23" s="168">
        <f t="shared" si="3"/>
        <v>1.5458333333333343</v>
      </c>
      <c r="W23" s="168">
        <f t="shared" si="3"/>
        <v>1.091666666666665</v>
      </c>
      <c r="X23" s="168">
        <f t="shared" si="3"/>
        <v>4.7266666666666701</v>
      </c>
      <c r="Y23" s="168">
        <f t="shared" si="3"/>
        <v>5.0041666666666629</v>
      </c>
      <c r="Z23" s="168">
        <f t="shared" si="3"/>
        <v>3.4891666666666694</v>
      </c>
      <c r="AA23" s="168">
        <f t="shared" si="3"/>
        <v>73.069166666666717</v>
      </c>
      <c r="AB23" s="168">
        <f t="shared" si="3"/>
        <v>54.870416666666642</v>
      </c>
      <c r="AC23" s="168">
        <f t="shared" si="3"/>
        <v>51.809249999999963</v>
      </c>
      <c r="AD23" s="168">
        <f t="shared" si="3"/>
        <v>77.771666666666647</v>
      </c>
      <c r="AE23" s="168">
        <f t="shared" si="3"/>
        <v>38.344666666666683</v>
      </c>
      <c r="AF23" s="162">
        <f t="shared" si="3"/>
        <v>856.33333333333348</v>
      </c>
      <c r="AG23" s="162">
        <f t="shared" si="3"/>
        <v>919.25</v>
      </c>
      <c r="AH23" s="162">
        <f t="shared" si="3"/>
        <v>514.33333333333348</v>
      </c>
      <c r="AI23" s="162">
        <f t="shared" si="3"/>
        <v>532.5</v>
      </c>
      <c r="AJ23" s="162">
        <f t="shared" si="3"/>
        <v>945.25</v>
      </c>
      <c r="AK23" s="162">
        <f t="shared" si="3"/>
        <v>0</v>
      </c>
      <c r="AL23" s="162">
        <f t="shared" si="3"/>
        <v>0</v>
      </c>
      <c r="AM23" s="162">
        <f t="shared" si="3"/>
        <v>0</v>
      </c>
      <c r="AN23" s="162">
        <f t="shared" si="3"/>
        <v>0</v>
      </c>
      <c r="AO23" s="162">
        <f t="shared" si="3"/>
        <v>0</v>
      </c>
    </row>
    <row r="24" spans="1:41">
      <c r="A24" s="170">
        <v>20</v>
      </c>
      <c r="B24" s="167">
        <f t="shared" si="1"/>
        <v>-0.24000000000000021</v>
      </c>
      <c r="C24" s="167">
        <f t="shared" si="1"/>
        <v>-8.5833333333336981E-2</v>
      </c>
      <c r="D24" s="167">
        <f t="shared" si="1"/>
        <v>-0.2091666666666665</v>
      </c>
      <c r="E24" s="167">
        <f t="shared" si="1"/>
        <v>-0.22499999999999964</v>
      </c>
      <c r="F24" s="167">
        <f t="shared" si="1"/>
        <v>-0.10166666666666835</v>
      </c>
      <c r="G24" s="167">
        <f t="shared" si="1"/>
        <v>0.17636865192042714</v>
      </c>
      <c r="H24" s="162">
        <f t="shared" si="1"/>
        <v>-4.927925011706094</v>
      </c>
      <c r="I24" s="162">
        <f t="shared" si="1"/>
        <v>-4.7628214989447342</v>
      </c>
      <c r="J24" s="162">
        <f t="shared" si="1"/>
        <v>-3.7019320219479837</v>
      </c>
      <c r="K24" s="162">
        <f t="shared" si="1"/>
        <v>-44.972176970597147</v>
      </c>
      <c r="L24" s="162">
        <f t="shared" si="1"/>
        <v>67.814582059574619</v>
      </c>
      <c r="M24" s="162">
        <f t="shared" si="1"/>
        <v>108.75743576392441</v>
      </c>
      <c r="N24" s="162">
        <f t="shared" si="1"/>
        <v>154.26696781287714</v>
      </c>
      <c r="O24" s="162">
        <f t="shared" si="1"/>
        <v>107.18813880273485</v>
      </c>
      <c r="P24" s="162">
        <f t="shared" si="1"/>
        <v>312.72433127908539</v>
      </c>
      <c r="Q24" s="168">
        <f t="shared" si="1"/>
        <v>-30.541666666666668</v>
      </c>
      <c r="R24" s="168">
        <f t="shared" ref="R24:AO24" si="4">R7-R15</f>
        <v>-27.819166666666668</v>
      </c>
      <c r="S24" s="168">
        <f t="shared" si="4"/>
        <v>-25.953333333333333</v>
      </c>
      <c r="T24" s="168">
        <f t="shared" si="4"/>
        <v>-24.445833333333333</v>
      </c>
      <c r="U24" s="168">
        <f t="shared" si="4"/>
        <v>-20.811000000000003</v>
      </c>
      <c r="V24" s="168">
        <f t="shared" si="4"/>
        <v>4.6991666666666703</v>
      </c>
      <c r="W24" s="168">
        <f t="shared" si="4"/>
        <v>4.7025000000000006</v>
      </c>
      <c r="X24" s="168">
        <f t="shared" si="4"/>
        <v>5.2983333333333427</v>
      </c>
      <c r="Y24" s="168">
        <f t="shared" si="4"/>
        <v>4.8858333333333341</v>
      </c>
      <c r="Z24" s="168">
        <f t="shared" si="4"/>
        <v>5.7775000000000034</v>
      </c>
      <c r="AA24" s="168">
        <f t="shared" si="4"/>
        <v>14.05916666666667</v>
      </c>
      <c r="AB24" s="168">
        <f t="shared" si="4"/>
        <v>94.983333333333348</v>
      </c>
      <c r="AC24" s="168">
        <f t="shared" si="4"/>
        <v>73.596666666666636</v>
      </c>
      <c r="AD24" s="168">
        <f t="shared" si="4"/>
        <v>4.7516666666666083</v>
      </c>
      <c r="AE24" s="168">
        <f t="shared" si="4"/>
        <v>51.775166666666621</v>
      </c>
      <c r="AF24" s="162">
        <f t="shared" si="4"/>
        <v>341.5</v>
      </c>
      <c r="AG24" s="162">
        <f t="shared" si="4"/>
        <v>1336</v>
      </c>
      <c r="AH24" s="162">
        <f t="shared" si="4"/>
        <v>957.75</v>
      </c>
      <c r="AI24" s="162">
        <f t="shared" si="4"/>
        <v>473.16666666666697</v>
      </c>
      <c r="AJ24" s="162">
        <f t="shared" si="4"/>
        <v>1358.916666666667</v>
      </c>
      <c r="AK24" s="162">
        <f t="shared" si="4"/>
        <v>0</v>
      </c>
      <c r="AL24" s="162">
        <f t="shared" si="4"/>
        <v>0</v>
      </c>
      <c r="AM24" s="162">
        <f t="shared" si="4"/>
        <v>0</v>
      </c>
      <c r="AN24" s="162">
        <f t="shared" si="4"/>
        <v>0</v>
      </c>
      <c r="AO24" s="162">
        <f t="shared" si="4"/>
        <v>0</v>
      </c>
    </row>
    <row r="27" spans="1:41">
      <c r="A27" s="164" t="s">
        <v>44</v>
      </c>
      <c r="B27" s="166" t="s">
        <v>47</v>
      </c>
    </row>
    <row r="28" spans="1:41" ht="38.25">
      <c r="A28" s="169"/>
      <c r="B28" s="169" t="s">
        <v>34</v>
      </c>
      <c r="C28" s="169"/>
      <c r="D28" s="169"/>
      <c r="E28" s="169"/>
      <c r="F28" s="169"/>
      <c r="G28" s="169" t="s">
        <v>36</v>
      </c>
      <c r="H28" s="169"/>
      <c r="I28" s="169"/>
      <c r="J28" s="169"/>
      <c r="K28" s="169"/>
      <c r="L28" s="169" t="s">
        <v>37</v>
      </c>
      <c r="M28" s="169"/>
      <c r="N28" s="169"/>
      <c r="O28" s="169"/>
      <c r="P28" s="169"/>
      <c r="Q28" s="169" t="s">
        <v>38</v>
      </c>
      <c r="R28" s="169"/>
      <c r="S28" s="169"/>
      <c r="T28" s="169"/>
      <c r="U28" s="169"/>
      <c r="V28" s="169" t="s">
        <v>39</v>
      </c>
      <c r="W28" s="169"/>
      <c r="X28" s="169"/>
      <c r="Y28" s="169"/>
      <c r="Z28" s="169"/>
      <c r="AA28" s="169" t="s">
        <v>40</v>
      </c>
      <c r="AB28" s="169"/>
      <c r="AC28" s="169"/>
      <c r="AD28" s="169"/>
      <c r="AE28" s="169"/>
      <c r="AF28" s="169" t="s">
        <v>41</v>
      </c>
      <c r="AG28" s="169"/>
      <c r="AH28" s="169"/>
      <c r="AI28" s="169"/>
      <c r="AJ28" s="169"/>
      <c r="AK28" s="169" t="s">
        <v>35</v>
      </c>
      <c r="AL28" s="169"/>
      <c r="AM28" s="169"/>
      <c r="AN28" s="169"/>
      <c r="AO28" s="169"/>
    </row>
    <row r="29" spans="1:41">
      <c r="B29" s="170">
        <v>16</v>
      </c>
      <c r="C29" s="170">
        <v>24</v>
      </c>
      <c r="D29" s="170">
        <v>32</v>
      </c>
      <c r="E29" s="170">
        <v>40</v>
      </c>
      <c r="F29" s="170">
        <v>48</v>
      </c>
      <c r="G29" s="170">
        <v>16</v>
      </c>
      <c r="H29" s="170">
        <v>24</v>
      </c>
      <c r="I29" s="170">
        <v>32</v>
      </c>
      <c r="J29" s="170">
        <v>40</v>
      </c>
      <c r="K29" s="170">
        <v>48</v>
      </c>
      <c r="L29" s="170">
        <v>16</v>
      </c>
      <c r="M29" s="170">
        <v>24</v>
      </c>
      <c r="N29" s="170">
        <v>32</v>
      </c>
      <c r="O29" s="170">
        <v>40</v>
      </c>
      <c r="P29" s="170">
        <v>48</v>
      </c>
      <c r="Q29" s="170">
        <v>16</v>
      </c>
      <c r="R29" s="170">
        <v>24</v>
      </c>
      <c r="S29" s="170">
        <v>32</v>
      </c>
      <c r="T29" s="170">
        <v>40</v>
      </c>
      <c r="U29" s="170">
        <v>48</v>
      </c>
      <c r="V29" s="170">
        <v>16</v>
      </c>
      <c r="W29" s="170">
        <v>24</v>
      </c>
      <c r="X29" s="170">
        <v>32</v>
      </c>
      <c r="Y29" s="170">
        <v>40</v>
      </c>
      <c r="Z29" s="170">
        <v>48</v>
      </c>
      <c r="AA29" s="170">
        <v>16</v>
      </c>
      <c r="AB29" s="170">
        <v>24</v>
      </c>
      <c r="AC29" s="170">
        <v>32</v>
      </c>
      <c r="AD29" s="170">
        <v>40</v>
      </c>
      <c r="AE29" s="170">
        <v>48</v>
      </c>
      <c r="AF29" s="170">
        <v>16</v>
      </c>
      <c r="AG29" s="170">
        <v>24</v>
      </c>
      <c r="AH29" s="170">
        <v>32</v>
      </c>
      <c r="AI29" s="170">
        <v>40</v>
      </c>
      <c r="AJ29" s="170">
        <v>48</v>
      </c>
      <c r="AK29" s="170">
        <v>16</v>
      </c>
      <c r="AL29" s="170">
        <v>24</v>
      </c>
      <c r="AM29" s="170">
        <v>32</v>
      </c>
      <c r="AN29" s="170">
        <v>40</v>
      </c>
      <c r="AO29" s="170">
        <v>48</v>
      </c>
    </row>
    <row r="30" spans="1:41">
      <c r="A30" s="170">
        <v>0</v>
      </c>
      <c r="B30" s="167">
        <f>B12-B4</f>
        <v>-2.6666666666665506E-2</v>
      </c>
      <c r="C30" s="167">
        <f t="shared" ref="C30:AO32" si="5">C12-C4</f>
        <v>-8.4166666666666501E-2</v>
      </c>
      <c r="D30" s="167">
        <f t="shared" si="5"/>
        <v>3.3333333333334103E-2</v>
      </c>
      <c r="E30" s="167">
        <f t="shared" si="5"/>
        <v>7.083333333333286E-2</v>
      </c>
      <c r="F30" s="167">
        <f t="shared" si="5"/>
        <v>8.3333333333328596E-3</v>
      </c>
      <c r="G30" s="167">
        <f t="shared" si="5"/>
        <v>-79.564616130567146</v>
      </c>
      <c r="H30" s="172">
        <f t="shared" si="5"/>
        <v>-230.14560230210799</v>
      </c>
      <c r="I30" s="168">
        <f t="shared" si="5"/>
        <v>-319.54879661432454</v>
      </c>
      <c r="J30" s="168">
        <f t="shared" si="5"/>
        <v>-440.36580146369886</v>
      </c>
      <c r="K30" s="168">
        <f t="shared" si="5"/>
        <v>-576.96885687215399</v>
      </c>
      <c r="L30" s="162">
        <f t="shared" si="5"/>
        <v>-1010.2667585275892</v>
      </c>
      <c r="M30" s="162">
        <f t="shared" si="5"/>
        <v>-3118.1547476751493</v>
      </c>
      <c r="N30" s="162">
        <f t="shared" si="5"/>
        <v>-5619.6592146141757</v>
      </c>
      <c r="O30" s="162">
        <f t="shared" si="5"/>
        <v>-3806.0693921566649</v>
      </c>
      <c r="P30" s="162">
        <f t="shared" si="5"/>
        <v>-4139.2928391300111</v>
      </c>
      <c r="Q30" s="168">
        <f t="shared" si="5"/>
        <v>33.985833333333332</v>
      </c>
      <c r="R30" s="168">
        <f t="shared" si="5"/>
        <v>33.502166666666668</v>
      </c>
      <c r="S30" s="168">
        <f t="shared" si="5"/>
        <v>33.599208333333337</v>
      </c>
      <c r="T30" s="168">
        <f t="shared" si="5"/>
        <v>34.164000000000001</v>
      </c>
      <c r="U30" s="168">
        <f t="shared" si="5"/>
        <v>33.952738333333336</v>
      </c>
      <c r="V30" s="168">
        <f t="shared" si="5"/>
        <v>0.21354166666666652</v>
      </c>
      <c r="W30" s="168">
        <f t="shared" si="5"/>
        <v>-0.16162499999999991</v>
      </c>
      <c r="X30" s="168">
        <f t="shared" si="5"/>
        <v>3.5666666666666735E-2</v>
      </c>
      <c r="Y30" s="168">
        <f t="shared" si="5"/>
        <v>-0.10383333333333367</v>
      </c>
      <c r="Z30" s="168">
        <f t="shared" si="5"/>
        <v>-0.74799999999999933</v>
      </c>
      <c r="AA30" s="168">
        <f t="shared" si="5"/>
        <v>-0.15229166666666449</v>
      </c>
      <c r="AB30" s="168">
        <f t="shared" si="5"/>
        <v>-0.95845833333333452</v>
      </c>
      <c r="AC30" s="168">
        <f t="shared" si="5"/>
        <v>0.42929166666666596</v>
      </c>
      <c r="AD30" s="168">
        <f t="shared" si="5"/>
        <v>-2.8518333333333317</v>
      </c>
      <c r="AE30" s="168">
        <f t="shared" si="5"/>
        <v>-0.29848833333333058</v>
      </c>
      <c r="AF30" s="168">
        <f t="shared" si="5"/>
        <v>5.2183333333333408</v>
      </c>
      <c r="AG30" s="168">
        <f t="shared" si="5"/>
        <v>2.9174999999999969</v>
      </c>
      <c r="AH30" s="168">
        <f t="shared" si="5"/>
        <v>0.44916666666666316</v>
      </c>
      <c r="AI30" s="168">
        <f t="shared" si="5"/>
        <v>-8.0458333333333272</v>
      </c>
      <c r="AJ30" s="168">
        <f t="shared" si="5"/>
        <v>-9.8325000000000031</v>
      </c>
      <c r="AK30" s="168">
        <f t="shared" si="5"/>
        <v>-450</v>
      </c>
      <c r="AL30" s="168">
        <f t="shared" si="5"/>
        <v>-581.66666666666697</v>
      </c>
      <c r="AM30" s="168">
        <f t="shared" si="5"/>
        <v>-648.33333333333303</v>
      </c>
      <c r="AN30" s="168">
        <f t="shared" si="5"/>
        <v>-653.33333333333303</v>
      </c>
      <c r="AO30" s="168">
        <f t="shared" si="5"/>
        <v>-675</v>
      </c>
    </row>
    <row r="31" spans="1:41">
      <c r="A31" s="170">
        <v>6</v>
      </c>
      <c r="B31" s="167">
        <f t="shared" ref="B31:Q32" si="6">B13-B5</f>
        <v>-4.6666666666666856E-2</v>
      </c>
      <c r="C31" s="167">
        <f t="shared" si="6"/>
        <v>-3.8333333333333108E-2</v>
      </c>
      <c r="D31" s="167">
        <f t="shared" si="6"/>
        <v>1.2500000000001066E-2</v>
      </c>
      <c r="E31" s="167">
        <f t="shared" si="6"/>
        <v>-5.5000000000000604E-2</v>
      </c>
      <c r="F31" s="167">
        <f t="shared" si="6"/>
        <v>-8.1666666666668775E-2</v>
      </c>
      <c r="G31" s="167">
        <f t="shared" si="6"/>
        <v>213.94740091112138</v>
      </c>
      <c r="H31" s="172">
        <f t="shared" si="6"/>
        <v>487.41854148803668</v>
      </c>
      <c r="I31" s="168">
        <f t="shared" si="6"/>
        <v>424.90122932776092</v>
      </c>
      <c r="J31" s="168">
        <f t="shared" si="6"/>
        <v>480.19726131021446</v>
      </c>
      <c r="K31" s="168">
        <f t="shared" si="6"/>
        <v>274.93281358662341</v>
      </c>
      <c r="L31" s="162">
        <f t="shared" si="6"/>
        <v>-1844.2380794212477</v>
      </c>
      <c r="M31" s="162">
        <f t="shared" si="6"/>
        <v>-6138.3322698187776</v>
      </c>
      <c r="N31" s="162">
        <f t="shared" si="6"/>
        <v>-10878.201635552241</v>
      </c>
      <c r="O31" s="162">
        <f t="shared" si="6"/>
        <v>-8284.2451412963637</v>
      </c>
      <c r="P31" s="162">
        <f t="shared" si="6"/>
        <v>-10436.519902782411</v>
      </c>
      <c r="Q31" s="168">
        <f t="shared" si="6"/>
        <v>28.614108333333338</v>
      </c>
      <c r="R31" s="168">
        <f t="shared" si="5"/>
        <v>27.646829166666667</v>
      </c>
      <c r="S31" s="168">
        <f t="shared" si="5"/>
        <v>28.422783333333332</v>
      </c>
      <c r="T31" s="168">
        <f t="shared" si="5"/>
        <v>29.721591666666672</v>
      </c>
      <c r="U31" s="168">
        <f t="shared" si="5"/>
        <v>30.946550000000002</v>
      </c>
      <c r="V31" s="168">
        <f t="shared" si="5"/>
        <v>1.5504166666666661</v>
      </c>
      <c r="W31" s="168">
        <f t="shared" si="5"/>
        <v>-0.211666666666666</v>
      </c>
      <c r="X31" s="168">
        <f t="shared" si="5"/>
        <v>-0.75124999999999886</v>
      </c>
      <c r="Y31" s="168">
        <f t="shared" si="5"/>
        <v>-1.8545833333333341</v>
      </c>
      <c r="Z31" s="168">
        <f t="shared" si="5"/>
        <v>-2.478749999999998</v>
      </c>
      <c r="AA31" s="168">
        <f t="shared" si="5"/>
        <v>-3.7846159752547361</v>
      </c>
      <c r="AB31" s="168">
        <f t="shared" si="5"/>
        <v>-0.3811796033478867</v>
      </c>
      <c r="AC31" s="168">
        <f t="shared" si="5"/>
        <v>-4.7737895196506575</v>
      </c>
      <c r="AD31" s="168">
        <f t="shared" si="5"/>
        <v>-5.2774886826783085</v>
      </c>
      <c r="AE31" s="168">
        <f t="shared" si="5"/>
        <v>-8.8502599708879224</v>
      </c>
      <c r="AF31" s="168">
        <f t="shared" si="5"/>
        <v>-33.966666666666669</v>
      </c>
      <c r="AG31" s="168">
        <f t="shared" si="5"/>
        <v>-31.025000000000006</v>
      </c>
      <c r="AH31" s="168">
        <f t="shared" si="5"/>
        <v>-55.283333333333331</v>
      </c>
      <c r="AI31" s="168">
        <f t="shared" si="5"/>
        <v>-69.591666666666669</v>
      </c>
      <c r="AJ31" s="168">
        <f t="shared" si="5"/>
        <v>-78.575000000000017</v>
      </c>
      <c r="AK31" s="168">
        <f t="shared" si="5"/>
        <v>0</v>
      </c>
      <c r="AL31" s="168">
        <f t="shared" si="5"/>
        <v>0</v>
      </c>
      <c r="AM31" s="168">
        <f t="shared" si="5"/>
        <v>0</v>
      </c>
      <c r="AN31" s="168">
        <f t="shared" si="5"/>
        <v>0</v>
      </c>
      <c r="AO31" s="168">
        <f t="shared" si="5"/>
        <v>0</v>
      </c>
    </row>
    <row r="32" spans="1:41">
      <c r="A32" s="170">
        <v>16</v>
      </c>
      <c r="B32" s="167">
        <f t="shared" si="6"/>
        <v>0.11499999999999844</v>
      </c>
      <c r="C32" s="167">
        <f t="shared" si="5"/>
        <v>9.666666666666579E-2</v>
      </c>
      <c r="D32" s="167">
        <f t="shared" si="5"/>
        <v>0.13500000000000156</v>
      </c>
      <c r="E32" s="167">
        <f t="shared" si="5"/>
        <v>-6.6666666666641561E-3</v>
      </c>
      <c r="F32" s="167">
        <f t="shared" si="5"/>
        <v>-2.2500000000000853E-2</v>
      </c>
      <c r="G32" s="167">
        <f t="shared" si="5"/>
        <v>22.360130202980841</v>
      </c>
      <c r="H32" s="172">
        <f t="shared" si="5"/>
        <v>1531.3975062025661</v>
      </c>
      <c r="I32" s="168">
        <f t="shared" si="5"/>
        <v>962.56322409215056</v>
      </c>
      <c r="J32" s="168">
        <f t="shared" si="5"/>
        <v>889.38814213484056</v>
      </c>
      <c r="K32" s="168">
        <f t="shared" si="5"/>
        <v>342.47563635759673</v>
      </c>
      <c r="L32" s="162">
        <f t="shared" si="5"/>
        <v>-95.703451760068376</v>
      </c>
      <c r="M32" s="162">
        <f t="shared" si="5"/>
        <v>-623.7142294615993</v>
      </c>
      <c r="N32" s="162">
        <f t="shared" si="5"/>
        <v>-2663.9698711477163</v>
      </c>
      <c r="O32" s="162">
        <f t="shared" si="5"/>
        <v>-2359.2832169079029</v>
      </c>
      <c r="P32" s="162">
        <f t="shared" si="5"/>
        <v>-4022.3161707427535</v>
      </c>
      <c r="Q32" s="168">
        <f t="shared" si="5"/>
        <v>24.431666666666672</v>
      </c>
      <c r="R32" s="168">
        <f t="shared" si="5"/>
        <v>11.578749999999998</v>
      </c>
      <c r="S32" s="168">
        <f t="shared" si="5"/>
        <v>14.519249999999996</v>
      </c>
      <c r="T32" s="168">
        <f t="shared" si="5"/>
        <v>16.375833333333336</v>
      </c>
      <c r="U32" s="168">
        <f t="shared" si="5"/>
        <v>19.817166666666665</v>
      </c>
      <c r="V32" s="168">
        <f t="shared" si="5"/>
        <v>-1.5458333333333343</v>
      </c>
      <c r="W32" s="168">
        <f t="shared" si="5"/>
        <v>-1.091666666666665</v>
      </c>
      <c r="X32" s="168">
        <f t="shared" si="5"/>
        <v>-4.7266666666666701</v>
      </c>
      <c r="Y32" s="168">
        <f t="shared" si="5"/>
        <v>-5.0041666666666629</v>
      </c>
      <c r="Z32" s="168">
        <f t="shared" si="5"/>
        <v>-3.4891666666666694</v>
      </c>
      <c r="AA32" s="168">
        <f t="shared" si="5"/>
        <v>-73.069166666666717</v>
      </c>
      <c r="AB32" s="168">
        <f t="shared" si="5"/>
        <v>-54.870416666666642</v>
      </c>
      <c r="AC32" s="168">
        <f t="shared" si="5"/>
        <v>-51.809249999999963</v>
      </c>
      <c r="AD32" s="168">
        <f t="shared" si="5"/>
        <v>-77.771666666666647</v>
      </c>
      <c r="AE32" s="168">
        <f t="shared" si="5"/>
        <v>-38.344666666666683</v>
      </c>
      <c r="AF32" s="168">
        <f t="shared" si="5"/>
        <v>-856.33333333333348</v>
      </c>
      <c r="AG32" s="168">
        <f t="shared" si="5"/>
        <v>-919.25</v>
      </c>
      <c r="AH32" s="168">
        <f t="shared" si="5"/>
        <v>-514.33333333333348</v>
      </c>
      <c r="AI32" s="168">
        <f t="shared" si="5"/>
        <v>-532.5</v>
      </c>
      <c r="AJ32" s="168">
        <f t="shared" si="5"/>
        <v>-945.25</v>
      </c>
      <c r="AK32" s="168">
        <f t="shared" si="5"/>
        <v>0</v>
      </c>
      <c r="AL32" s="168">
        <f t="shared" si="5"/>
        <v>0</v>
      </c>
      <c r="AM32" s="168">
        <f t="shared" si="5"/>
        <v>0</v>
      </c>
      <c r="AN32" s="168">
        <f t="shared" si="5"/>
        <v>0</v>
      </c>
      <c r="AO32" s="168">
        <f t="shared" si="5"/>
        <v>0</v>
      </c>
    </row>
    <row r="33" spans="1:41">
      <c r="A33" s="170">
        <v>20</v>
      </c>
      <c r="B33" s="167">
        <f>B15-B7</f>
        <v>0.24000000000000021</v>
      </c>
      <c r="C33" s="167">
        <f t="shared" ref="C33:AO33" si="7">C15-C7</f>
        <v>8.5833333333336981E-2</v>
      </c>
      <c r="D33" s="167">
        <f t="shared" si="7"/>
        <v>0.2091666666666665</v>
      </c>
      <c r="E33" s="167">
        <f t="shared" si="7"/>
        <v>0.22499999999999964</v>
      </c>
      <c r="F33" s="167">
        <f t="shared" si="7"/>
        <v>0.10166666666666835</v>
      </c>
      <c r="G33" s="167">
        <f t="shared" si="7"/>
        <v>-0.17636865192042714</v>
      </c>
      <c r="H33" s="172">
        <f t="shared" si="7"/>
        <v>4.927925011706094</v>
      </c>
      <c r="I33" s="168">
        <f t="shared" si="7"/>
        <v>4.7628214989447342</v>
      </c>
      <c r="J33" s="168">
        <f t="shared" si="7"/>
        <v>3.7019320219479837</v>
      </c>
      <c r="K33" s="168">
        <f t="shared" si="7"/>
        <v>44.972176970597147</v>
      </c>
      <c r="L33" s="162">
        <f t="shared" si="7"/>
        <v>-67.814582059574619</v>
      </c>
      <c r="M33" s="162">
        <f t="shared" si="7"/>
        <v>-108.75743576392441</v>
      </c>
      <c r="N33" s="162">
        <f t="shared" si="7"/>
        <v>-154.26696781287714</v>
      </c>
      <c r="O33" s="162">
        <f t="shared" si="7"/>
        <v>-107.18813880273485</v>
      </c>
      <c r="P33" s="162">
        <f t="shared" si="7"/>
        <v>-312.72433127908539</v>
      </c>
      <c r="Q33" s="168">
        <f t="shared" si="7"/>
        <v>30.541666666666668</v>
      </c>
      <c r="R33" s="168">
        <f t="shared" si="7"/>
        <v>27.819166666666668</v>
      </c>
      <c r="S33" s="168">
        <f t="shared" si="7"/>
        <v>25.953333333333333</v>
      </c>
      <c r="T33" s="168">
        <f t="shared" si="7"/>
        <v>24.445833333333333</v>
      </c>
      <c r="U33" s="168">
        <f t="shared" si="7"/>
        <v>20.811000000000003</v>
      </c>
      <c r="V33" s="168">
        <f t="shared" si="7"/>
        <v>-4.6991666666666703</v>
      </c>
      <c r="W33" s="168">
        <f t="shared" si="7"/>
        <v>-4.7025000000000006</v>
      </c>
      <c r="X33" s="168">
        <f t="shared" si="7"/>
        <v>-5.2983333333333427</v>
      </c>
      <c r="Y33" s="168">
        <f t="shared" si="7"/>
        <v>-4.8858333333333341</v>
      </c>
      <c r="Z33" s="168">
        <f t="shared" si="7"/>
        <v>-5.7775000000000034</v>
      </c>
      <c r="AA33" s="168">
        <f t="shared" si="7"/>
        <v>-14.05916666666667</v>
      </c>
      <c r="AB33" s="168">
        <f t="shared" si="7"/>
        <v>-94.983333333333348</v>
      </c>
      <c r="AC33" s="168">
        <f t="shared" si="7"/>
        <v>-73.596666666666636</v>
      </c>
      <c r="AD33" s="168">
        <f t="shared" si="7"/>
        <v>-4.7516666666666083</v>
      </c>
      <c r="AE33" s="168">
        <f t="shared" si="7"/>
        <v>-51.775166666666621</v>
      </c>
      <c r="AF33" s="168">
        <f t="shared" si="7"/>
        <v>-341.5</v>
      </c>
      <c r="AG33" s="168">
        <f t="shared" si="7"/>
        <v>-1336</v>
      </c>
      <c r="AH33" s="168">
        <f t="shared" si="7"/>
        <v>-957.75</v>
      </c>
      <c r="AI33" s="168">
        <f t="shared" si="7"/>
        <v>-473.16666666666697</v>
      </c>
      <c r="AJ33" s="168">
        <f t="shared" si="7"/>
        <v>-1358.916666666667</v>
      </c>
      <c r="AK33" s="168">
        <f t="shared" si="7"/>
        <v>0</v>
      </c>
      <c r="AL33" s="168">
        <f t="shared" si="7"/>
        <v>0</v>
      </c>
      <c r="AM33" s="168">
        <f t="shared" si="7"/>
        <v>0</v>
      </c>
      <c r="AN33" s="168">
        <f t="shared" si="7"/>
        <v>0</v>
      </c>
      <c r="AO33" s="168">
        <f t="shared" si="7"/>
        <v>0</v>
      </c>
    </row>
  </sheetData>
  <phoneticPr fontId="46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L249"/>
  <sheetViews>
    <sheetView tabSelected="1" workbookViewId="0">
      <pane xSplit="1" topLeftCell="U1" activePane="topRight" state="frozen"/>
      <selection pane="topRight" activeCell="X149" sqref="X149"/>
    </sheetView>
  </sheetViews>
  <sheetFormatPr defaultColWidth="8.85546875" defaultRowHeight="15"/>
  <cols>
    <col min="1" max="1" width="4" style="3" bestFit="1" customWidth="1"/>
    <col min="2" max="2" width="9.85546875" style="3" bestFit="1" customWidth="1"/>
    <col min="3" max="3" width="4" style="3" bestFit="1" customWidth="1"/>
    <col min="4" max="4" width="4.85546875" style="3" bestFit="1" customWidth="1"/>
    <col min="5" max="5" width="8.85546875" style="3" bestFit="1"/>
    <col min="6" max="6" width="10.85546875" style="3" bestFit="1" customWidth="1"/>
    <col min="7" max="7" width="5.42578125" style="3" bestFit="1" customWidth="1"/>
    <col min="8" max="8" width="14" style="3" bestFit="1" customWidth="1"/>
    <col min="9" max="9" width="7.42578125" style="107" bestFit="1" customWidth="1"/>
    <col min="10" max="10" width="7.42578125" style="3" customWidth="1"/>
    <col min="11" max="11" width="10.85546875" style="3" bestFit="1" customWidth="1"/>
    <col min="12" max="12" width="10.42578125" style="3" bestFit="1" customWidth="1"/>
    <col min="13" max="15" width="5.7109375" style="3" bestFit="1" customWidth="1"/>
    <col min="16" max="16" width="6.42578125" style="3" bestFit="1" customWidth="1"/>
    <col min="17" max="17" width="6.42578125" style="3" customWidth="1"/>
    <col min="19" max="22" width="8.85546875" style="184"/>
    <col min="23" max="23" width="8.85546875" style="3"/>
    <col min="24" max="24" width="22.140625" style="3" customWidth="1"/>
    <col min="25" max="25" width="16.28515625" style="3" customWidth="1"/>
    <col min="26" max="29" width="12" style="3" customWidth="1"/>
    <col min="30" max="30" width="10.85546875" style="3" customWidth="1"/>
    <col min="31" max="31" width="5.42578125" style="3" customWidth="1"/>
    <col min="32" max="32" width="4.42578125" style="3" customWidth="1"/>
    <col min="33" max="34" width="5.42578125" style="3" customWidth="1"/>
    <col min="35" max="35" width="10.7109375" style="3" customWidth="1"/>
    <col min="36" max="37" width="6.42578125" style="3" customWidth="1"/>
    <col min="38" max="38" width="6.42578125" style="3" bestFit="1" customWidth="1"/>
    <col min="39" max="39" width="6.42578125" style="3" customWidth="1"/>
    <col min="40" max="40" width="5" style="3" customWidth="1"/>
    <col min="41" max="44" width="3.42578125" style="3" customWidth="1"/>
    <col min="45" max="45" width="4.28515625" style="3" customWidth="1"/>
    <col min="46" max="49" width="3.42578125" style="3" customWidth="1"/>
    <col min="50" max="50" width="4.5703125" style="3" customWidth="1"/>
    <col min="51" max="52" width="4.42578125" style="3" customWidth="1"/>
    <col min="53" max="53" width="5.42578125" style="3" customWidth="1"/>
    <col min="54" max="54" width="4.42578125" style="3" customWidth="1"/>
    <col min="55" max="55" width="5.42578125" style="3" customWidth="1"/>
    <col min="56" max="57" width="6.42578125" style="3" customWidth="1"/>
    <col min="58" max="59" width="5.42578125" style="3" customWidth="1"/>
    <col min="60" max="64" width="4.42578125" style="3" customWidth="1"/>
    <col min="65" max="72" width="6" style="3" customWidth="1"/>
    <col min="73" max="73" width="5" style="3" customWidth="1"/>
    <col min="74" max="74" width="6" style="3" customWidth="1"/>
    <col min="75" max="75" width="5" style="3" customWidth="1"/>
    <col min="76" max="78" width="6" style="3" customWidth="1"/>
    <col min="79" max="79" width="5" style="3" customWidth="1"/>
    <col min="80" max="83" width="6" style="3" customWidth="1"/>
    <col min="84" max="84" width="5" style="3" customWidth="1"/>
    <col min="85" max="98" width="6" style="3" customWidth="1"/>
    <col min="99" max="99" width="5" style="3" customWidth="1"/>
    <col min="100" max="108" width="6" style="3" customWidth="1"/>
    <col min="109" max="109" width="5" style="3" customWidth="1"/>
    <col min="110" max="112" width="6" style="3" customWidth="1"/>
    <col min="113" max="113" width="5" style="3" customWidth="1"/>
    <col min="114" max="123" width="6" style="3" customWidth="1"/>
    <col min="124" max="124" width="5" style="3" customWidth="1"/>
    <col min="125" max="128" width="6" style="3" customWidth="1"/>
    <col min="129" max="129" width="5" style="3" customWidth="1"/>
    <col min="130" max="132" width="6" style="3" customWidth="1"/>
    <col min="133" max="133" width="5" style="3" customWidth="1"/>
    <col min="134" max="136" width="6" style="3" customWidth="1"/>
    <col min="137" max="137" width="5" style="3" customWidth="1"/>
    <col min="138" max="142" width="6" style="3" customWidth="1"/>
    <col min="143" max="143" width="5" style="3" customWidth="1"/>
    <col min="144" max="144" width="4" style="3" customWidth="1"/>
    <col min="145" max="154" width="6" style="3" customWidth="1"/>
    <col min="155" max="163" width="7" style="3" customWidth="1"/>
    <col min="164" max="164" width="6" style="3" customWidth="1"/>
    <col min="165" max="171" width="7" style="3" customWidth="1"/>
    <col min="172" max="172" width="6" style="3" customWidth="1"/>
    <col min="173" max="182" width="7" style="3" customWidth="1"/>
    <col min="183" max="186" width="8" style="3" customWidth="1"/>
    <col min="187" max="187" width="7" style="3" customWidth="1"/>
    <col min="188" max="190" width="8" style="3" customWidth="1"/>
    <col min="191" max="191" width="7" style="3" customWidth="1"/>
    <col min="192" max="208" width="8" style="3" customWidth="1"/>
    <col min="209" max="209" width="7" style="3" customWidth="1"/>
    <col min="210" max="210" width="8" style="3" customWidth="1"/>
    <col min="211" max="211" width="7.28515625" style="3" customWidth="1"/>
    <col min="212" max="212" width="11.28515625" style="3" bestFit="1" customWidth="1"/>
    <col min="213" max="16384" width="8.85546875" style="3"/>
  </cols>
  <sheetData>
    <row r="1" spans="1:64">
      <c r="A1" s="341" t="s">
        <v>106</v>
      </c>
      <c r="B1" s="341"/>
      <c r="C1" s="341"/>
      <c r="D1" s="341"/>
      <c r="E1" s="341"/>
      <c r="F1" s="341"/>
      <c r="G1" s="341"/>
      <c r="H1" s="44">
        <v>2.65</v>
      </c>
    </row>
    <row r="2" spans="1:64">
      <c r="A2" s="341" t="s">
        <v>107</v>
      </c>
      <c r="B2" s="341"/>
      <c r="C2" s="341"/>
      <c r="D2" s="341"/>
      <c r="E2" s="341"/>
      <c r="F2" s="341"/>
      <c r="G2" s="341"/>
      <c r="H2" s="44">
        <v>0.63200000000000001</v>
      </c>
    </row>
    <row r="3" spans="1:64">
      <c r="A3" s="341" t="s">
        <v>108</v>
      </c>
      <c r="B3" s="341"/>
      <c r="C3" s="341"/>
      <c r="D3" s="341"/>
      <c r="E3" s="341"/>
      <c r="F3" s="341"/>
      <c r="G3" s="341"/>
      <c r="H3" s="44">
        <v>101.325</v>
      </c>
    </row>
    <row r="4" spans="1:64">
      <c r="A4" s="341" t="s">
        <v>109</v>
      </c>
      <c r="B4" s="341"/>
      <c r="C4" s="341"/>
      <c r="D4" s="341"/>
      <c r="E4" s="341"/>
      <c r="F4" s="341"/>
      <c r="G4" s="341"/>
      <c r="H4" s="44">
        <v>28.013400000000001</v>
      </c>
    </row>
    <row r="5" spans="1:64">
      <c r="A5" s="341" t="s">
        <v>110</v>
      </c>
      <c r="B5" s="341"/>
      <c r="C5" s="341"/>
      <c r="D5" s="341"/>
      <c r="E5" s="341"/>
      <c r="F5" s="341"/>
      <c r="G5" s="341"/>
      <c r="H5" s="44">
        <v>8.3145100000000003</v>
      </c>
    </row>
    <row r="6" spans="1:64">
      <c r="A6" s="341" t="s">
        <v>0</v>
      </c>
      <c r="B6" s="341"/>
      <c r="C6" s="341"/>
      <c r="D6" s="341"/>
      <c r="E6" s="341"/>
      <c r="F6" s="341"/>
      <c r="G6" s="341"/>
      <c r="H6" s="44">
        <v>293.14999999999998</v>
      </c>
    </row>
    <row r="8" spans="1:64">
      <c r="S8" s="183" t="s">
        <v>125</v>
      </c>
      <c r="X8" s="316"/>
      <c r="Y8" s="326" t="s">
        <v>189</v>
      </c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8"/>
    </row>
    <row r="9" spans="1:64" ht="38.25">
      <c r="A9" s="9" t="s">
        <v>59</v>
      </c>
      <c r="B9" s="10" t="s">
        <v>60</v>
      </c>
      <c r="C9" s="10" t="s">
        <v>61</v>
      </c>
      <c r="D9" s="10" t="s">
        <v>79</v>
      </c>
      <c r="E9" s="10" t="s">
        <v>80</v>
      </c>
      <c r="F9" s="10" t="s">
        <v>62</v>
      </c>
      <c r="G9" s="10" t="s">
        <v>63</v>
      </c>
      <c r="H9" s="12" t="s">
        <v>67</v>
      </c>
      <c r="I9" s="10" t="s">
        <v>68</v>
      </c>
      <c r="J9" s="10" t="s">
        <v>45</v>
      </c>
      <c r="K9" s="13" t="s">
        <v>85</v>
      </c>
      <c r="L9" s="13" t="s">
        <v>86</v>
      </c>
      <c r="M9" s="10" t="s">
        <v>88</v>
      </c>
      <c r="N9" s="10" t="s">
        <v>87</v>
      </c>
      <c r="O9" s="10" t="s">
        <v>90</v>
      </c>
      <c r="P9" s="10" t="s">
        <v>89</v>
      </c>
      <c r="Q9" s="306" t="s">
        <v>203</v>
      </c>
      <c r="R9" s="312" t="s">
        <v>204</v>
      </c>
      <c r="S9" s="185" t="s">
        <v>79</v>
      </c>
      <c r="T9" s="185" t="s">
        <v>80</v>
      </c>
      <c r="U9" s="185" t="s">
        <v>67</v>
      </c>
      <c r="V9" s="183" t="s">
        <v>126</v>
      </c>
      <c r="X9" s="276"/>
      <c r="Y9" s="327" t="s">
        <v>34</v>
      </c>
      <c r="Z9" s="328"/>
      <c r="AA9" s="328"/>
      <c r="AB9" s="328"/>
      <c r="AC9" s="328"/>
      <c r="AD9" s="327" t="s">
        <v>36</v>
      </c>
      <c r="AE9" s="328"/>
      <c r="AF9" s="328"/>
      <c r="AG9" s="328"/>
      <c r="AH9" s="328"/>
      <c r="AI9" s="327" t="s">
        <v>37</v>
      </c>
      <c r="AJ9" s="328"/>
      <c r="AK9" s="328"/>
      <c r="AL9" s="328"/>
      <c r="AM9" s="328"/>
      <c r="AN9" s="327" t="s">
        <v>38</v>
      </c>
      <c r="AO9" s="328"/>
      <c r="AP9" s="328"/>
      <c r="AQ9" s="328"/>
      <c r="AR9" s="328"/>
      <c r="AS9" s="327" t="s">
        <v>39</v>
      </c>
      <c r="AT9" s="328"/>
      <c r="AU9" s="328"/>
      <c r="AV9" s="328"/>
      <c r="AW9" s="328"/>
      <c r="AX9" s="327" t="s">
        <v>40</v>
      </c>
      <c r="AY9" s="328"/>
      <c r="AZ9" s="328"/>
      <c r="BA9" s="328"/>
      <c r="BB9" s="328"/>
      <c r="BC9" s="327" t="s">
        <v>41</v>
      </c>
      <c r="BD9" s="328"/>
      <c r="BE9" s="328"/>
      <c r="BF9" s="328"/>
      <c r="BG9" s="328"/>
      <c r="BH9" s="316" t="s">
        <v>35</v>
      </c>
      <c r="BI9" s="317"/>
      <c r="BJ9" s="317"/>
      <c r="BK9" s="317"/>
      <c r="BL9" s="318"/>
    </row>
    <row r="10" spans="1:64">
      <c r="A10" s="15">
        <f>'Exptl Setup'!A8</f>
        <v>1</v>
      </c>
      <c r="B10" s="15" t="str">
        <f>'Exptl Setup'!B8</f>
        <v>MTT No Till</v>
      </c>
      <c r="C10" s="15" t="str">
        <f>'Exptl Setup'!C8</f>
        <v>a</v>
      </c>
      <c r="D10" s="15">
        <f>'Exptl Setup'!D8</f>
        <v>16</v>
      </c>
      <c r="E10" s="15" t="str">
        <f>'Exptl Setup'!E8</f>
        <v>+</v>
      </c>
      <c r="F10" s="15">
        <f>'Exptl Setup'!F8</f>
        <v>32.000999999999998</v>
      </c>
      <c r="G10" s="18">
        <f>'Exptl Setup'!G8</f>
        <v>25.003144583818834</v>
      </c>
      <c r="H10" s="22">
        <v>0</v>
      </c>
      <c r="I10" s="18"/>
      <c r="J10" s="18"/>
      <c r="K10" s="20">
        <v>174.36099999999999</v>
      </c>
      <c r="L10" s="19">
        <v>1097.1189999999999</v>
      </c>
      <c r="M10" s="21"/>
      <c r="N10" s="21"/>
      <c r="O10" s="19"/>
      <c r="P10" s="19"/>
      <c r="Q10" s="311">
        <f>K10*(260.57+(29.91*$H$2))*(1/1000)</f>
        <v>48.729212676320003</v>
      </c>
      <c r="R10">
        <f>((Q10*$H$3*$H$4)/($H$5*$H$6*$F10))*1000</f>
        <v>1773.2979873149345</v>
      </c>
      <c r="S10" s="186">
        <v>16</v>
      </c>
      <c r="T10" s="186" t="s">
        <v>81</v>
      </c>
      <c r="U10" s="187">
        <v>0</v>
      </c>
      <c r="V10" s="188">
        <f>AVERAGE(I13:I14)</f>
        <v>4.79</v>
      </c>
      <c r="W10" s="75"/>
      <c r="X10" s="326" t="s">
        <v>188</v>
      </c>
      <c r="Y10" s="316">
        <v>16</v>
      </c>
      <c r="Z10" s="319">
        <v>24</v>
      </c>
      <c r="AA10" s="319">
        <v>32</v>
      </c>
      <c r="AB10" s="319">
        <v>40</v>
      </c>
      <c r="AC10" s="319">
        <v>48</v>
      </c>
      <c r="AD10" s="316">
        <v>16</v>
      </c>
      <c r="AE10" s="319">
        <v>24</v>
      </c>
      <c r="AF10" s="319">
        <v>32</v>
      </c>
      <c r="AG10" s="319">
        <v>40</v>
      </c>
      <c r="AH10" s="319">
        <v>48</v>
      </c>
      <c r="AI10" s="316">
        <v>16</v>
      </c>
      <c r="AJ10" s="319">
        <v>24</v>
      </c>
      <c r="AK10" s="319">
        <v>32</v>
      </c>
      <c r="AL10" s="319">
        <v>40</v>
      </c>
      <c r="AM10" s="319">
        <v>48</v>
      </c>
      <c r="AN10" s="316">
        <v>16</v>
      </c>
      <c r="AO10" s="319">
        <v>24</v>
      </c>
      <c r="AP10" s="319">
        <v>32</v>
      </c>
      <c r="AQ10" s="319">
        <v>40</v>
      </c>
      <c r="AR10" s="319">
        <v>48</v>
      </c>
      <c r="AS10" s="316">
        <v>16</v>
      </c>
      <c r="AT10" s="319">
        <v>24</v>
      </c>
      <c r="AU10" s="319">
        <v>32</v>
      </c>
      <c r="AV10" s="319">
        <v>40</v>
      </c>
      <c r="AW10" s="319">
        <v>48</v>
      </c>
      <c r="AX10" s="316">
        <v>16</v>
      </c>
      <c r="AY10" s="319">
        <v>24</v>
      </c>
      <c r="AZ10" s="319">
        <v>32</v>
      </c>
      <c r="BA10" s="319">
        <v>40</v>
      </c>
      <c r="BB10" s="319">
        <v>48</v>
      </c>
      <c r="BC10" s="316">
        <v>16</v>
      </c>
      <c r="BD10" s="319">
        <v>24</v>
      </c>
      <c r="BE10" s="319">
        <v>32</v>
      </c>
      <c r="BF10" s="319">
        <v>40</v>
      </c>
      <c r="BG10" s="319">
        <v>48</v>
      </c>
      <c r="BH10" s="316">
        <v>16</v>
      </c>
      <c r="BI10" s="319">
        <v>24</v>
      </c>
      <c r="BJ10" s="319">
        <v>32</v>
      </c>
      <c r="BK10" s="319">
        <v>40</v>
      </c>
      <c r="BL10" s="320">
        <v>48</v>
      </c>
    </row>
    <row r="11" spans="1:64">
      <c r="A11" s="15">
        <f>'Exptl Setup'!A9</f>
        <v>2</v>
      </c>
      <c r="B11" s="15" t="str">
        <f>'Exptl Setup'!B9</f>
        <v>MTT No Till</v>
      </c>
      <c r="C11" s="15" t="str">
        <f>'Exptl Setup'!C9</f>
        <v>b</v>
      </c>
      <c r="D11" s="15">
        <f>'Exptl Setup'!D9</f>
        <v>16</v>
      </c>
      <c r="E11" s="15" t="str">
        <f>'Exptl Setup'!E9</f>
        <v>+</v>
      </c>
      <c r="F11" s="15">
        <f>'Exptl Setup'!F9</f>
        <v>32.003</v>
      </c>
      <c r="G11" s="18">
        <f>'Exptl Setup'!G9</f>
        <v>25.004707231522584</v>
      </c>
      <c r="H11" s="22">
        <v>0</v>
      </c>
      <c r="I11" s="18"/>
      <c r="J11" s="18"/>
      <c r="K11" s="20">
        <v>162.79</v>
      </c>
      <c r="L11" s="19">
        <v>1055.395</v>
      </c>
      <c r="M11" s="21"/>
      <c r="N11" s="21"/>
      <c r="O11" s="19"/>
      <c r="P11" s="19"/>
      <c r="Q11" s="311">
        <f t="shared" ref="Q11:Q74" si="0">K11*(260.57+(29.91*$H$2))*(1/1000)</f>
        <v>45.495429204799997</v>
      </c>
      <c r="R11">
        <f t="shared" ref="R11:R74" si="1">((Q11*$H$3*$H$4)/($H$5*$H$6*$F11))*1000</f>
        <v>1655.5143572678871</v>
      </c>
      <c r="S11" s="186">
        <v>16</v>
      </c>
      <c r="T11" s="186" t="s">
        <v>81</v>
      </c>
      <c r="U11" s="187">
        <v>0</v>
      </c>
      <c r="V11" s="188">
        <f>AVERAGE(I13:I14)</f>
        <v>4.79</v>
      </c>
      <c r="W11" s="75"/>
      <c r="X11" s="321">
        <v>0</v>
      </c>
      <c r="Y11" s="329">
        <v>4.6547466812623381E-2</v>
      </c>
      <c r="Z11" s="330">
        <v>5.5602757725381348E-2</v>
      </c>
      <c r="AA11" s="330">
        <v>5.4160256030887019E-2</v>
      </c>
      <c r="AB11" s="330">
        <v>1.7078251276536092E-2</v>
      </c>
      <c r="AC11" s="330">
        <v>0.10969655114601441</v>
      </c>
      <c r="AD11" s="329">
        <v>7.4550061744174414</v>
      </c>
      <c r="AE11" s="330">
        <v>111.72946701363753</v>
      </c>
      <c r="AF11" s="330">
        <v>23.278033225277184</v>
      </c>
      <c r="AG11" s="330">
        <v>171.91218699717732</v>
      </c>
      <c r="AH11" s="330">
        <v>49.500068582604179</v>
      </c>
      <c r="AI11" s="329">
        <v>112.33178370679623</v>
      </c>
      <c r="AJ11" s="330">
        <v>1043.9952491190948</v>
      </c>
      <c r="AK11" s="330">
        <v>1145.2537969684147</v>
      </c>
      <c r="AL11" s="330">
        <v>869.53649672585345</v>
      </c>
      <c r="AM11" s="330">
        <v>351.18550737236558</v>
      </c>
      <c r="AN11" s="329">
        <v>1.0332836009537745</v>
      </c>
      <c r="AO11" s="330">
        <v>0.17430863432429053</v>
      </c>
      <c r="AP11" s="330">
        <v>0.63332461068554491</v>
      </c>
      <c r="AQ11" s="330">
        <v>0.26470644117588088</v>
      </c>
      <c r="AR11" s="330">
        <v>0.13368972573338109</v>
      </c>
      <c r="AS11" s="329">
        <v>0.13746234332839663</v>
      </c>
      <c r="AT11" s="330">
        <v>0.22323656174560469</v>
      </c>
      <c r="AU11" s="330">
        <v>0.19679367367879805</v>
      </c>
      <c r="AV11" s="330">
        <v>0.28887194394748616</v>
      </c>
      <c r="AW11" s="330">
        <v>0.57365175266300117</v>
      </c>
      <c r="AX11" s="329">
        <v>0.71736966005447245</v>
      </c>
      <c r="AY11" s="330">
        <v>0.45585311504913334</v>
      </c>
      <c r="AZ11" s="330">
        <v>0.99680542860680788</v>
      </c>
      <c r="BA11" s="330">
        <v>0.30526027146245577</v>
      </c>
      <c r="BB11" s="330">
        <v>1.0673300845724021</v>
      </c>
      <c r="BC11" s="329">
        <v>4.3929830411691873</v>
      </c>
      <c r="BD11" s="330">
        <v>3.8882933274124478</v>
      </c>
      <c r="BE11" s="330">
        <v>4.1443726907700107</v>
      </c>
      <c r="BF11" s="330">
        <v>2.620907921567059</v>
      </c>
      <c r="BG11" s="330">
        <v>4.1470099670324263</v>
      </c>
      <c r="BH11" s="322">
        <v>2.5819888974777754E-2</v>
      </c>
      <c r="BI11" s="323">
        <v>0.11474609652039565</v>
      </c>
      <c r="BJ11" s="323">
        <v>4.4347115652262098E-2</v>
      </c>
      <c r="BK11" s="323">
        <v>4.8989794855606478E-2</v>
      </c>
      <c r="BL11" s="324">
        <v>8.0622577482972343E-2</v>
      </c>
    </row>
    <row r="12" spans="1:64">
      <c r="A12" s="15">
        <f>'Exptl Setup'!A10</f>
        <v>3</v>
      </c>
      <c r="B12" s="15" t="str">
        <f>'Exptl Setup'!B10</f>
        <v>MTT No Till</v>
      </c>
      <c r="C12" s="15" t="str">
        <f>'Exptl Setup'!C10</f>
        <v>c</v>
      </c>
      <c r="D12" s="15">
        <f>'Exptl Setup'!D10</f>
        <v>16</v>
      </c>
      <c r="E12" s="15" t="str">
        <f>'Exptl Setup'!E10</f>
        <v>+</v>
      </c>
      <c r="F12" s="15">
        <f>'Exptl Setup'!F10</f>
        <v>31.997</v>
      </c>
      <c r="G12" s="18">
        <f>'Exptl Setup'!G10</f>
        <v>25.000019288411337</v>
      </c>
      <c r="H12" s="22">
        <v>0</v>
      </c>
      <c r="I12" s="18"/>
      <c r="J12" s="18"/>
      <c r="K12" s="20">
        <v>170.678</v>
      </c>
      <c r="L12" s="19">
        <v>1000.239</v>
      </c>
      <c r="M12" s="21"/>
      <c r="N12" s="21"/>
      <c r="O12" s="19"/>
      <c r="P12" s="19"/>
      <c r="Q12" s="311">
        <f t="shared" si="0"/>
        <v>47.699913175360003</v>
      </c>
      <c r="R12">
        <f t="shared" si="1"/>
        <v>1736.0578930800884</v>
      </c>
      <c r="S12" s="186">
        <v>16</v>
      </c>
      <c r="T12" s="186" t="s">
        <v>81</v>
      </c>
      <c r="U12" s="187">
        <v>0</v>
      </c>
      <c r="V12" s="188">
        <f>AVERAGE(I13:I14)</f>
        <v>4.79</v>
      </c>
      <c r="W12" s="75"/>
      <c r="X12" s="282">
        <v>6</v>
      </c>
      <c r="Y12" s="280">
        <v>6.4807406984057903E-2</v>
      </c>
      <c r="Z12" s="281">
        <v>1.0000000000165982E-2</v>
      </c>
      <c r="AA12" s="281">
        <v>2.0615528128258152E-2</v>
      </c>
      <c r="AB12" s="281">
        <v>5.2915026221274912E-2</v>
      </c>
      <c r="AC12" s="281">
        <v>1.732050807542929E-2</v>
      </c>
      <c r="AD12" s="280">
        <v>31.834829601992176</v>
      </c>
      <c r="AE12" s="281">
        <v>1.2716975054841249</v>
      </c>
      <c r="AF12" s="281">
        <v>0.98058910478560946</v>
      </c>
      <c r="AG12" s="281">
        <v>111.41081480174122</v>
      </c>
      <c r="AH12" s="281">
        <v>106.35225097940507</v>
      </c>
      <c r="AI12" s="280">
        <v>149.93600618769349</v>
      </c>
      <c r="AJ12" s="281">
        <v>2004.4334751460551</v>
      </c>
      <c r="AK12" s="281">
        <v>1100.9719343954425</v>
      </c>
      <c r="AL12" s="281">
        <v>1345.9795471440561</v>
      </c>
      <c r="AM12" s="281">
        <v>3273.8507398749121</v>
      </c>
      <c r="AN12" s="280">
        <v>5.6923728210064861E-2</v>
      </c>
      <c r="AO12" s="281">
        <v>1.8496773367266021E-2</v>
      </c>
      <c r="AP12" s="281">
        <v>4.8688003313615981E-2</v>
      </c>
      <c r="AQ12" s="281">
        <v>7.2838800328762762E-2</v>
      </c>
      <c r="AR12" s="281">
        <v>4.7544032222772044E-2</v>
      </c>
      <c r="AS12" s="280">
        <v>0.19197981664747885</v>
      </c>
      <c r="AT12" s="281">
        <v>0.39408120990477469</v>
      </c>
      <c r="AU12" s="281">
        <v>0.10419332992077592</v>
      </c>
      <c r="AV12" s="281">
        <v>0.22731677603435094</v>
      </c>
      <c r="AW12" s="281">
        <v>0.87627407242256261</v>
      </c>
      <c r="AX12" s="280">
        <v>1.3622765177574336</v>
      </c>
      <c r="AY12" s="281">
        <v>3.4932556484818864</v>
      </c>
      <c r="AZ12" s="281">
        <v>2.4485443262835855</v>
      </c>
      <c r="BA12" s="281">
        <v>1.4012483600691275</v>
      </c>
      <c r="BB12" s="281">
        <v>2.2098945026021219</v>
      </c>
      <c r="BC12" s="280">
        <v>9.3658955791745377</v>
      </c>
      <c r="BD12" s="281">
        <v>13.960987309881048</v>
      </c>
      <c r="BE12" s="281">
        <v>25.004132991700896</v>
      </c>
      <c r="BF12" s="281">
        <v>12.77350774063393</v>
      </c>
      <c r="BG12" s="281">
        <v>12.470331457769532</v>
      </c>
      <c r="BH12" s="258">
        <v>4.9999999999929892E-2</v>
      </c>
      <c r="BI12" s="259">
        <v>9.9331096171702923E-2</v>
      </c>
      <c r="BJ12" s="259">
        <v>5.416025603084329E-2</v>
      </c>
      <c r="BK12" s="259">
        <v>5.9721576223856543E-2</v>
      </c>
      <c r="BL12" s="260">
        <v>9.2915732431788495E-2</v>
      </c>
    </row>
    <row r="13" spans="1:64">
      <c r="A13" s="15">
        <f>'Exptl Setup'!A11</f>
        <v>4</v>
      </c>
      <c r="B13" s="15" t="str">
        <f>'Exptl Setup'!B11</f>
        <v>MTT No Till</v>
      </c>
      <c r="C13" s="15" t="str">
        <f>'Exptl Setup'!C11</f>
        <v>d</v>
      </c>
      <c r="D13" s="15">
        <f>'Exptl Setup'!D11</f>
        <v>16</v>
      </c>
      <c r="E13" s="15" t="str">
        <f>'Exptl Setup'!E11</f>
        <v>+</v>
      </c>
      <c r="F13" s="15">
        <f>'Exptl Setup'!F11</f>
        <v>31.997</v>
      </c>
      <c r="G13" s="18">
        <f>'Exptl Setup'!G11</f>
        <v>25.000019288411337</v>
      </c>
      <c r="H13" s="22">
        <v>0</v>
      </c>
      <c r="I13" s="18">
        <v>4.75</v>
      </c>
      <c r="J13" s="18">
        <v>4.96</v>
      </c>
      <c r="K13" s="20">
        <v>165.922</v>
      </c>
      <c r="L13" s="19">
        <v>1003.3819999999999</v>
      </c>
      <c r="M13" s="19">
        <v>6.8400000000000007</v>
      </c>
      <c r="N13" s="19">
        <v>1.9750000000000001</v>
      </c>
      <c r="O13" s="19">
        <v>2.5599999999999996</v>
      </c>
      <c r="P13" s="19">
        <v>37.21</v>
      </c>
      <c r="Q13" s="311">
        <f t="shared" si="0"/>
        <v>46.370739016640002</v>
      </c>
      <c r="R13">
        <f t="shared" si="1"/>
        <v>1687.6820547207865</v>
      </c>
      <c r="S13" s="186">
        <v>16</v>
      </c>
      <c r="T13" s="186" t="s">
        <v>81</v>
      </c>
      <c r="U13" s="187">
        <v>5.9996203593550685</v>
      </c>
      <c r="V13" s="188">
        <f>AVERAGE(I19:I20)</f>
        <v>6.52</v>
      </c>
      <c r="W13" s="75"/>
      <c r="X13" s="282">
        <v>16</v>
      </c>
      <c r="Y13" s="280">
        <v>3.1622776601309903E-2</v>
      </c>
      <c r="Z13" s="281">
        <v>6.164414002963714E-2</v>
      </c>
      <c r="AA13" s="281">
        <v>5.71547606650607E-2</v>
      </c>
      <c r="AB13" s="281">
        <v>8.2865352631158157E-2</v>
      </c>
      <c r="AC13" s="281">
        <v>5.3774219349617861E-2</v>
      </c>
      <c r="AD13" s="280">
        <v>0.29677267853910172</v>
      </c>
      <c r="AE13" s="281">
        <v>2.247414797656925</v>
      </c>
      <c r="AF13" s="281">
        <v>0.19786083263473117</v>
      </c>
      <c r="AG13" s="281">
        <v>0.11194760002570465</v>
      </c>
      <c r="AH13" s="281">
        <v>0.64555671886576105</v>
      </c>
      <c r="AI13" s="280">
        <v>16.732027788092921</v>
      </c>
      <c r="AJ13" s="281">
        <v>107.28181538822204</v>
      </c>
      <c r="AK13" s="281">
        <v>1195.181166699452</v>
      </c>
      <c r="AL13" s="281">
        <v>213.12207121585092</v>
      </c>
      <c r="AM13" s="281">
        <v>931.01144190421246</v>
      </c>
      <c r="AN13" s="280">
        <v>0.25311394008771654</v>
      </c>
      <c r="AO13" s="281">
        <v>0.25084573612747424</v>
      </c>
      <c r="AP13" s="281">
        <v>0.52242407741858776</v>
      </c>
      <c r="AQ13" s="281">
        <v>0.29944559884337252</v>
      </c>
      <c r="AR13" s="281">
        <v>0.43839137765244524</v>
      </c>
      <c r="AS13" s="280">
        <v>0.72706602176132817</v>
      </c>
      <c r="AT13" s="281">
        <v>1.3897361859959934</v>
      </c>
      <c r="AU13" s="281">
        <v>2.953619248763601</v>
      </c>
      <c r="AV13" s="281">
        <v>2.2488719394397858</v>
      </c>
      <c r="AW13" s="281">
        <v>3.0078716173843167</v>
      </c>
      <c r="AX13" s="280">
        <v>51.234325326548735</v>
      </c>
      <c r="AY13" s="281">
        <v>22.443548447530983</v>
      </c>
      <c r="AZ13" s="281">
        <v>13.420069557074516</v>
      </c>
      <c r="BA13" s="281">
        <v>41.393622729433083</v>
      </c>
      <c r="BB13" s="281">
        <v>26.241937212536346</v>
      </c>
      <c r="BC13" s="280">
        <v>105.95753866525968</v>
      </c>
      <c r="BD13" s="281">
        <v>322.84193758969212</v>
      </c>
      <c r="BE13" s="281">
        <v>147.54547321645171</v>
      </c>
      <c r="BF13" s="281">
        <v>232.46290026582736</v>
      </c>
      <c r="BG13" s="281">
        <v>145.66714340120311</v>
      </c>
      <c r="BH13" s="258">
        <v>0.10132456102380323</v>
      </c>
      <c r="BI13" s="259">
        <v>0.16329931618552895</v>
      </c>
      <c r="BJ13" s="259">
        <v>0.11135528725666211</v>
      </c>
      <c r="BK13" s="259">
        <v>3.4641016151405551E-2</v>
      </c>
      <c r="BL13" s="260">
        <v>0.21377558326430027</v>
      </c>
    </row>
    <row r="14" spans="1:64">
      <c r="A14" s="15">
        <f>'Exptl Setup'!A12</f>
        <v>5</v>
      </c>
      <c r="B14" s="15" t="str">
        <f>'Exptl Setup'!B12</f>
        <v>MTT No Till</v>
      </c>
      <c r="C14" s="15" t="str">
        <f>'Exptl Setup'!C12</f>
        <v>e</v>
      </c>
      <c r="D14" s="15">
        <f>'Exptl Setup'!D12</f>
        <v>16</v>
      </c>
      <c r="E14" s="15" t="str">
        <f>'Exptl Setup'!E12</f>
        <v>+</v>
      </c>
      <c r="F14" s="15">
        <f>'Exptl Setup'!F12</f>
        <v>32.008000000000003</v>
      </c>
      <c r="G14" s="18">
        <f>'Exptl Setup'!G12</f>
        <v>25.008613850781956</v>
      </c>
      <c r="H14" s="22">
        <v>0</v>
      </c>
      <c r="I14" s="18">
        <v>4.83</v>
      </c>
      <c r="J14" s="18">
        <v>5</v>
      </c>
      <c r="K14" s="20">
        <v>156.63900000000001</v>
      </c>
      <c r="L14" s="19">
        <v>925.07799999999997</v>
      </c>
      <c r="M14" s="19">
        <v>5.2200000000000006</v>
      </c>
      <c r="N14" s="19">
        <v>1.8074999999999999</v>
      </c>
      <c r="O14" s="19">
        <v>3.6274999999999995</v>
      </c>
      <c r="P14" s="19">
        <v>41.39</v>
      </c>
      <c r="Q14" s="311">
        <f t="shared" si="0"/>
        <v>43.776390043680003</v>
      </c>
      <c r="R14">
        <f t="shared" si="1"/>
        <v>1592.7121142573044</v>
      </c>
      <c r="S14" s="186">
        <v>16</v>
      </c>
      <c r="T14" s="186" t="s">
        <v>81</v>
      </c>
      <c r="U14" s="187">
        <v>5.9988704771116099</v>
      </c>
      <c r="V14" s="188">
        <f>AVERAGE(I19:I20)</f>
        <v>6.52</v>
      </c>
      <c r="W14" s="75"/>
      <c r="X14" s="325">
        <v>20</v>
      </c>
      <c r="Y14" s="283">
        <v>0.22435091560610784</v>
      </c>
      <c r="Z14" s="284">
        <v>0.15755951256595455</v>
      </c>
      <c r="AA14" s="284">
        <v>2.3629078131103948E-2</v>
      </c>
      <c r="AB14" s="284">
        <v>7.7888809636941003E-2</v>
      </c>
      <c r="AC14" s="284">
        <v>4.3204937989225749E-2</v>
      </c>
      <c r="AD14" s="283">
        <v>0.42904075528668573</v>
      </c>
      <c r="AE14" s="284">
        <v>0.18480456507545259</v>
      </c>
      <c r="AF14" s="284">
        <v>0.41597584246582336</v>
      </c>
      <c r="AG14" s="284">
        <v>0.25344336227012876</v>
      </c>
      <c r="AH14" s="284">
        <v>1.6474667858885836</v>
      </c>
      <c r="AI14" s="283">
        <v>14.101366330478839</v>
      </c>
      <c r="AJ14" s="284">
        <v>55.412827495904864</v>
      </c>
      <c r="AK14" s="284">
        <v>45.589448116180229</v>
      </c>
      <c r="AL14" s="284">
        <v>26.15028493789945</v>
      </c>
      <c r="AM14" s="284">
        <v>135.1496654220681</v>
      </c>
      <c r="AN14" s="283">
        <v>0.53435319156273531</v>
      </c>
      <c r="AO14" s="284">
        <v>0.41812079594305673</v>
      </c>
      <c r="AP14" s="284">
        <v>1.1439259882819763</v>
      </c>
      <c r="AQ14" s="284">
        <v>0.32458948432338103</v>
      </c>
      <c r="AR14" s="284">
        <v>1.0823899482164447</v>
      </c>
      <c r="AS14" s="283">
        <v>1.4223308335263671</v>
      </c>
      <c r="AT14" s="284">
        <v>0.71616455278559754</v>
      </c>
      <c r="AU14" s="284">
        <v>2.0174819288738637</v>
      </c>
      <c r="AV14" s="284">
        <v>0.87511427825158827</v>
      </c>
      <c r="AW14" s="284">
        <v>1.0081129235689832</v>
      </c>
      <c r="AX14" s="283">
        <v>37.300407839593952</v>
      </c>
      <c r="AY14" s="284">
        <v>57.061256558193357</v>
      </c>
      <c r="AZ14" s="284">
        <v>73.61312767887739</v>
      </c>
      <c r="BA14" s="284">
        <v>185.82697992128789</v>
      </c>
      <c r="BB14" s="284">
        <v>97.605495574446849</v>
      </c>
      <c r="BC14" s="283">
        <v>800.5085883361902</v>
      </c>
      <c r="BD14" s="284">
        <v>2038.789346646681</v>
      </c>
      <c r="BE14" s="284">
        <v>1028.8428370423412</v>
      </c>
      <c r="BF14" s="284">
        <v>786.00190839462982</v>
      </c>
      <c r="BG14" s="284">
        <v>498.51069864815003</v>
      </c>
      <c r="BH14" s="266">
        <v>0.20808652046686457</v>
      </c>
      <c r="BI14" s="267">
        <v>9.5742710775639742E-2</v>
      </c>
      <c r="BJ14" s="267">
        <v>9.8488578017912415E-2</v>
      </c>
      <c r="BK14" s="267">
        <v>0.1526433752247264</v>
      </c>
      <c r="BL14" s="268">
        <v>5.0000000000072001E-2</v>
      </c>
    </row>
    <row r="15" spans="1:64">
      <c r="A15" s="15">
        <f>'Exptl Setup'!A13</f>
        <v>6</v>
      </c>
      <c r="B15" s="15" t="str">
        <f>'Exptl Setup'!B13</f>
        <v>MTT No Till</v>
      </c>
      <c r="C15" s="15" t="str">
        <f>'Exptl Setup'!C13</f>
        <v>f</v>
      </c>
      <c r="D15" s="15">
        <f>'Exptl Setup'!D13</f>
        <v>16</v>
      </c>
      <c r="E15" s="15" t="str">
        <f>'Exptl Setup'!E13</f>
        <v>+</v>
      </c>
      <c r="F15" s="15">
        <f>'Exptl Setup'!F13</f>
        <v>31.997</v>
      </c>
      <c r="G15" s="18">
        <f>'Exptl Setup'!G13</f>
        <v>25.000019288411337</v>
      </c>
      <c r="H15" s="22">
        <v>0</v>
      </c>
      <c r="I15" s="18"/>
      <c r="J15" s="18"/>
      <c r="K15" s="20">
        <v>165.90600000000001</v>
      </c>
      <c r="L15" s="19">
        <v>1091.9749999999999</v>
      </c>
      <c r="M15" s="21"/>
      <c r="N15" s="21"/>
      <c r="O15" s="19"/>
      <c r="P15" s="19"/>
      <c r="Q15" s="311">
        <f t="shared" si="0"/>
        <v>46.366267446720002</v>
      </c>
      <c r="R15">
        <f t="shared" si="1"/>
        <v>1687.5193101005705</v>
      </c>
      <c r="S15" s="186">
        <v>16</v>
      </c>
      <c r="T15" s="186" t="s">
        <v>81</v>
      </c>
      <c r="U15" s="187">
        <v>5.9979333878718704</v>
      </c>
      <c r="V15" s="188">
        <f>AVERAGE(I19:I20)</f>
        <v>6.52</v>
      </c>
      <c r="W15" s="7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64">
      <c r="A16" s="15">
        <f>'Exptl Setup'!A14</f>
        <v>7</v>
      </c>
      <c r="B16" s="15" t="str">
        <f>'Exptl Setup'!B14</f>
        <v>MTT No Till</v>
      </c>
      <c r="C16" s="15" t="str">
        <f>'Exptl Setup'!C14</f>
        <v>a</v>
      </c>
      <c r="D16" s="15">
        <f>'Exptl Setup'!D14</f>
        <v>16</v>
      </c>
      <c r="E16" s="15" t="str">
        <f>'Exptl Setup'!E14</f>
        <v>+</v>
      </c>
      <c r="F16" s="15">
        <f>'Exptl Setup'!F14</f>
        <v>31.997</v>
      </c>
      <c r="G16" s="18">
        <f>'Exptl Setup'!G14</f>
        <v>25.000019288411337</v>
      </c>
      <c r="H16" s="22">
        <v>6</v>
      </c>
      <c r="I16" s="18"/>
      <c r="J16" s="18"/>
      <c r="K16" s="20">
        <v>148.60400000000001</v>
      </c>
      <c r="L16" s="19">
        <v>1994.4760000000001</v>
      </c>
      <c r="M16" s="19"/>
      <c r="N16" s="19"/>
      <c r="O16" s="19"/>
      <c r="P16" s="19"/>
      <c r="Q16" s="311">
        <f t="shared" si="0"/>
        <v>41.530823524480006</v>
      </c>
      <c r="R16">
        <f t="shared" si="1"/>
        <v>1511.531346414145</v>
      </c>
      <c r="S16" s="186">
        <v>16</v>
      </c>
      <c r="T16" s="186" t="s">
        <v>81</v>
      </c>
      <c r="U16" s="187">
        <v>15.999987655426267</v>
      </c>
      <c r="V16" s="188">
        <f>AVERAGE(I25:I26)</f>
        <v>8.2100000000000009</v>
      </c>
      <c r="W16" s="75"/>
      <c r="X16" s="314" t="s">
        <v>205</v>
      </c>
      <c r="Y16" s="314" t="s">
        <v>189</v>
      </c>
      <c r="Z16" s="299"/>
      <c r="AA16" s="299"/>
      <c r="AB16" s="299"/>
      <c r="AC16" s="296"/>
      <c r="AD16" s="230"/>
      <c r="AE16" s="230"/>
      <c r="AF16" s="230"/>
      <c r="AG16" s="230"/>
      <c r="AH16" s="230"/>
      <c r="AI16" s="230"/>
      <c r="AJ16" s="230"/>
      <c r="AK16" s="230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>
      <c r="A17" s="15">
        <f>'Exptl Setup'!A15</f>
        <v>8</v>
      </c>
      <c r="B17" s="15" t="str">
        <f>'Exptl Setup'!B15</f>
        <v>MTT No Till</v>
      </c>
      <c r="C17" s="15" t="str">
        <f>'Exptl Setup'!C15</f>
        <v>b</v>
      </c>
      <c r="D17" s="15">
        <f>'Exptl Setup'!D15</f>
        <v>16</v>
      </c>
      <c r="E17" s="15" t="str">
        <f>'Exptl Setup'!E15</f>
        <v>+</v>
      </c>
      <c r="F17" s="15">
        <f>'Exptl Setup'!F15</f>
        <v>32.003999999999998</v>
      </c>
      <c r="G17" s="18">
        <f>'Exptl Setup'!G15</f>
        <v>25.005488555374455</v>
      </c>
      <c r="H17" s="22">
        <v>6</v>
      </c>
      <c r="I17" s="18"/>
      <c r="J17" s="18"/>
      <c r="K17" s="20">
        <v>136.786</v>
      </c>
      <c r="L17" s="19">
        <v>1791.2840000000001</v>
      </c>
      <c r="M17" s="19"/>
      <c r="N17" s="19"/>
      <c r="O17" s="19"/>
      <c r="P17" s="19"/>
      <c r="Q17" s="311">
        <f t="shared" si="0"/>
        <v>38.228010192319999</v>
      </c>
      <c r="R17">
        <f t="shared" si="1"/>
        <v>1391.0197871989669</v>
      </c>
      <c r="S17" s="186">
        <v>16</v>
      </c>
      <c r="T17" s="186" t="s">
        <v>81</v>
      </c>
      <c r="U17" s="187">
        <v>16.000987810929029</v>
      </c>
      <c r="V17" s="188">
        <f>AVERAGE(I25:I26)</f>
        <v>8.2100000000000009</v>
      </c>
      <c r="W17" s="75"/>
      <c r="X17" s="314" t="s">
        <v>188</v>
      </c>
      <c r="Y17" s="331">
        <v>0</v>
      </c>
      <c r="Z17" s="305">
        <v>6</v>
      </c>
      <c r="AA17" s="305">
        <v>16</v>
      </c>
      <c r="AB17" s="305">
        <v>20</v>
      </c>
      <c r="AC17" s="332" t="s">
        <v>199</v>
      </c>
      <c r="AD17" s="230"/>
      <c r="AE17" s="230"/>
      <c r="AF17" s="230"/>
      <c r="AG17" s="230"/>
      <c r="AH17" s="230"/>
      <c r="AI17" s="230"/>
      <c r="AJ17" s="230"/>
      <c r="AK17" s="230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>
      <c r="A18" s="15">
        <f>'Exptl Setup'!A16</f>
        <v>9</v>
      </c>
      <c r="B18" s="15" t="str">
        <f>'Exptl Setup'!B16</f>
        <v>MTT No Till</v>
      </c>
      <c r="C18" s="15" t="str">
        <f>'Exptl Setup'!C16</f>
        <v>c</v>
      </c>
      <c r="D18" s="15">
        <f>'Exptl Setup'!D16</f>
        <v>16</v>
      </c>
      <c r="E18" s="15" t="str">
        <f>'Exptl Setup'!E16</f>
        <v>+</v>
      </c>
      <c r="F18" s="15">
        <f>'Exptl Setup'!F16</f>
        <v>32.01</v>
      </c>
      <c r="G18" s="18">
        <f>'Exptl Setup'!G16</f>
        <v>25.010176498485698</v>
      </c>
      <c r="H18" s="22">
        <v>6</v>
      </c>
      <c r="I18" s="18"/>
      <c r="J18" s="23"/>
      <c r="K18" s="20">
        <v>70.864000000000004</v>
      </c>
      <c r="L18" s="19">
        <v>2023.34</v>
      </c>
      <c r="M18" s="19"/>
      <c r="N18" s="19"/>
      <c r="O18" s="19"/>
      <c r="P18" s="19"/>
      <c r="Q18" s="311">
        <f t="shared" si="0"/>
        <v>19.804583175680001</v>
      </c>
      <c r="R18">
        <f t="shared" si="1"/>
        <v>720.50319107310463</v>
      </c>
      <c r="S18" s="186">
        <v>16</v>
      </c>
      <c r="T18" s="186" t="s">
        <v>81</v>
      </c>
      <c r="U18" s="187">
        <v>15.998487656583571</v>
      </c>
      <c r="V18" s="188">
        <f>AVERAGE(I25:I26)</f>
        <v>8.2100000000000009</v>
      </c>
      <c r="W18" s="75"/>
      <c r="X18" s="333">
        <v>16</v>
      </c>
      <c r="Y18" s="315">
        <v>75.906106274375759</v>
      </c>
      <c r="Z18" s="301">
        <v>323.79483064055421</v>
      </c>
      <c r="AA18" s="301">
        <v>3.0184428409497528</v>
      </c>
      <c r="AB18" s="301">
        <v>4.3631269101554944</v>
      </c>
      <c r="AC18" s="334">
        <v>709.15569059103859</v>
      </c>
      <c r="AD18" s="230"/>
      <c r="AE18" s="230"/>
      <c r="AF18" s="230"/>
      <c r="AG18" s="230"/>
      <c r="AH18" s="230"/>
      <c r="AI18" s="230"/>
      <c r="AJ18" s="230"/>
      <c r="AK18" s="230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>
      <c r="A19" s="15">
        <f>'Exptl Setup'!A17</f>
        <v>10</v>
      </c>
      <c r="B19" s="15" t="str">
        <f>'Exptl Setup'!B17</f>
        <v>MTT No Till</v>
      </c>
      <c r="C19" s="15" t="str">
        <f>'Exptl Setup'!C17</f>
        <v>d</v>
      </c>
      <c r="D19" s="15">
        <f>'Exptl Setup'!D17</f>
        <v>16</v>
      </c>
      <c r="E19" s="15" t="str">
        <f>'Exptl Setup'!E17</f>
        <v>+</v>
      </c>
      <c r="F19" s="15">
        <f>'Exptl Setup'!F17</f>
        <v>31.998999999999999</v>
      </c>
      <c r="G19" s="18">
        <f>'Exptl Setup'!G17</f>
        <v>25.001581936115088</v>
      </c>
      <c r="H19" s="22">
        <v>6</v>
      </c>
      <c r="I19" s="18">
        <v>6.5</v>
      </c>
      <c r="J19" s="18">
        <v>4.4400000000000004</v>
      </c>
      <c r="K19" s="20">
        <v>78.820999999999998</v>
      </c>
      <c r="L19" s="19">
        <v>1878.4480000000001</v>
      </c>
      <c r="M19" s="19">
        <v>0.31609999999999999</v>
      </c>
      <c r="N19" s="19">
        <v>5.1749999999999998</v>
      </c>
      <c r="O19" s="19">
        <v>17.053900000000002</v>
      </c>
      <c r="P19" s="19">
        <v>233.79999999999998</v>
      </c>
      <c r="Q19" s="311">
        <f t="shared" si="0"/>
        <v>22.028350791519998</v>
      </c>
      <c r="R19">
        <f t="shared" si="1"/>
        <v>801.68074713493547</v>
      </c>
      <c r="S19" s="186">
        <v>16</v>
      </c>
      <c r="T19" s="186" t="s">
        <v>81</v>
      </c>
      <c r="U19" s="187">
        <v>19.994985354267858</v>
      </c>
      <c r="V19" s="188">
        <f>AVERAGE(I31:I32)</f>
        <v>8.85</v>
      </c>
      <c r="W19" s="75"/>
      <c r="X19" s="293">
        <v>24</v>
      </c>
      <c r="Y19" s="297">
        <v>1136.382281651755</v>
      </c>
      <c r="Z19" s="302">
        <v>12.93493707415066</v>
      </c>
      <c r="AA19" s="302">
        <v>22.856665546562457</v>
      </c>
      <c r="AB19" s="302">
        <v>1.8797663671878519</v>
      </c>
      <c r="AC19" s="294">
        <v>1645.088665338083</v>
      </c>
      <c r="AD19" s="230"/>
      <c r="AE19" s="230"/>
      <c r="AF19" s="230"/>
      <c r="AG19" s="230"/>
      <c r="AH19" s="230"/>
      <c r="AI19" s="230"/>
      <c r="AJ19" s="230"/>
      <c r="AK19" s="230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>
      <c r="A20" s="15">
        <f>'Exptl Setup'!A18</f>
        <v>11</v>
      </c>
      <c r="B20" s="15" t="str">
        <f>'Exptl Setup'!B18</f>
        <v>MTT No Till</v>
      </c>
      <c r="C20" s="15" t="str">
        <f>'Exptl Setup'!C18</f>
        <v>e</v>
      </c>
      <c r="D20" s="15">
        <f>'Exptl Setup'!D18</f>
        <v>16</v>
      </c>
      <c r="E20" s="15" t="str">
        <f>'Exptl Setup'!E18</f>
        <v>+</v>
      </c>
      <c r="F20" s="15">
        <f>'Exptl Setup'!F18</f>
        <v>32.003</v>
      </c>
      <c r="G20" s="18">
        <f>'Exptl Setup'!G18</f>
        <v>25.004707231522584</v>
      </c>
      <c r="H20" s="22">
        <v>6</v>
      </c>
      <c r="I20" s="18">
        <v>6.54</v>
      </c>
      <c r="J20" s="18">
        <v>4.5</v>
      </c>
      <c r="K20" s="20">
        <v>115.596</v>
      </c>
      <c r="L20" s="19">
        <v>1865.3019999999999</v>
      </c>
      <c r="M20" s="19">
        <v>0.22474999999999998</v>
      </c>
      <c r="N20" s="19">
        <v>5.4450000000000003</v>
      </c>
      <c r="O20" s="19">
        <v>18.61525</v>
      </c>
      <c r="P20" s="19">
        <v>221.4</v>
      </c>
      <c r="Q20" s="311">
        <f t="shared" si="0"/>
        <v>32.30597477952</v>
      </c>
      <c r="R20">
        <f t="shared" si="1"/>
        <v>1175.5687551000594</v>
      </c>
      <c r="S20" s="186">
        <v>16</v>
      </c>
      <c r="T20" s="186" t="s">
        <v>81</v>
      </c>
      <c r="U20" s="187">
        <v>20.003110348316543</v>
      </c>
      <c r="V20" s="188">
        <f>AVERAGE(I31:I32)</f>
        <v>8.85</v>
      </c>
      <c r="W20" s="75"/>
      <c r="X20" s="293">
        <v>32</v>
      </c>
      <c r="Y20" s="297">
        <v>236.82148829396169</v>
      </c>
      <c r="Z20" s="302">
        <v>9.9747303174662196</v>
      </c>
      <c r="AA20" s="302">
        <v>2.0126119123851502</v>
      </c>
      <c r="AB20" s="302">
        <v>4.2313171294652578</v>
      </c>
      <c r="AC20" s="294">
        <v>1930.4065972689807</v>
      </c>
      <c r="AD20" s="270"/>
      <c r="AE20" s="270"/>
      <c r="AF20" s="270"/>
      <c r="AG20" s="270"/>
      <c r="AH20" s="270"/>
      <c r="AI20" s="270"/>
      <c r="AJ20" s="270"/>
      <c r="AK20" s="23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>
      <c r="A21" s="15">
        <f>'Exptl Setup'!A19</f>
        <v>12</v>
      </c>
      <c r="B21" s="15" t="str">
        <f>'Exptl Setup'!B19</f>
        <v>MTT No Till</v>
      </c>
      <c r="C21" s="15" t="str">
        <f>'Exptl Setup'!C19</f>
        <v>f</v>
      </c>
      <c r="D21" s="15">
        <f>'Exptl Setup'!D19</f>
        <v>16</v>
      </c>
      <c r="E21" s="15" t="str">
        <f>'Exptl Setup'!E19</f>
        <v>+</v>
      </c>
      <c r="F21" s="15">
        <f>'Exptl Setup'!F19</f>
        <v>32.008000000000003</v>
      </c>
      <c r="G21" s="18">
        <f>'Exptl Setup'!G19</f>
        <v>25.008613850781956</v>
      </c>
      <c r="H21" s="22">
        <v>6</v>
      </c>
      <c r="I21" s="18"/>
      <c r="J21" s="18"/>
      <c r="K21" s="20">
        <v>60.183</v>
      </c>
      <c r="L21" s="19">
        <v>1886.7360000000001</v>
      </c>
      <c r="M21" s="19"/>
      <c r="N21" s="19"/>
      <c r="O21" s="19"/>
      <c r="P21" s="19"/>
      <c r="Q21" s="311">
        <f t="shared" si="0"/>
        <v>16.819530780959997</v>
      </c>
      <c r="R21">
        <f t="shared" si="1"/>
        <v>611.94334215838546</v>
      </c>
      <c r="S21" s="186">
        <v>16</v>
      </c>
      <c r="T21" s="186" t="s">
        <v>81</v>
      </c>
      <c r="U21" s="187">
        <v>20.001234763661284</v>
      </c>
      <c r="V21" s="188">
        <f>AVERAGE(I31:I32)</f>
        <v>8.85</v>
      </c>
      <c r="W21" s="75"/>
      <c r="X21" s="293">
        <v>40</v>
      </c>
      <c r="Y21" s="297">
        <v>1748.4878369439944</v>
      </c>
      <c r="Z21" s="302">
        <v>1133.3620286844236</v>
      </c>
      <c r="AA21" s="302">
        <v>1.1384609874308043</v>
      </c>
      <c r="AB21" s="302">
        <v>2.5781516227793233</v>
      </c>
      <c r="AC21" s="294">
        <v>2535.4357834754123</v>
      </c>
      <c r="AD21" s="270"/>
      <c r="AE21" s="270"/>
      <c r="AF21" s="270"/>
      <c r="AG21" s="270"/>
      <c r="AH21" s="270"/>
      <c r="AI21" s="270"/>
      <c r="AJ21" s="270"/>
      <c r="AK21" s="230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>
      <c r="A22" s="15">
        <f>'Exptl Setup'!A20</f>
        <v>13</v>
      </c>
      <c r="B22" s="15" t="str">
        <f>'Exptl Setup'!B20</f>
        <v>MTT No Till</v>
      </c>
      <c r="C22" s="15" t="str">
        <f>'Exptl Setup'!C20</f>
        <v>a</v>
      </c>
      <c r="D22" s="15">
        <f>'Exptl Setup'!D20</f>
        <v>16</v>
      </c>
      <c r="E22" s="15" t="str">
        <f>'Exptl Setup'!E20</f>
        <v>+</v>
      </c>
      <c r="F22" s="15">
        <f>'Exptl Setup'!F20</f>
        <v>32</v>
      </c>
      <c r="G22" s="18">
        <f>'Exptl Setup'!G20</f>
        <v>25.002363259966963</v>
      </c>
      <c r="H22" s="22">
        <v>16</v>
      </c>
      <c r="I22" s="18"/>
      <c r="J22" s="18"/>
      <c r="K22" s="20">
        <v>1.3540000000000001</v>
      </c>
      <c r="L22" s="19">
        <v>92.308000000000007</v>
      </c>
      <c r="M22" s="19"/>
      <c r="N22" s="19"/>
      <c r="O22" s="19"/>
      <c r="P22" s="19"/>
      <c r="Q22" s="311">
        <f t="shared" si="0"/>
        <v>0.37840660448000002</v>
      </c>
      <c r="R22">
        <f t="shared" si="1"/>
        <v>13.77097233610446</v>
      </c>
      <c r="S22" s="186">
        <v>16</v>
      </c>
      <c r="T22" s="186" t="s">
        <v>82</v>
      </c>
      <c r="U22" s="187">
        <v>0</v>
      </c>
      <c r="V22" s="188">
        <f>AVERAGE(I37:I38)</f>
        <v>4.74</v>
      </c>
      <c r="W22" s="75"/>
      <c r="X22" s="293">
        <v>48</v>
      </c>
      <c r="Y22" s="297">
        <v>503.4540371637641</v>
      </c>
      <c r="Z22" s="302">
        <v>1081.6986060337249</v>
      </c>
      <c r="AA22" s="302">
        <v>6.5665214624537969</v>
      </c>
      <c r="AB22" s="302">
        <v>16.753426059723356</v>
      </c>
      <c r="AC22" s="294">
        <v>2989.3324509444833</v>
      </c>
      <c r="AD22" s="270"/>
      <c r="AE22" s="270"/>
      <c r="AF22" s="270"/>
      <c r="AG22" s="270"/>
      <c r="AH22" s="270"/>
      <c r="AI22" s="270"/>
      <c r="AJ22" s="270"/>
      <c r="AK22" s="230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>
      <c r="A23" s="15">
        <f>'Exptl Setup'!A21</f>
        <v>14</v>
      </c>
      <c r="B23" s="15" t="str">
        <f>'Exptl Setup'!B21</f>
        <v>MTT No Till</v>
      </c>
      <c r="C23" s="15" t="str">
        <f>'Exptl Setup'!C21</f>
        <v>b</v>
      </c>
      <c r="D23" s="15">
        <f>'Exptl Setup'!D21</f>
        <v>16</v>
      </c>
      <c r="E23" s="15" t="str">
        <f>'Exptl Setup'!E21</f>
        <v>+</v>
      </c>
      <c r="F23" s="15">
        <f>'Exptl Setup'!F21</f>
        <v>31.995000000000001</v>
      </c>
      <c r="G23" s="18">
        <f>'Exptl Setup'!G21</f>
        <v>24.998456640707591</v>
      </c>
      <c r="H23" s="22">
        <v>16</v>
      </c>
      <c r="I23" s="18"/>
      <c r="J23" s="23"/>
      <c r="K23" s="20">
        <v>1.1659999999999999</v>
      </c>
      <c r="L23" s="19">
        <v>95.450999999999993</v>
      </c>
      <c r="M23" s="19"/>
      <c r="N23" s="19"/>
      <c r="O23" s="19"/>
      <c r="P23" s="19"/>
      <c r="Q23" s="311">
        <f t="shared" si="0"/>
        <v>0.32586565792</v>
      </c>
      <c r="R23">
        <f t="shared" si="1"/>
        <v>11.860755564990413</v>
      </c>
      <c r="S23" s="186">
        <v>16</v>
      </c>
      <c r="T23" s="186" t="s">
        <v>82</v>
      </c>
      <c r="U23" s="187">
        <v>0</v>
      </c>
      <c r="V23" s="188">
        <f>AVERAGE(I37:I38)</f>
        <v>4.74</v>
      </c>
      <c r="W23" s="75"/>
      <c r="X23" s="295" t="s">
        <v>199</v>
      </c>
      <c r="Y23" s="298">
        <v>1983.1888200149965</v>
      </c>
      <c r="Z23" s="303">
        <v>757.42814068389691</v>
      </c>
      <c r="AA23" s="303">
        <v>50.18259779286192</v>
      </c>
      <c r="AB23" s="303">
        <v>8.7478917864008015</v>
      </c>
      <c r="AC23" s="292">
        <v>2132.5810700865254</v>
      </c>
      <c r="AD23" s="270"/>
      <c r="AE23" s="270"/>
      <c r="AF23" s="270"/>
      <c r="AG23" s="270"/>
      <c r="AH23" s="270"/>
      <c r="AI23" s="270"/>
      <c r="AJ23" s="270"/>
      <c r="AK23" s="230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>
      <c r="A24" s="15">
        <f>'Exptl Setup'!A22</f>
        <v>15</v>
      </c>
      <c r="B24" s="15" t="str">
        <f>'Exptl Setup'!B22</f>
        <v>MTT No Till</v>
      </c>
      <c r="C24" s="15" t="str">
        <f>'Exptl Setup'!C22</f>
        <v>c</v>
      </c>
      <c r="D24" s="15">
        <f>'Exptl Setup'!D22</f>
        <v>16</v>
      </c>
      <c r="E24" s="15" t="str">
        <f>'Exptl Setup'!E22</f>
        <v>+</v>
      </c>
      <c r="F24" s="15">
        <f>'Exptl Setup'!F22</f>
        <v>32.000999999999998</v>
      </c>
      <c r="G24" s="18">
        <f>'Exptl Setup'!G22</f>
        <v>25.003144583818834</v>
      </c>
      <c r="H24" s="22">
        <v>16</v>
      </c>
      <c r="I24" s="18"/>
      <c r="J24" s="23"/>
      <c r="K24" s="20">
        <v>1.1519999999999999</v>
      </c>
      <c r="L24" s="19">
        <v>81.733999999999995</v>
      </c>
      <c r="M24" s="19"/>
      <c r="N24" s="19"/>
      <c r="O24" s="19"/>
      <c r="P24" s="19"/>
      <c r="Q24" s="311">
        <f t="shared" si="0"/>
        <v>0.32195303423999999</v>
      </c>
      <c r="R24">
        <f t="shared" si="1"/>
        <v>11.716147999763734</v>
      </c>
      <c r="S24" s="186">
        <v>16</v>
      </c>
      <c r="T24" s="186" t="s">
        <v>82</v>
      </c>
      <c r="U24" s="187">
        <v>0</v>
      </c>
      <c r="V24" s="188">
        <f>AVERAGE(I37:I38)</f>
        <v>4.74</v>
      </c>
      <c r="W24" s="75"/>
      <c r="X24"/>
      <c r="Y24"/>
      <c r="Z24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30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>
      <c r="A25" s="15">
        <f>'Exptl Setup'!A23</f>
        <v>16</v>
      </c>
      <c r="B25" s="15" t="str">
        <f>'Exptl Setup'!B23</f>
        <v>MTT No Till</v>
      </c>
      <c r="C25" s="15" t="str">
        <f>'Exptl Setup'!C23</f>
        <v>d</v>
      </c>
      <c r="D25" s="15">
        <f>'Exptl Setup'!D23</f>
        <v>16</v>
      </c>
      <c r="E25" s="15" t="str">
        <f>'Exptl Setup'!E23</f>
        <v>+</v>
      </c>
      <c r="F25" s="15">
        <f>'Exptl Setup'!F23</f>
        <v>31.997</v>
      </c>
      <c r="G25" s="18">
        <f>'Exptl Setup'!G23</f>
        <v>25.000019288411337</v>
      </c>
      <c r="H25" s="22">
        <v>16</v>
      </c>
      <c r="I25" s="18">
        <v>8.23</v>
      </c>
      <c r="J25" s="18">
        <v>5.52</v>
      </c>
      <c r="K25" s="20">
        <v>1.0880000000000001</v>
      </c>
      <c r="L25" s="19">
        <v>125.744</v>
      </c>
      <c r="M25" s="19">
        <v>13.08</v>
      </c>
      <c r="N25" s="19">
        <v>20.91</v>
      </c>
      <c r="O25" s="19">
        <v>269.20999999999998</v>
      </c>
      <c r="P25" s="19">
        <v>4967</v>
      </c>
      <c r="Q25" s="311">
        <f t="shared" si="0"/>
        <v>0.30406675455999999</v>
      </c>
      <c r="R25">
        <f t="shared" si="1"/>
        <v>11.066634174709899</v>
      </c>
      <c r="S25" s="186">
        <v>16</v>
      </c>
      <c r="T25" s="186" t="s">
        <v>82</v>
      </c>
      <c r="U25" s="187">
        <v>5.9994328712188389</v>
      </c>
      <c r="V25" s="188">
        <f>AVERAGE(I43:I44)</f>
        <v>6.62</v>
      </c>
      <c r="W25" s="75"/>
      <c r="X25"/>
      <c r="Y25"/>
      <c r="Z25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30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>
      <c r="A26" s="15">
        <f>'Exptl Setup'!A24</f>
        <v>17</v>
      </c>
      <c r="B26" s="15" t="str">
        <f>'Exptl Setup'!B24</f>
        <v>MTT No Till</v>
      </c>
      <c r="C26" s="15" t="str">
        <f>'Exptl Setup'!C24</f>
        <v>e</v>
      </c>
      <c r="D26" s="15">
        <f>'Exptl Setup'!D24</f>
        <v>16</v>
      </c>
      <c r="E26" s="15" t="str">
        <f>'Exptl Setup'!E24</f>
        <v>+</v>
      </c>
      <c r="F26" s="15">
        <f>'Exptl Setup'!F24</f>
        <v>31.995000000000001</v>
      </c>
      <c r="G26" s="18">
        <f>'Exptl Setup'!G24</f>
        <v>24.998456640707591</v>
      </c>
      <c r="H26" s="22">
        <v>16</v>
      </c>
      <c r="I26" s="18">
        <v>8.19</v>
      </c>
      <c r="J26" s="18">
        <v>5.34</v>
      </c>
      <c r="K26" s="20">
        <v>1.1299999999999999</v>
      </c>
      <c r="L26" s="19">
        <v>85.448999999999998</v>
      </c>
      <c r="M26" s="19">
        <v>13.21</v>
      </c>
      <c r="N26" s="19">
        <v>21.85</v>
      </c>
      <c r="O26" s="19">
        <v>329.74</v>
      </c>
      <c r="P26" s="19">
        <v>4904</v>
      </c>
      <c r="Q26" s="311">
        <f t="shared" si="0"/>
        <v>0.31580462559999994</v>
      </c>
      <c r="R26">
        <f t="shared" si="1"/>
        <v>11.494557279964978</v>
      </c>
      <c r="S26" s="186">
        <v>16</v>
      </c>
      <c r="T26" s="186" t="s">
        <v>82</v>
      </c>
      <c r="U26" s="187">
        <v>5.9979333878718704</v>
      </c>
      <c r="V26" s="188">
        <f>AVERAGE(I43:I44)</f>
        <v>6.62</v>
      </c>
      <c r="W26" s="75"/>
      <c r="X26"/>
      <c r="Y26"/>
      <c r="Z26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30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>
      <c r="A27" s="15">
        <f>'Exptl Setup'!A25</f>
        <v>18</v>
      </c>
      <c r="B27" s="15" t="str">
        <f>'Exptl Setup'!B25</f>
        <v>MTT No Till</v>
      </c>
      <c r="C27" s="15" t="str">
        <f>'Exptl Setup'!C25</f>
        <v>f</v>
      </c>
      <c r="D27" s="15">
        <f>'Exptl Setup'!D25</f>
        <v>16</v>
      </c>
      <c r="E27" s="15" t="str">
        <f>'Exptl Setup'!E25</f>
        <v>+</v>
      </c>
      <c r="F27" s="15">
        <f>'Exptl Setup'!F25</f>
        <v>32</v>
      </c>
      <c r="G27" s="18">
        <f>'Exptl Setup'!G25</f>
        <v>25.002363259966963</v>
      </c>
      <c r="H27" s="22">
        <v>16</v>
      </c>
      <c r="I27" s="18"/>
      <c r="J27" s="18"/>
      <c r="K27" s="20">
        <v>1.06</v>
      </c>
      <c r="L27" s="19">
        <v>76.304000000000002</v>
      </c>
      <c r="M27" s="19"/>
      <c r="N27" s="19"/>
      <c r="O27" s="19"/>
      <c r="P27" s="19"/>
      <c r="Q27" s="311">
        <f t="shared" si="0"/>
        <v>0.29624150720000003</v>
      </c>
      <c r="R27">
        <f t="shared" si="1"/>
        <v>10.780820292666712</v>
      </c>
      <c r="S27" s="186">
        <v>16</v>
      </c>
      <c r="T27" s="186" t="s">
        <v>82</v>
      </c>
      <c r="U27" s="187">
        <v>5.9999953707848501</v>
      </c>
      <c r="V27" s="188">
        <f>AVERAGE(I43:I44)</f>
        <v>6.62</v>
      </c>
      <c r="W27" s="75"/>
      <c r="X27"/>
      <c r="Y27"/>
      <c r="Z27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30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>
      <c r="A28" s="15">
        <f>'Exptl Setup'!A26</f>
        <v>19</v>
      </c>
      <c r="B28" s="15" t="str">
        <f>'Exptl Setup'!B26</f>
        <v>MTT No Till</v>
      </c>
      <c r="C28" s="15" t="str">
        <f>'Exptl Setup'!C26</f>
        <v>a</v>
      </c>
      <c r="D28" s="15">
        <f>'Exptl Setup'!D26</f>
        <v>16</v>
      </c>
      <c r="E28" s="15" t="str">
        <f>'Exptl Setup'!E26</f>
        <v>+</v>
      </c>
      <c r="F28" s="15">
        <f>'Exptl Setup'!F26</f>
        <v>32.003999999999998</v>
      </c>
      <c r="G28" s="18">
        <f>'Exptl Setup'!G26</f>
        <v>25.005488555374455</v>
      </c>
      <c r="H28" s="22">
        <v>20</v>
      </c>
      <c r="I28" s="18"/>
      <c r="J28" s="18"/>
      <c r="K28" s="20">
        <v>0.27300000000000002</v>
      </c>
      <c r="L28" s="19">
        <v>60.3</v>
      </c>
      <c r="M28" s="19"/>
      <c r="N28" s="19"/>
      <c r="O28" s="19"/>
      <c r="P28" s="19"/>
      <c r="Q28" s="311">
        <f t="shared" si="0"/>
        <v>7.6296161760000009E-2</v>
      </c>
      <c r="R28">
        <f t="shared" si="1"/>
        <v>2.7762227267799187</v>
      </c>
      <c r="S28" s="186">
        <v>16</v>
      </c>
      <c r="T28" s="186" t="s">
        <v>82</v>
      </c>
      <c r="U28" s="187">
        <v>15.993489691055117</v>
      </c>
      <c r="V28" s="188">
        <f>AVERAGE(I49:I50)</f>
        <v>8.1900000000000013</v>
      </c>
      <c r="W28" s="75"/>
      <c r="X28"/>
      <c r="Y28"/>
      <c r="Z28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30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>
      <c r="A29" s="15">
        <f>'Exptl Setup'!A27</f>
        <v>20</v>
      </c>
      <c r="B29" s="15" t="str">
        <f>'Exptl Setup'!B27</f>
        <v>MTT No Till</v>
      </c>
      <c r="C29" s="15" t="str">
        <f>'Exptl Setup'!C27</f>
        <v>b</v>
      </c>
      <c r="D29" s="15">
        <f>'Exptl Setup'!D27</f>
        <v>16</v>
      </c>
      <c r="E29" s="15" t="str">
        <f>'Exptl Setup'!E27</f>
        <v>+</v>
      </c>
      <c r="F29" s="15">
        <f>'Exptl Setup'!F27</f>
        <v>32.002000000000002</v>
      </c>
      <c r="G29" s="18">
        <f>'Exptl Setup'!G27</f>
        <v>25.003925907670713</v>
      </c>
      <c r="H29" s="22">
        <v>20</v>
      </c>
      <c r="I29" s="18"/>
      <c r="J29" s="18"/>
      <c r="K29" s="20">
        <v>0.29499999999999998</v>
      </c>
      <c r="L29" s="19">
        <v>61.442999999999998</v>
      </c>
      <c r="M29" s="19"/>
      <c r="N29" s="19"/>
      <c r="O29" s="19"/>
      <c r="P29" s="19"/>
      <c r="Q29" s="311">
        <f t="shared" si="0"/>
        <v>8.2444570399999986E-2</v>
      </c>
      <c r="R29">
        <f t="shared" si="1"/>
        <v>3.0001351201744972</v>
      </c>
      <c r="S29" s="186">
        <v>16</v>
      </c>
      <c r="T29" s="186" t="s">
        <v>82</v>
      </c>
      <c r="U29" s="187">
        <v>15.999487624560107</v>
      </c>
      <c r="V29" s="188">
        <f>AVERAGE(I49:I50)</f>
        <v>8.1900000000000013</v>
      </c>
      <c r="W29" s="75"/>
      <c r="X29"/>
      <c r="Y29"/>
      <c r="Z29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30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>
      <c r="A30" s="15">
        <f>'Exptl Setup'!A28</f>
        <v>21</v>
      </c>
      <c r="B30" s="15" t="str">
        <f>'Exptl Setup'!B28</f>
        <v>MTT No Till</v>
      </c>
      <c r="C30" s="15" t="str">
        <f>'Exptl Setup'!C28</f>
        <v>c</v>
      </c>
      <c r="D30" s="15">
        <f>'Exptl Setup'!D28</f>
        <v>16</v>
      </c>
      <c r="E30" s="15" t="str">
        <f>'Exptl Setup'!E28</f>
        <v>+</v>
      </c>
      <c r="F30" s="15">
        <f>'Exptl Setup'!F28</f>
        <v>31.995000000000001</v>
      </c>
      <c r="G30" s="18">
        <f>'Exptl Setup'!G28</f>
        <v>24.998456640707591</v>
      </c>
      <c r="H30" s="22">
        <v>20</v>
      </c>
      <c r="I30" s="18"/>
      <c r="J30" s="18"/>
      <c r="K30" s="20">
        <v>0.2</v>
      </c>
      <c r="L30" s="19">
        <v>60.3</v>
      </c>
      <c r="M30" s="19"/>
      <c r="N30" s="19"/>
      <c r="O30" s="19"/>
      <c r="P30" s="19"/>
      <c r="Q30" s="311">
        <f t="shared" si="0"/>
        <v>5.5894624000000004E-2</v>
      </c>
      <c r="R30">
        <f t="shared" si="1"/>
        <v>2.0344349168079612</v>
      </c>
      <c r="S30" s="186">
        <v>16</v>
      </c>
      <c r="T30" s="186" t="s">
        <v>82</v>
      </c>
      <c r="U30" s="187">
        <v>16.001988091478584</v>
      </c>
      <c r="V30" s="188">
        <f>AVERAGE(I49:I50)</f>
        <v>8.1900000000000013</v>
      </c>
      <c r="W30" s="75"/>
      <c r="X30"/>
      <c r="Y30"/>
      <c r="Z3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>
      <c r="A31" s="15">
        <f>'Exptl Setup'!A29</f>
        <v>22</v>
      </c>
      <c r="B31" s="15" t="str">
        <f>'Exptl Setup'!B29</f>
        <v>MTT No Till</v>
      </c>
      <c r="C31" s="15" t="str">
        <f>'Exptl Setup'!C29</f>
        <v>d</v>
      </c>
      <c r="D31" s="15">
        <f>'Exptl Setup'!D29</f>
        <v>16</v>
      </c>
      <c r="E31" s="15" t="str">
        <f>'Exptl Setup'!E29</f>
        <v>+</v>
      </c>
      <c r="F31" s="15">
        <f>'Exptl Setup'!F29</f>
        <v>32.005000000000003</v>
      </c>
      <c r="G31" s="18">
        <f>'Exptl Setup'!G29</f>
        <v>25.006269879226334</v>
      </c>
      <c r="H31" s="22">
        <v>20</v>
      </c>
      <c r="I31" s="18">
        <v>9.09</v>
      </c>
      <c r="J31" s="18">
        <v>5.66</v>
      </c>
      <c r="K31" s="20">
        <v>0.214</v>
      </c>
      <c r="L31" s="19">
        <v>62.585999999999999</v>
      </c>
      <c r="M31" s="19">
        <v>18.899999999999999</v>
      </c>
      <c r="N31" s="19">
        <v>30.05</v>
      </c>
      <c r="O31" s="19">
        <v>394.15000000000003</v>
      </c>
      <c r="P31" s="19">
        <v>6550</v>
      </c>
      <c r="Q31" s="311">
        <f t="shared" si="0"/>
        <v>5.9807247679999995E-2</v>
      </c>
      <c r="R31">
        <f t="shared" si="1"/>
        <v>2.1761652030838818</v>
      </c>
      <c r="S31" s="186">
        <v>16</v>
      </c>
      <c r="T31" s="186" t="s">
        <v>82</v>
      </c>
      <c r="U31" s="187">
        <v>19.998734531183562</v>
      </c>
      <c r="V31" s="188">
        <f>AVERAGE(I55:I56)</f>
        <v>8.7100000000000009</v>
      </c>
      <c r="W31" s="75"/>
      <c r="X31"/>
      <c r="Y31"/>
      <c r="Z31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30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>
      <c r="A32" s="15">
        <f>'Exptl Setup'!A30</f>
        <v>23</v>
      </c>
      <c r="B32" s="15" t="str">
        <f>'Exptl Setup'!B30</f>
        <v>MTT No Till</v>
      </c>
      <c r="C32" s="15" t="str">
        <f>'Exptl Setup'!C30</f>
        <v>e</v>
      </c>
      <c r="D32" s="15">
        <f>'Exptl Setup'!D30</f>
        <v>16</v>
      </c>
      <c r="E32" s="15" t="str">
        <f>'Exptl Setup'!E30</f>
        <v>+</v>
      </c>
      <c r="F32" s="15">
        <f>'Exptl Setup'!F30</f>
        <v>31.992000000000001</v>
      </c>
      <c r="G32" s="18">
        <f>'Exptl Setup'!G30</f>
        <v>24.996112669151969</v>
      </c>
      <c r="H32" s="22">
        <v>20</v>
      </c>
      <c r="I32" s="18">
        <v>8.61</v>
      </c>
      <c r="J32" s="18">
        <v>5.64</v>
      </c>
      <c r="K32" s="20">
        <v>0.13800000000000001</v>
      </c>
      <c r="L32" s="19">
        <v>62.585999999999999</v>
      </c>
      <c r="M32" s="19">
        <v>17.71</v>
      </c>
      <c r="N32" s="19">
        <v>29.15</v>
      </c>
      <c r="O32" s="19">
        <v>428.14000000000004</v>
      </c>
      <c r="P32" s="19">
        <v>6091</v>
      </c>
      <c r="Q32" s="311">
        <f t="shared" si="0"/>
        <v>3.8567290560000002E-2</v>
      </c>
      <c r="R32">
        <f t="shared" si="1"/>
        <v>1.4038917280150285</v>
      </c>
      <c r="S32" s="186">
        <v>16</v>
      </c>
      <c r="T32" s="186" t="s">
        <v>82</v>
      </c>
      <c r="U32" s="187">
        <v>19.999359530700133</v>
      </c>
      <c r="V32" s="188">
        <f>AVERAGE(I55:I56)</f>
        <v>8.7100000000000009</v>
      </c>
      <c r="W32" s="75"/>
      <c r="X32"/>
      <c r="Y32"/>
      <c r="Z32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30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ht="15.75" thickBot="1">
      <c r="A33" s="15">
        <f>'Exptl Setup'!A31</f>
        <v>24</v>
      </c>
      <c r="B33" s="15" t="str">
        <f>'Exptl Setup'!B31</f>
        <v>MTT No Till</v>
      </c>
      <c r="C33" s="15" t="str">
        <f>'Exptl Setup'!C31</f>
        <v>f</v>
      </c>
      <c r="D33" s="15">
        <f>'Exptl Setup'!D31</f>
        <v>16</v>
      </c>
      <c r="E33" s="15" t="str">
        <f>'Exptl Setup'!E31</f>
        <v>+</v>
      </c>
      <c r="F33" s="15">
        <f>'Exptl Setup'!F31</f>
        <v>31.995000000000001</v>
      </c>
      <c r="G33" s="18">
        <f>'Exptl Setup'!G31</f>
        <v>24.998456640707591</v>
      </c>
      <c r="H33" s="22">
        <v>20</v>
      </c>
      <c r="I33" s="18"/>
      <c r="J33" s="18"/>
      <c r="K33" s="20">
        <v>0.17299999999999999</v>
      </c>
      <c r="L33" s="19">
        <v>60.872</v>
      </c>
      <c r="M33" s="19"/>
      <c r="N33" s="19"/>
      <c r="O33" s="19"/>
      <c r="P33" s="19"/>
      <c r="Q33" s="311">
        <f t="shared" si="0"/>
        <v>4.8348849759999993E-2</v>
      </c>
      <c r="R33">
        <f t="shared" si="1"/>
        <v>1.759786203038886</v>
      </c>
      <c r="S33" s="189">
        <v>16</v>
      </c>
      <c r="T33" s="189" t="s">
        <v>82</v>
      </c>
      <c r="U33" s="190">
        <v>19.999359530700133</v>
      </c>
      <c r="V33" s="188">
        <f>AVERAGE(I55:I56)</f>
        <v>8.7100000000000009</v>
      </c>
      <c r="W33" s="75"/>
      <c r="X33"/>
      <c r="Y33"/>
      <c r="Z33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>
      <c r="A34" s="15">
        <f>'Exptl Setup'!A32</f>
        <v>25</v>
      </c>
      <c r="B34" s="15" t="str">
        <f>'Exptl Setup'!B32</f>
        <v>MTT No Till</v>
      </c>
      <c r="C34" s="15" t="str">
        <f>'Exptl Setup'!C32</f>
        <v>a</v>
      </c>
      <c r="D34" s="15">
        <f>'Exptl Setup'!D32</f>
        <v>16</v>
      </c>
      <c r="E34" s="15" t="str">
        <f>'Exptl Setup'!E32</f>
        <v>-</v>
      </c>
      <c r="F34" s="15">
        <f>'Exptl Setup'!F32</f>
        <v>31.997</v>
      </c>
      <c r="G34" s="18">
        <f>'Exptl Setup'!G32</f>
        <v>25.000019288411337</v>
      </c>
      <c r="H34" s="22">
        <v>0</v>
      </c>
      <c r="I34" s="18"/>
      <c r="J34" s="18"/>
      <c r="K34" s="20">
        <v>160.72200000000001</v>
      </c>
      <c r="L34" s="19">
        <v>954.22799999999995</v>
      </c>
      <c r="M34" s="19"/>
      <c r="N34" s="19"/>
      <c r="O34" s="19"/>
      <c r="P34" s="19"/>
      <c r="Q34" s="311">
        <f t="shared" si="0"/>
        <v>44.917478792640004</v>
      </c>
      <c r="R34">
        <f t="shared" si="1"/>
        <v>1634.7900531504822</v>
      </c>
      <c r="S34" s="186">
        <v>24</v>
      </c>
      <c r="T34" s="186" t="s">
        <v>81</v>
      </c>
      <c r="U34" s="187">
        <v>0</v>
      </c>
      <c r="V34" s="188">
        <f>AVERAGE(I61:I62)</f>
        <v>4.8100000000000005</v>
      </c>
      <c r="W34" s="75"/>
      <c r="X34"/>
      <c r="Y34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>
      <c r="A35" s="15">
        <f>'Exptl Setup'!A33</f>
        <v>26</v>
      </c>
      <c r="B35" s="15" t="str">
        <f>'Exptl Setup'!B33</f>
        <v>MTT No Till</v>
      </c>
      <c r="C35" s="15" t="str">
        <f>'Exptl Setup'!C33</f>
        <v>b</v>
      </c>
      <c r="D35" s="15">
        <f>'Exptl Setup'!D33</f>
        <v>16</v>
      </c>
      <c r="E35" s="15" t="str">
        <f>'Exptl Setup'!E33</f>
        <v>-</v>
      </c>
      <c r="F35" s="15">
        <f>'Exptl Setup'!F33</f>
        <v>32.006</v>
      </c>
      <c r="G35" s="18">
        <f>'Exptl Setup'!G33</f>
        <v>25.007051203078206</v>
      </c>
      <c r="H35" s="22">
        <v>0</v>
      </c>
      <c r="I35" s="18"/>
      <c r="J35" s="18"/>
      <c r="K35" s="20">
        <v>164.714</v>
      </c>
      <c r="L35" s="19">
        <v>983.09199999999998</v>
      </c>
      <c r="M35" s="19"/>
      <c r="N35" s="19"/>
      <c r="O35" s="19"/>
      <c r="P35" s="19"/>
      <c r="Q35" s="311">
        <f t="shared" si="0"/>
        <v>46.033135487679999</v>
      </c>
      <c r="R35">
        <f t="shared" si="1"/>
        <v>1674.9237194311959</v>
      </c>
      <c r="S35" s="186">
        <v>24</v>
      </c>
      <c r="T35" s="186" t="s">
        <v>81</v>
      </c>
      <c r="U35" s="187">
        <v>0</v>
      </c>
      <c r="V35" s="188">
        <f>AVERAGE(I61:I62)</f>
        <v>4.8100000000000005</v>
      </c>
      <c r="W35" s="7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>
      <c r="A36" s="15">
        <f>'Exptl Setup'!A34</f>
        <v>27</v>
      </c>
      <c r="B36" s="15" t="str">
        <f>'Exptl Setup'!B34</f>
        <v>MTT No Till</v>
      </c>
      <c r="C36" s="15" t="str">
        <f>'Exptl Setup'!C34</f>
        <v>c</v>
      </c>
      <c r="D36" s="15">
        <f>'Exptl Setup'!D34</f>
        <v>16</v>
      </c>
      <c r="E36" s="15" t="str">
        <f>'Exptl Setup'!E34</f>
        <v>-</v>
      </c>
      <c r="F36" s="15">
        <f>'Exptl Setup'!F34</f>
        <v>31.992999999999999</v>
      </c>
      <c r="G36" s="18">
        <f>'Exptl Setup'!G34</f>
        <v>24.996893993003841</v>
      </c>
      <c r="H36" s="22">
        <v>0</v>
      </c>
      <c r="I36" s="18"/>
      <c r="J36" s="18"/>
      <c r="K36" s="20">
        <v>159.08699999999999</v>
      </c>
      <c r="L36" s="19">
        <v>940.22400000000005</v>
      </c>
      <c r="M36" s="19"/>
      <c r="N36" s="19"/>
      <c r="O36" s="19"/>
      <c r="P36" s="19"/>
      <c r="Q36" s="311">
        <f t="shared" si="0"/>
        <v>44.460540241439993</v>
      </c>
      <c r="R36">
        <f t="shared" si="1"/>
        <v>1618.3619014767678</v>
      </c>
      <c r="S36" s="186">
        <v>24</v>
      </c>
      <c r="T36" s="186" t="s">
        <v>81</v>
      </c>
      <c r="U36" s="187">
        <v>0</v>
      </c>
      <c r="V36" s="188">
        <f>AVERAGE(I61:I62)</f>
        <v>4.8100000000000005</v>
      </c>
      <c r="W36" s="75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>
      <c r="A37" s="15">
        <f>'Exptl Setup'!A35</f>
        <v>28</v>
      </c>
      <c r="B37" s="15" t="str">
        <f>'Exptl Setup'!B35</f>
        <v>MTT No Till</v>
      </c>
      <c r="C37" s="15" t="str">
        <f>'Exptl Setup'!C35</f>
        <v>d</v>
      </c>
      <c r="D37" s="15">
        <f>'Exptl Setup'!D35</f>
        <v>16</v>
      </c>
      <c r="E37" s="15" t="str">
        <f>'Exptl Setup'!E35</f>
        <v>-</v>
      </c>
      <c r="F37" s="15">
        <f>'Exptl Setup'!F35</f>
        <v>32.003</v>
      </c>
      <c r="G37" s="18">
        <f>'Exptl Setup'!G35</f>
        <v>25.004707231522584</v>
      </c>
      <c r="H37" s="22">
        <v>0</v>
      </c>
      <c r="I37" s="18">
        <v>4.76</v>
      </c>
      <c r="J37" s="18">
        <v>4.9800000000000004</v>
      </c>
      <c r="K37" s="20">
        <v>148.226</v>
      </c>
      <c r="L37" s="19">
        <v>876.78099999999995</v>
      </c>
      <c r="M37" s="19">
        <v>4.9649999999999999</v>
      </c>
      <c r="N37" s="19">
        <v>1.6575000000000002</v>
      </c>
      <c r="O37" s="19">
        <v>4.3025000000000002</v>
      </c>
      <c r="P37" s="19">
        <v>30.76</v>
      </c>
      <c r="Q37" s="311">
        <f t="shared" si="0"/>
        <v>41.425182685120006</v>
      </c>
      <c r="R37">
        <f t="shared" si="1"/>
        <v>1507.4038400417096</v>
      </c>
      <c r="S37" s="186">
        <v>24</v>
      </c>
      <c r="T37" s="186" t="s">
        <v>81</v>
      </c>
      <c r="U37" s="187">
        <v>5.9983081884335077</v>
      </c>
      <c r="V37" s="188">
        <f>AVERAGE(I67:I68)</f>
        <v>6.67</v>
      </c>
      <c r="W37" s="75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>
      <c r="A38" s="15">
        <f>'Exptl Setup'!A36</f>
        <v>29</v>
      </c>
      <c r="B38" s="15" t="str">
        <f>'Exptl Setup'!B36</f>
        <v>MTT No Till</v>
      </c>
      <c r="C38" s="15" t="str">
        <f>'Exptl Setup'!C36</f>
        <v>e</v>
      </c>
      <c r="D38" s="15">
        <f>'Exptl Setup'!D36</f>
        <v>16</v>
      </c>
      <c r="E38" s="15" t="str">
        <f>'Exptl Setup'!E36</f>
        <v>-</v>
      </c>
      <c r="F38" s="15">
        <f>'Exptl Setup'!F36</f>
        <v>32.003</v>
      </c>
      <c r="G38" s="18">
        <f>'Exptl Setup'!G36</f>
        <v>25.004707231522584</v>
      </c>
      <c r="H38" s="22">
        <v>0</v>
      </c>
      <c r="I38" s="18">
        <v>4.72</v>
      </c>
      <c r="J38" s="18">
        <v>5.0199999999999996</v>
      </c>
      <c r="K38" s="20">
        <v>152.54</v>
      </c>
      <c r="L38" s="19">
        <v>918.79100000000005</v>
      </c>
      <c r="M38" s="19">
        <v>4.4450000000000003</v>
      </c>
      <c r="N38" s="19">
        <v>1.9045000000000001</v>
      </c>
      <c r="O38" s="19">
        <v>3.490499999999999</v>
      </c>
      <c r="P38" s="19">
        <v>37.299999999999997</v>
      </c>
      <c r="Q38" s="311">
        <f t="shared" si="0"/>
        <v>42.630829724799995</v>
      </c>
      <c r="R38">
        <f t="shared" si="1"/>
        <v>1551.2756315353736</v>
      </c>
      <c r="S38" s="186">
        <v>24</v>
      </c>
      <c r="T38" s="186" t="s">
        <v>81</v>
      </c>
      <c r="U38" s="187">
        <v>6.0005579758393095</v>
      </c>
      <c r="V38" s="188">
        <f>AVERAGE(I67:I68)</f>
        <v>6.67</v>
      </c>
      <c r="W38" s="75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>
      <c r="A39" s="15">
        <f>'Exptl Setup'!A37</f>
        <v>30</v>
      </c>
      <c r="B39" s="15" t="str">
        <f>'Exptl Setup'!B37</f>
        <v>MTT No Till</v>
      </c>
      <c r="C39" s="15" t="str">
        <f>'Exptl Setup'!C37</f>
        <v>f</v>
      </c>
      <c r="D39" s="15">
        <f>'Exptl Setup'!D37</f>
        <v>16</v>
      </c>
      <c r="E39" s="15" t="str">
        <f>'Exptl Setup'!E37</f>
        <v>-</v>
      </c>
      <c r="F39" s="15">
        <f>'Exptl Setup'!F37</f>
        <v>31.994</v>
      </c>
      <c r="G39" s="18">
        <f>'Exptl Setup'!G37</f>
        <v>24.997675316855716</v>
      </c>
      <c r="H39" s="22">
        <v>0</v>
      </c>
      <c r="I39" s="18"/>
      <c r="J39" s="18"/>
      <c r="K39" s="20">
        <v>167.345</v>
      </c>
      <c r="L39" s="19">
        <v>1293.451</v>
      </c>
      <c r="M39" s="19"/>
      <c r="N39" s="19"/>
      <c r="O39" s="19"/>
      <c r="P39" s="19"/>
      <c r="Q39" s="311">
        <f t="shared" si="0"/>
        <v>46.768429266400005</v>
      </c>
      <c r="R39">
        <f t="shared" si="1"/>
        <v>1702.3157614470742</v>
      </c>
      <c r="S39" s="186">
        <v>24</v>
      </c>
      <c r="T39" s="186" t="s">
        <v>81</v>
      </c>
      <c r="U39" s="187">
        <v>5.9999953707848501</v>
      </c>
      <c r="V39" s="188">
        <f>AVERAGE(I67:I68)</f>
        <v>6.67</v>
      </c>
      <c r="W39" s="7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>
      <c r="A40" s="15">
        <f>'Exptl Setup'!A38</f>
        <v>31</v>
      </c>
      <c r="B40" s="15" t="str">
        <f>'Exptl Setup'!B38</f>
        <v>MTT No Till</v>
      </c>
      <c r="C40" s="15" t="str">
        <f>'Exptl Setup'!C38</f>
        <v>a</v>
      </c>
      <c r="D40" s="15">
        <f>'Exptl Setup'!D38</f>
        <v>16</v>
      </c>
      <c r="E40" s="15" t="str">
        <f>'Exptl Setup'!E38</f>
        <v>-</v>
      </c>
      <c r="F40" s="15">
        <f>'Exptl Setup'!F38</f>
        <v>32.000999999999998</v>
      </c>
      <c r="G40" s="18">
        <f>'Exptl Setup'!G38</f>
        <v>25.003144583818834</v>
      </c>
      <c r="H40" s="22">
        <v>6</v>
      </c>
      <c r="I40" s="18"/>
      <c r="J40" s="18"/>
      <c r="K40" s="20">
        <v>67.084999999999994</v>
      </c>
      <c r="L40" s="19">
        <v>1743.559</v>
      </c>
      <c r="M40" s="19"/>
      <c r="N40" s="19"/>
      <c r="O40" s="19"/>
      <c r="P40" s="19"/>
      <c r="Q40" s="311">
        <f t="shared" si="0"/>
        <v>18.748454255199999</v>
      </c>
      <c r="R40">
        <f t="shared" si="1"/>
        <v>682.27238590638035</v>
      </c>
      <c r="S40" s="186">
        <v>24</v>
      </c>
      <c r="T40" s="186" t="s">
        <v>81</v>
      </c>
      <c r="U40" s="187">
        <v>15.999487624560107</v>
      </c>
      <c r="V40" s="188">
        <f>AVERAGE(I73:I74)</f>
        <v>8.3099999999999987</v>
      </c>
      <c r="W40" s="75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>
      <c r="A41" s="15">
        <f>'Exptl Setup'!A39</f>
        <v>32</v>
      </c>
      <c r="B41" s="15" t="str">
        <f>'Exptl Setup'!B39</f>
        <v>MTT No Till</v>
      </c>
      <c r="C41" s="15" t="str">
        <f>'Exptl Setup'!C39</f>
        <v>b</v>
      </c>
      <c r="D41" s="15">
        <f>'Exptl Setup'!D39</f>
        <v>16</v>
      </c>
      <c r="E41" s="15" t="str">
        <f>'Exptl Setup'!E39</f>
        <v>-</v>
      </c>
      <c r="F41" s="15">
        <f>'Exptl Setup'!F39</f>
        <v>31.998000000000001</v>
      </c>
      <c r="G41" s="18">
        <f>'Exptl Setup'!G39</f>
        <v>25.000800612263212</v>
      </c>
      <c r="H41" s="22">
        <v>6</v>
      </c>
      <c r="I41" s="18"/>
      <c r="J41" s="18"/>
      <c r="K41" s="20">
        <v>66.491</v>
      </c>
      <c r="L41" s="19">
        <v>1468.0640000000001</v>
      </c>
      <c r="M41" s="19"/>
      <c r="N41" s="19"/>
      <c r="O41" s="19"/>
      <c r="P41" s="19"/>
      <c r="Q41" s="311">
        <f t="shared" si="0"/>
        <v>18.582447221919999</v>
      </c>
      <c r="R41">
        <f t="shared" si="1"/>
        <v>676.29464773595726</v>
      </c>
      <c r="S41" s="186">
        <v>24</v>
      </c>
      <c r="T41" s="186" t="s">
        <v>81</v>
      </c>
      <c r="U41" s="187">
        <v>15.999987655426267</v>
      </c>
      <c r="V41" s="188">
        <f>AVERAGE(I73:I74)</f>
        <v>8.3099999999999987</v>
      </c>
      <c r="W41" s="75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>
      <c r="A42" s="15">
        <f>'Exptl Setup'!A40</f>
        <v>33</v>
      </c>
      <c r="B42" s="15" t="str">
        <f>'Exptl Setup'!B40</f>
        <v>MTT No Till</v>
      </c>
      <c r="C42" s="15" t="str">
        <f>'Exptl Setup'!C40</f>
        <v>c</v>
      </c>
      <c r="D42" s="15">
        <f>'Exptl Setup'!D40</f>
        <v>16</v>
      </c>
      <c r="E42" s="15" t="str">
        <f>'Exptl Setup'!E40</f>
        <v>-</v>
      </c>
      <c r="F42" s="15">
        <f>'Exptl Setup'!F40</f>
        <v>32.000999999999998</v>
      </c>
      <c r="G42" s="18">
        <f>'Exptl Setup'!G40</f>
        <v>25.003144583818834</v>
      </c>
      <c r="H42" s="22">
        <v>6</v>
      </c>
      <c r="I42" s="18"/>
      <c r="J42" s="18"/>
      <c r="K42" s="20">
        <v>75.721000000000004</v>
      </c>
      <c r="L42" s="19">
        <v>1903.3109999999999</v>
      </c>
      <c r="M42" s="19"/>
      <c r="N42" s="19"/>
      <c r="O42" s="19"/>
      <c r="P42" s="19"/>
      <c r="Q42" s="311">
        <f t="shared" si="0"/>
        <v>21.16198411952</v>
      </c>
      <c r="R42">
        <f t="shared" si="1"/>
        <v>770.10281483516474</v>
      </c>
      <c r="S42" s="186">
        <v>24</v>
      </c>
      <c r="T42" s="186" t="s">
        <v>81</v>
      </c>
      <c r="U42" s="187">
        <v>15.995488502489355</v>
      </c>
      <c r="V42" s="188">
        <f>AVERAGE(I73:I74)</f>
        <v>8.3099999999999987</v>
      </c>
      <c r="W42" s="75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>
      <c r="A43" s="15">
        <f>'Exptl Setup'!A41</f>
        <v>34</v>
      </c>
      <c r="B43" s="15" t="str">
        <f>'Exptl Setup'!B41</f>
        <v>MTT No Till</v>
      </c>
      <c r="C43" s="15" t="str">
        <f>'Exptl Setup'!C41</f>
        <v>d</v>
      </c>
      <c r="D43" s="15">
        <f>'Exptl Setup'!D41</f>
        <v>16</v>
      </c>
      <c r="E43" s="15" t="str">
        <f>'Exptl Setup'!E41</f>
        <v>-</v>
      </c>
      <c r="F43" s="15">
        <f>'Exptl Setup'!F41</f>
        <v>32</v>
      </c>
      <c r="G43" s="18">
        <f>'Exptl Setup'!G41</f>
        <v>25.002363259966963</v>
      </c>
      <c r="H43" s="22">
        <v>6</v>
      </c>
      <c r="I43" s="18">
        <v>6.59</v>
      </c>
      <c r="J43" s="18">
        <v>4.38</v>
      </c>
      <c r="K43" s="20">
        <v>65.471999999999994</v>
      </c>
      <c r="L43" s="19">
        <v>1847.0119999999999</v>
      </c>
      <c r="M43" s="19">
        <v>0.22544999999999998</v>
      </c>
      <c r="N43" s="19">
        <v>4.99</v>
      </c>
      <c r="O43" s="19">
        <v>20.134550000000001</v>
      </c>
      <c r="P43" s="19">
        <v>216.6</v>
      </c>
      <c r="Q43" s="311">
        <f t="shared" si="0"/>
        <v>18.29766411264</v>
      </c>
      <c r="R43">
        <f t="shared" si="1"/>
        <v>665.88855302025945</v>
      </c>
      <c r="S43" s="186">
        <v>24</v>
      </c>
      <c r="T43" s="186" t="s">
        <v>81</v>
      </c>
      <c r="U43" s="187">
        <v>19.999359530700133</v>
      </c>
      <c r="V43" s="188">
        <f>AVERAGE(I79:I80)</f>
        <v>8.9699999999999989</v>
      </c>
      <c r="W43" s="75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>
      <c r="A44" s="15">
        <f>'Exptl Setup'!A42</f>
        <v>35</v>
      </c>
      <c r="B44" s="15" t="str">
        <f>'Exptl Setup'!B42</f>
        <v>MTT No Till</v>
      </c>
      <c r="C44" s="15" t="str">
        <f>'Exptl Setup'!C42</f>
        <v>e</v>
      </c>
      <c r="D44" s="15">
        <f>'Exptl Setup'!D42</f>
        <v>16</v>
      </c>
      <c r="E44" s="15" t="str">
        <f>'Exptl Setup'!E42</f>
        <v>-</v>
      </c>
      <c r="F44" s="15">
        <f>'Exptl Setup'!F42</f>
        <v>32.008000000000003</v>
      </c>
      <c r="G44" s="18">
        <f>'Exptl Setup'!G42</f>
        <v>25.008613850781956</v>
      </c>
      <c r="H44" s="22">
        <v>6</v>
      </c>
      <c r="I44" s="18">
        <v>6.65</v>
      </c>
      <c r="J44" s="18">
        <v>4.46</v>
      </c>
      <c r="K44" s="20">
        <v>51.396999999999998</v>
      </c>
      <c r="L44" s="19">
        <v>2008.479</v>
      </c>
      <c r="M44" s="19">
        <v>0.18059999999999998</v>
      </c>
      <c r="N44" s="19">
        <v>5.1149999999999993</v>
      </c>
      <c r="O44" s="19">
        <v>17.554400000000005</v>
      </c>
      <c r="P44" s="19">
        <v>235.79999999999998</v>
      </c>
      <c r="Q44" s="311">
        <f t="shared" si="0"/>
        <v>14.364079948639999</v>
      </c>
      <c r="R44">
        <f t="shared" si="1"/>
        <v>522.60691485825794</v>
      </c>
      <c r="S44" s="186">
        <v>24</v>
      </c>
      <c r="T44" s="186" t="s">
        <v>81</v>
      </c>
      <c r="U44" s="187">
        <v>19.996859766994024</v>
      </c>
      <c r="V44" s="188">
        <f>AVERAGE(I79:I80)</f>
        <v>8.9699999999999989</v>
      </c>
      <c r="W44" s="75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>
      <c r="A45" s="15">
        <f>'Exptl Setup'!A43</f>
        <v>36</v>
      </c>
      <c r="B45" s="15" t="str">
        <f>'Exptl Setup'!B43</f>
        <v>MTT No Till</v>
      </c>
      <c r="C45" s="15" t="str">
        <f>'Exptl Setup'!C43</f>
        <v>f</v>
      </c>
      <c r="D45" s="15">
        <f>'Exptl Setup'!D43</f>
        <v>16</v>
      </c>
      <c r="E45" s="15" t="str">
        <f>'Exptl Setup'!E43</f>
        <v>-</v>
      </c>
      <c r="F45" s="15">
        <f>'Exptl Setup'!F43</f>
        <v>31.997</v>
      </c>
      <c r="G45" s="18">
        <f>'Exptl Setup'!G43</f>
        <v>25.000019288411337</v>
      </c>
      <c r="H45" s="22">
        <v>6</v>
      </c>
      <c r="I45" s="18"/>
      <c r="J45" s="18"/>
      <c r="K45" s="20">
        <v>65.066000000000003</v>
      </c>
      <c r="L45" s="19">
        <v>1776.7090000000001</v>
      </c>
      <c r="M45" s="19"/>
      <c r="N45" s="19"/>
      <c r="O45" s="19"/>
      <c r="P45" s="19"/>
      <c r="Q45" s="311">
        <f t="shared" si="0"/>
        <v>18.184198025920001</v>
      </c>
      <c r="R45">
        <f t="shared" si="1"/>
        <v>661.82134118720069</v>
      </c>
      <c r="S45" s="186">
        <v>24</v>
      </c>
      <c r="T45" s="186" t="s">
        <v>81</v>
      </c>
      <c r="U45" s="187">
        <v>19.999984569282837</v>
      </c>
      <c r="V45" s="188">
        <f>AVERAGE(I79:I80)</f>
        <v>8.9699999999999989</v>
      </c>
      <c r="W45" s="7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>
      <c r="A46" s="15">
        <f>'Exptl Setup'!A44</f>
        <v>37</v>
      </c>
      <c r="B46" s="15" t="str">
        <f>'Exptl Setup'!B44</f>
        <v>MTT No Till</v>
      </c>
      <c r="C46" s="15" t="str">
        <f>'Exptl Setup'!C44</f>
        <v>a</v>
      </c>
      <c r="D46" s="15">
        <f>'Exptl Setup'!D44</f>
        <v>16</v>
      </c>
      <c r="E46" s="15" t="str">
        <f>'Exptl Setup'!E44</f>
        <v>-</v>
      </c>
      <c r="F46" s="15">
        <f>'Exptl Setup'!F44</f>
        <v>31.995999999999999</v>
      </c>
      <c r="G46" s="18">
        <f>'Exptl Setup'!G44</f>
        <v>24.999237964559462</v>
      </c>
      <c r="H46" s="22">
        <v>16</v>
      </c>
      <c r="I46" s="18"/>
      <c r="J46" s="18"/>
      <c r="K46" s="20">
        <v>1.417</v>
      </c>
      <c r="L46" s="19">
        <v>99.738</v>
      </c>
      <c r="M46" s="19"/>
      <c r="N46" s="19"/>
      <c r="O46" s="19"/>
      <c r="P46" s="19"/>
      <c r="Q46" s="311">
        <f t="shared" si="0"/>
        <v>0.39601341103999999</v>
      </c>
      <c r="R46">
        <f t="shared" si="1"/>
        <v>14.413520892666986</v>
      </c>
      <c r="S46" s="186">
        <v>24</v>
      </c>
      <c r="T46" s="186" t="s">
        <v>82</v>
      </c>
      <c r="U46" s="187">
        <v>0</v>
      </c>
      <c r="V46" s="188">
        <f>AVERAGE(I85:I86)</f>
        <v>4.7149999999999999</v>
      </c>
      <c r="W46" s="75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>
      <c r="A47" s="15">
        <f>'Exptl Setup'!A45</f>
        <v>38</v>
      </c>
      <c r="B47" s="15" t="str">
        <f>'Exptl Setup'!B45</f>
        <v>MTT No Till</v>
      </c>
      <c r="C47" s="15" t="str">
        <f>'Exptl Setup'!C45</f>
        <v>b</v>
      </c>
      <c r="D47" s="15">
        <f>'Exptl Setup'!D45</f>
        <v>16</v>
      </c>
      <c r="E47" s="15" t="str">
        <f>'Exptl Setup'!E45</f>
        <v>-</v>
      </c>
      <c r="F47" s="15">
        <f>'Exptl Setup'!F45</f>
        <v>31.997</v>
      </c>
      <c r="G47" s="18">
        <f>'Exptl Setup'!G45</f>
        <v>25.000019288411337</v>
      </c>
      <c r="H47" s="22">
        <v>16</v>
      </c>
      <c r="I47" s="18"/>
      <c r="J47" s="18"/>
      <c r="K47" s="20">
        <v>0.248</v>
      </c>
      <c r="L47" s="19">
        <v>127.745</v>
      </c>
      <c r="M47" s="19"/>
      <c r="N47" s="19"/>
      <c r="O47" s="19"/>
      <c r="P47" s="19"/>
      <c r="Q47" s="311">
        <f t="shared" si="0"/>
        <v>6.9309333760000008E-2</v>
      </c>
      <c r="R47">
        <f t="shared" si="1"/>
        <v>2.5225416133529919</v>
      </c>
      <c r="S47" s="186">
        <v>24</v>
      </c>
      <c r="T47" s="186" t="s">
        <v>82</v>
      </c>
      <c r="U47" s="187">
        <v>0</v>
      </c>
      <c r="V47" s="188">
        <f>AVERAGE(I85:I86)</f>
        <v>4.7149999999999999</v>
      </c>
      <c r="W47" s="75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>
      <c r="A48" s="15">
        <f>'Exptl Setup'!A46</f>
        <v>39</v>
      </c>
      <c r="B48" s="15" t="str">
        <f>'Exptl Setup'!B46</f>
        <v>MTT No Till</v>
      </c>
      <c r="C48" s="15" t="str">
        <f>'Exptl Setup'!C46</f>
        <v>c</v>
      </c>
      <c r="D48" s="15">
        <f>'Exptl Setup'!D46</f>
        <v>16</v>
      </c>
      <c r="E48" s="15" t="str">
        <f>'Exptl Setup'!E46</f>
        <v>-</v>
      </c>
      <c r="F48" s="15">
        <f>'Exptl Setup'!F46</f>
        <v>32.003999999999998</v>
      </c>
      <c r="G48" s="18">
        <f>'Exptl Setup'!G46</f>
        <v>25.005488555374455</v>
      </c>
      <c r="H48" s="22">
        <v>16</v>
      </c>
      <c r="I48" s="18"/>
      <c r="J48" s="18"/>
      <c r="K48" s="20">
        <v>1.3180000000000001</v>
      </c>
      <c r="L48" s="19">
        <v>88.021000000000001</v>
      </c>
      <c r="M48" s="19"/>
      <c r="N48" s="19"/>
      <c r="O48" s="19"/>
      <c r="P48" s="19"/>
      <c r="Q48" s="311">
        <f t="shared" si="0"/>
        <v>0.36834557216000002</v>
      </c>
      <c r="R48">
        <f t="shared" si="1"/>
        <v>13.403155875076679</v>
      </c>
      <c r="S48" s="186">
        <v>24</v>
      </c>
      <c r="T48" s="186" t="s">
        <v>82</v>
      </c>
      <c r="U48" s="187">
        <v>0</v>
      </c>
      <c r="V48" s="188">
        <f>AVERAGE(I85:I86)</f>
        <v>4.7149999999999999</v>
      </c>
      <c r="W48" s="75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>
      <c r="A49" s="15">
        <f>'Exptl Setup'!A47</f>
        <v>40</v>
      </c>
      <c r="B49" s="15" t="str">
        <f>'Exptl Setup'!B47</f>
        <v>MTT No Till</v>
      </c>
      <c r="C49" s="15" t="str">
        <f>'Exptl Setup'!C47</f>
        <v>d</v>
      </c>
      <c r="D49" s="15">
        <f>'Exptl Setup'!D47</f>
        <v>16</v>
      </c>
      <c r="E49" s="15" t="str">
        <f>'Exptl Setup'!E47</f>
        <v>-</v>
      </c>
      <c r="F49" s="15">
        <f>'Exptl Setup'!F47</f>
        <v>32.01</v>
      </c>
      <c r="G49" s="18">
        <f>'Exptl Setup'!G47</f>
        <v>25.010176498485698</v>
      </c>
      <c r="H49" s="22">
        <v>16</v>
      </c>
      <c r="I49" s="18">
        <v>8.16</v>
      </c>
      <c r="J49" s="18">
        <v>5.3</v>
      </c>
      <c r="K49" s="20">
        <v>0.999</v>
      </c>
      <c r="L49" s="19">
        <v>79.447999999999993</v>
      </c>
      <c r="M49" s="19">
        <v>12.97</v>
      </c>
      <c r="N49" s="19">
        <v>20.07</v>
      </c>
      <c r="O49" s="19">
        <v>374.15999999999997</v>
      </c>
      <c r="P49" s="19">
        <v>4760</v>
      </c>
      <c r="Q49" s="311">
        <f t="shared" si="0"/>
        <v>0.27919364688000003</v>
      </c>
      <c r="R49">
        <f t="shared" si="1"/>
        <v>10.157240458935872</v>
      </c>
      <c r="S49" s="186">
        <v>24</v>
      </c>
      <c r="T49" s="186" t="s">
        <v>82</v>
      </c>
      <c r="U49" s="187">
        <v>5.9988704771116099</v>
      </c>
      <c r="V49" s="188">
        <f>AVERAGE(I91:I92)</f>
        <v>6.68</v>
      </c>
      <c r="W49" s="75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>
      <c r="A50" s="15">
        <f>'Exptl Setup'!A48</f>
        <v>41</v>
      </c>
      <c r="B50" s="15" t="str">
        <f>'Exptl Setup'!B48</f>
        <v>MTT No Till</v>
      </c>
      <c r="C50" s="15" t="str">
        <f>'Exptl Setup'!C48</f>
        <v>e</v>
      </c>
      <c r="D50" s="15">
        <f>'Exptl Setup'!D48</f>
        <v>16</v>
      </c>
      <c r="E50" s="15" t="str">
        <f>'Exptl Setup'!E48</f>
        <v>-</v>
      </c>
      <c r="F50" s="15">
        <f>'Exptl Setup'!F48</f>
        <v>31.998000000000001</v>
      </c>
      <c r="G50" s="18">
        <f>'Exptl Setup'!G48</f>
        <v>25.000800612263212</v>
      </c>
      <c r="H50" s="22">
        <v>16</v>
      </c>
      <c r="I50" s="18">
        <v>8.2200000000000006</v>
      </c>
      <c r="J50" s="18">
        <v>5.32</v>
      </c>
      <c r="K50" s="20">
        <v>1.0189999999999999</v>
      </c>
      <c r="L50" s="19">
        <v>95.165999999999997</v>
      </c>
      <c r="M50" s="19">
        <v>12.62</v>
      </c>
      <c r="N50" s="19">
        <v>20.94</v>
      </c>
      <c r="O50" s="19">
        <v>380.04</v>
      </c>
      <c r="P50" s="19">
        <v>4755</v>
      </c>
      <c r="Q50" s="311">
        <f t="shared" si="0"/>
        <v>0.28478310927999995</v>
      </c>
      <c r="R50">
        <f t="shared" si="1"/>
        <v>10.364474079844495</v>
      </c>
      <c r="S50" s="186">
        <v>24</v>
      </c>
      <c r="T50" s="186" t="s">
        <v>82</v>
      </c>
      <c r="U50" s="187">
        <v>6.0001828940805995</v>
      </c>
      <c r="V50" s="188">
        <f>AVERAGE(I91:I92)</f>
        <v>6.68</v>
      </c>
      <c r="W50" s="75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>
      <c r="A51" s="15">
        <f>'Exptl Setup'!A49</f>
        <v>42</v>
      </c>
      <c r="B51" s="15" t="str">
        <f>'Exptl Setup'!B49</f>
        <v>MTT No Till</v>
      </c>
      <c r="C51" s="15" t="str">
        <f>'Exptl Setup'!C49</f>
        <v>f</v>
      </c>
      <c r="D51" s="15">
        <f>'Exptl Setup'!D49</f>
        <v>16</v>
      </c>
      <c r="E51" s="15" t="str">
        <f>'Exptl Setup'!E49</f>
        <v>-</v>
      </c>
      <c r="F51" s="15">
        <f>'Exptl Setup'!F49</f>
        <v>31.992999999999999</v>
      </c>
      <c r="G51" s="18">
        <f>'Exptl Setup'!G49</f>
        <v>24.996893993003841</v>
      </c>
      <c r="H51" s="22">
        <v>16</v>
      </c>
      <c r="I51" s="18"/>
      <c r="J51" s="18"/>
      <c r="K51" s="20">
        <v>1.006</v>
      </c>
      <c r="L51" s="19">
        <v>106.883</v>
      </c>
      <c r="M51" s="19"/>
      <c r="N51" s="19"/>
      <c r="O51" s="19"/>
      <c r="P51" s="19"/>
      <c r="Q51" s="311">
        <f t="shared" si="0"/>
        <v>0.28114995871999998</v>
      </c>
      <c r="R51">
        <f t="shared" si="1"/>
        <v>10.233847346958759</v>
      </c>
      <c r="S51" s="186">
        <v>24</v>
      </c>
      <c r="T51" s="186" t="s">
        <v>82</v>
      </c>
      <c r="U51" s="187">
        <v>5.9986830358393597</v>
      </c>
      <c r="V51" s="188">
        <f>AVERAGE(I91:I92)</f>
        <v>6.68</v>
      </c>
      <c r="W51" s="75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>
      <c r="A52" s="15">
        <f>'Exptl Setup'!A50</f>
        <v>43</v>
      </c>
      <c r="B52" s="15" t="str">
        <f>'Exptl Setup'!B50</f>
        <v>MTT No Till</v>
      </c>
      <c r="C52" s="15" t="str">
        <f>'Exptl Setup'!C50</f>
        <v>a</v>
      </c>
      <c r="D52" s="15">
        <f>'Exptl Setup'!D50</f>
        <v>16</v>
      </c>
      <c r="E52" s="15" t="str">
        <f>'Exptl Setup'!E50</f>
        <v>-</v>
      </c>
      <c r="F52" s="15">
        <f>'Exptl Setup'!F50</f>
        <v>32.003</v>
      </c>
      <c r="G52" s="18">
        <f>'Exptl Setup'!G50</f>
        <v>25.004707231522584</v>
      </c>
      <c r="H52" s="22">
        <v>20</v>
      </c>
      <c r="I52" s="18"/>
      <c r="J52" s="18"/>
      <c r="K52" s="20">
        <v>1.6639999999999999</v>
      </c>
      <c r="L52" s="19">
        <v>93.165000000000006</v>
      </c>
      <c r="M52" s="19"/>
      <c r="N52" s="19"/>
      <c r="O52" s="19"/>
      <c r="P52" s="19"/>
      <c r="Q52" s="311">
        <f t="shared" si="0"/>
        <v>0.46504327167999998</v>
      </c>
      <c r="R52">
        <f t="shared" si="1"/>
        <v>16.922267279892896</v>
      </c>
      <c r="S52" s="186">
        <v>24</v>
      </c>
      <c r="T52" s="186" t="s">
        <v>82</v>
      </c>
      <c r="U52" s="187">
        <v>15.993989347079705</v>
      </c>
      <c r="V52" s="188">
        <f>AVERAGE(I97:I98)</f>
        <v>8.23</v>
      </c>
      <c r="W52" s="75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>
      <c r="A53" s="15">
        <f>'Exptl Setup'!A51</f>
        <v>44</v>
      </c>
      <c r="B53" s="15" t="str">
        <f>'Exptl Setup'!B51</f>
        <v>MTT No Till</v>
      </c>
      <c r="C53" s="15" t="str">
        <f>'Exptl Setup'!C51</f>
        <v>b</v>
      </c>
      <c r="D53" s="15">
        <f>'Exptl Setup'!D51</f>
        <v>16</v>
      </c>
      <c r="E53" s="15" t="str">
        <f>'Exptl Setup'!E51</f>
        <v>-</v>
      </c>
      <c r="F53" s="15">
        <f>'Exptl Setup'!F51</f>
        <v>32.006999999999998</v>
      </c>
      <c r="G53" s="18">
        <f>'Exptl Setup'!G51</f>
        <v>25.007832526930077</v>
      </c>
      <c r="H53" s="22">
        <v>20</v>
      </c>
      <c r="I53" s="18"/>
      <c r="J53" s="18"/>
      <c r="K53" s="20">
        <v>0.156</v>
      </c>
      <c r="L53" s="19">
        <v>62.301000000000002</v>
      </c>
      <c r="M53" s="19"/>
      <c r="N53" s="19"/>
      <c r="O53" s="19"/>
      <c r="P53" s="19"/>
      <c r="Q53" s="311">
        <f t="shared" si="0"/>
        <v>4.359780672E-2</v>
      </c>
      <c r="R53">
        <f t="shared" si="1"/>
        <v>1.5862642930406208</v>
      </c>
      <c r="S53" s="186">
        <v>24</v>
      </c>
      <c r="T53" s="186" t="s">
        <v>82</v>
      </c>
      <c r="U53" s="187">
        <v>15.997487813595217</v>
      </c>
      <c r="V53" s="188">
        <f>AVERAGE(I97:I98)</f>
        <v>8.23</v>
      </c>
      <c r="W53" s="75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>
      <c r="A54" s="15">
        <f>'Exptl Setup'!A52</f>
        <v>45</v>
      </c>
      <c r="B54" s="15" t="str">
        <f>'Exptl Setup'!B52</f>
        <v>MTT No Till</v>
      </c>
      <c r="C54" s="15" t="str">
        <f>'Exptl Setup'!C52</f>
        <v>c</v>
      </c>
      <c r="D54" s="15">
        <f>'Exptl Setup'!D52</f>
        <v>16</v>
      </c>
      <c r="E54" s="15" t="str">
        <f>'Exptl Setup'!E52</f>
        <v>-</v>
      </c>
      <c r="F54" s="15">
        <f>'Exptl Setup'!F52</f>
        <v>32</v>
      </c>
      <c r="G54" s="18">
        <f>'Exptl Setup'!G52</f>
        <v>25.002363259966963</v>
      </c>
      <c r="H54" s="22">
        <v>20</v>
      </c>
      <c r="I54" s="18"/>
      <c r="J54" s="18"/>
      <c r="K54" s="20">
        <v>0.13200000000000001</v>
      </c>
      <c r="L54" s="19">
        <v>64.015000000000001</v>
      </c>
      <c r="M54" s="19"/>
      <c r="N54" s="19"/>
      <c r="O54" s="19"/>
      <c r="P54" s="19"/>
      <c r="Q54" s="311">
        <f t="shared" si="0"/>
        <v>3.6890451840000005E-2</v>
      </c>
      <c r="R54">
        <f t="shared" si="1"/>
        <v>1.3425172439924584</v>
      </c>
      <c r="S54" s="186">
        <v>24</v>
      </c>
      <c r="T54" s="186" t="s">
        <v>82</v>
      </c>
      <c r="U54" s="187">
        <v>16.000987810929029</v>
      </c>
      <c r="V54" s="188">
        <f>AVERAGE(I97:I98)</f>
        <v>8.23</v>
      </c>
      <c r="W54" s="75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>
      <c r="A55" s="15">
        <f>'Exptl Setup'!A53</f>
        <v>46</v>
      </c>
      <c r="B55" s="15" t="str">
        <f>'Exptl Setup'!B53</f>
        <v>MTT No Till</v>
      </c>
      <c r="C55" s="15" t="str">
        <f>'Exptl Setup'!C53</f>
        <v>d</v>
      </c>
      <c r="D55" s="15">
        <f>'Exptl Setup'!D53</f>
        <v>16</v>
      </c>
      <c r="E55" s="15" t="str">
        <f>'Exptl Setup'!E53</f>
        <v>-</v>
      </c>
      <c r="F55" s="15">
        <f>'Exptl Setup'!F53</f>
        <v>31.998999999999999</v>
      </c>
      <c r="G55" s="18">
        <f>'Exptl Setup'!G53</f>
        <v>25.001581936115088</v>
      </c>
      <c r="H55" s="22">
        <v>20</v>
      </c>
      <c r="I55" s="18">
        <v>8.6199999999999992</v>
      </c>
      <c r="J55" s="18">
        <v>5.94</v>
      </c>
      <c r="K55" s="20">
        <v>0.13</v>
      </c>
      <c r="L55" s="19">
        <v>60.3</v>
      </c>
      <c r="M55" s="19">
        <v>18.48</v>
      </c>
      <c r="N55" s="19">
        <v>30.29</v>
      </c>
      <c r="O55" s="19">
        <v>478.02999999999992</v>
      </c>
      <c r="P55" s="19">
        <v>5269</v>
      </c>
      <c r="Q55" s="311">
        <f t="shared" si="0"/>
        <v>3.6331505600000001E-2</v>
      </c>
      <c r="R55">
        <f t="shared" si="1"/>
        <v>1.322217392922465</v>
      </c>
      <c r="S55" s="186">
        <v>24</v>
      </c>
      <c r="T55" s="186" t="s">
        <v>82</v>
      </c>
      <c r="U55" s="187">
        <v>19.992486683849631</v>
      </c>
      <c r="V55" s="188">
        <f>AVERAGE(I103:I104)</f>
        <v>8.7949999999999999</v>
      </c>
      <c r="W55" s="7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>
      <c r="A56" s="15">
        <f>'Exptl Setup'!A54</f>
        <v>47</v>
      </c>
      <c r="B56" s="15" t="str">
        <f>'Exptl Setup'!B54</f>
        <v>MTT No Till</v>
      </c>
      <c r="C56" s="15" t="str">
        <f>'Exptl Setup'!C54</f>
        <v>e</v>
      </c>
      <c r="D56" s="15">
        <f>'Exptl Setup'!D54</f>
        <v>16</v>
      </c>
      <c r="E56" s="15" t="str">
        <f>'Exptl Setup'!E54</f>
        <v>-</v>
      </c>
      <c r="F56" s="15">
        <f>'Exptl Setup'!F54</f>
        <v>31.998000000000001</v>
      </c>
      <c r="G56" s="18">
        <f>'Exptl Setup'!G54</f>
        <v>25.000800612263212</v>
      </c>
      <c r="H56" s="22">
        <v>20</v>
      </c>
      <c r="I56" s="18">
        <v>8.8000000000000007</v>
      </c>
      <c r="J56" s="18">
        <v>6.06</v>
      </c>
      <c r="K56" s="20">
        <v>0.158</v>
      </c>
      <c r="L56" s="19">
        <v>102.024</v>
      </c>
      <c r="M56" s="19">
        <v>17.95</v>
      </c>
      <c r="N56" s="19">
        <v>32.5</v>
      </c>
      <c r="O56" s="19">
        <v>462.05</v>
      </c>
      <c r="P56" s="19">
        <v>4770</v>
      </c>
      <c r="Q56" s="311">
        <f t="shared" si="0"/>
        <v>4.4156752959999997E-2</v>
      </c>
      <c r="R56">
        <f t="shared" si="1"/>
        <v>1.6070528995244655</v>
      </c>
      <c r="S56" s="186">
        <v>24</v>
      </c>
      <c r="T56" s="186" t="s">
        <v>82</v>
      </c>
      <c r="U56" s="187">
        <v>19.997484649334176</v>
      </c>
      <c r="V56" s="188">
        <f>AVERAGE(I103:I104)</f>
        <v>8.7949999999999999</v>
      </c>
      <c r="W56" s="75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 ht="15.75" thickBot="1">
      <c r="A57" s="15">
        <f>'Exptl Setup'!A55</f>
        <v>48</v>
      </c>
      <c r="B57" s="15" t="str">
        <f>'Exptl Setup'!B55</f>
        <v>MTT No Till</v>
      </c>
      <c r="C57" s="15" t="str">
        <f>'Exptl Setup'!C55</f>
        <v>f</v>
      </c>
      <c r="D57" s="15">
        <f>'Exptl Setup'!D55</f>
        <v>16</v>
      </c>
      <c r="E57" s="15" t="str">
        <f>'Exptl Setup'!E55</f>
        <v>-</v>
      </c>
      <c r="F57" s="15">
        <f>'Exptl Setup'!F55</f>
        <v>31.998000000000001</v>
      </c>
      <c r="G57" s="18">
        <f>'Exptl Setup'!G55</f>
        <v>25.000800612263212</v>
      </c>
      <c r="H57" s="22">
        <v>20</v>
      </c>
      <c r="I57" s="18"/>
      <c r="J57" s="18"/>
      <c r="K57" s="20">
        <v>0.21299999999999999</v>
      </c>
      <c r="L57" s="19">
        <v>63.728999999999999</v>
      </c>
      <c r="M57" s="19"/>
      <c r="N57" s="19"/>
      <c r="O57" s="19"/>
      <c r="P57" s="19"/>
      <c r="Q57" s="311">
        <f t="shared" si="0"/>
        <v>5.9527774559999996E-2</v>
      </c>
      <c r="R57">
        <f t="shared" si="1"/>
        <v>2.1664700480931085</v>
      </c>
      <c r="S57" s="189">
        <v>24</v>
      </c>
      <c r="T57" s="189" t="s">
        <v>82</v>
      </c>
      <c r="U57" s="190">
        <v>20.001234763661284</v>
      </c>
      <c r="V57" s="188">
        <f>AVERAGE(I103:I104)</f>
        <v>8.7949999999999999</v>
      </c>
      <c r="W57" s="75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>
      <c r="A58" s="15">
        <f>'Exptl Setup'!A56</f>
        <v>49</v>
      </c>
      <c r="B58" s="15" t="str">
        <f>'Exptl Setup'!B56</f>
        <v>MTT No Till</v>
      </c>
      <c r="C58" s="15" t="str">
        <f>'Exptl Setup'!C56</f>
        <v>a</v>
      </c>
      <c r="D58" s="15">
        <f>'Exptl Setup'!D56</f>
        <v>24</v>
      </c>
      <c r="E58" s="15" t="str">
        <f>'Exptl Setup'!E56</f>
        <v>+</v>
      </c>
      <c r="F58" s="15">
        <f>'Exptl Setup'!F56</f>
        <v>32.003999999999998</v>
      </c>
      <c r="G58" s="18">
        <f>'Exptl Setup'!G56</f>
        <v>25.005488555374455</v>
      </c>
      <c r="H58" s="22">
        <v>0</v>
      </c>
      <c r="I58" s="18"/>
      <c r="J58" s="18"/>
      <c r="K58" s="20">
        <v>376.58800000000002</v>
      </c>
      <c r="L58" s="19">
        <v>3789.703</v>
      </c>
      <c r="M58" s="19"/>
      <c r="N58" s="19"/>
      <c r="O58" s="19"/>
      <c r="P58" s="19"/>
      <c r="Q58" s="311">
        <f t="shared" si="0"/>
        <v>105.24622331456001</v>
      </c>
      <c r="R58">
        <f t="shared" si="1"/>
        <v>3829.6416272256265</v>
      </c>
      <c r="S58" s="191">
        <v>32</v>
      </c>
      <c r="T58" s="191" t="s">
        <v>81</v>
      </c>
      <c r="U58" s="192">
        <v>0</v>
      </c>
      <c r="V58" s="188">
        <f>AVERAGE(I109:I110)</f>
        <v>4.63</v>
      </c>
      <c r="W58" s="75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>
      <c r="A59" s="15">
        <f>'Exptl Setup'!A57</f>
        <v>50</v>
      </c>
      <c r="B59" s="15" t="str">
        <f>'Exptl Setup'!B57</f>
        <v>MTT No Till</v>
      </c>
      <c r="C59" s="15" t="str">
        <f>'Exptl Setup'!C57</f>
        <v>b</v>
      </c>
      <c r="D59" s="15">
        <f>'Exptl Setup'!D57</f>
        <v>24</v>
      </c>
      <c r="E59" s="15" t="str">
        <f>'Exptl Setup'!E57</f>
        <v>+</v>
      </c>
      <c r="F59" s="15">
        <f>'Exptl Setup'!F57</f>
        <v>32.003</v>
      </c>
      <c r="G59" s="18">
        <f>'Exptl Setup'!G57</f>
        <v>25.004707231522584</v>
      </c>
      <c r="H59" s="22">
        <v>0</v>
      </c>
      <c r="I59" s="18"/>
      <c r="J59" s="18"/>
      <c r="K59" s="20">
        <v>357.09500000000003</v>
      </c>
      <c r="L59" s="19">
        <v>4496.1559999999999</v>
      </c>
      <c r="M59" s="19"/>
      <c r="N59" s="19"/>
      <c r="O59" s="19"/>
      <c r="P59" s="19"/>
      <c r="Q59" s="311">
        <f t="shared" si="0"/>
        <v>99.798453786400003</v>
      </c>
      <c r="R59">
        <f t="shared" si="1"/>
        <v>3631.5246600440823</v>
      </c>
      <c r="S59" s="186">
        <v>32</v>
      </c>
      <c r="T59" s="186" t="s">
        <v>81</v>
      </c>
      <c r="U59" s="187">
        <v>0</v>
      </c>
      <c r="V59" s="188">
        <f>AVERAGE(I109:I110)</f>
        <v>4.63</v>
      </c>
      <c r="W59" s="75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>
      <c r="A60" s="15">
        <f>'Exptl Setup'!A58</f>
        <v>51</v>
      </c>
      <c r="B60" s="15" t="str">
        <f>'Exptl Setup'!B58</f>
        <v>MTT No Till</v>
      </c>
      <c r="C60" s="15" t="str">
        <f>'Exptl Setup'!C58</f>
        <v>c</v>
      </c>
      <c r="D60" s="15">
        <f>'Exptl Setup'!D58</f>
        <v>24</v>
      </c>
      <c r="E60" s="15" t="str">
        <f>'Exptl Setup'!E58</f>
        <v>+</v>
      </c>
      <c r="F60" s="15">
        <f>'Exptl Setup'!F58</f>
        <v>31.998999999999999</v>
      </c>
      <c r="G60" s="18">
        <f>'Exptl Setup'!G58</f>
        <v>25.001581936115088</v>
      </c>
      <c r="H60" s="22">
        <v>0</v>
      </c>
      <c r="I60" s="18"/>
      <c r="J60" s="18"/>
      <c r="K60" s="20">
        <v>397.58800000000002</v>
      </c>
      <c r="L60" s="19">
        <v>2751.6660000000002</v>
      </c>
      <c r="M60" s="19"/>
      <c r="N60" s="19"/>
      <c r="O60" s="19"/>
      <c r="P60" s="19"/>
      <c r="Q60" s="311">
        <f t="shared" si="0"/>
        <v>111.11515883456001</v>
      </c>
      <c r="R60">
        <f t="shared" si="1"/>
        <v>4043.8289909019777</v>
      </c>
      <c r="S60" s="186">
        <v>32</v>
      </c>
      <c r="T60" s="186" t="s">
        <v>81</v>
      </c>
      <c r="U60" s="187">
        <v>0</v>
      </c>
      <c r="V60" s="188">
        <f>AVERAGE(I109:I110)</f>
        <v>4.63</v>
      </c>
      <c r="W60" s="75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>
      <c r="A61" s="15">
        <f>'Exptl Setup'!A59</f>
        <v>52</v>
      </c>
      <c r="B61" s="15" t="str">
        <f>'Exptl Setup'!B59</f>
        <v>MTT No Till</v>
      </c>
      <c r="C61" s="15" t="str">
        <f>'Exptl Setup'!C59</f>
        <v>d</v>
      </c>
      <c r="D61" s="15">
        <f>'Exptl Setup'!D59</f>
        <v>24</v>
      </c>
      <c r="E61" s="15" t="str">
        <f>'Exptl Setup'!E59</f>
        <v>+</v>
      </c>
      <c r="F61" s="15">
        <f>'Exptl Setup'!F59</f>
        <v>32.000999999999998</v>
      </c>
      <c r="G61" s="18">
        <f>'Exptl Setup'!G59</f>
        <v>25.003144583818834</v>
      </c>
      <c r="H61" s="22">
        <v>0</v>
      </c>
      <c r="I61" s="18">
        <v>4.8</v>
      </c>
      <c r="J61" s="18">
        <v>5.76</v>
      </c>
      <c r="K61" s="20">
        <v>368.238</v>
      </c>
      <c r="L61" s="19">
        <v>3197.6680000000001</v>
      </c>
      <c r="M61" s="19">
        <v>3.9420000000000002</v>
      </c>
      <c r="N61" s="19">
        <v>2.2595000000000001</v>
      </c>
      <c r="O61" s="19">
        <v>5.5384999999999991</v>
      </c>
      <c r="P61" s="19">
        <v>41.550000000000004</v>
      </c>
      <c r="Q61" s="311">
        <f t="shared" si="0"/>
        <v>102.91262276256001</v>
      </c>
      <c r="R61">
        <f t="shared" si="1"/>
        <v>3745.0789124453122</v>
      </c>
      <c r="S61" s="186">
        <v>32</v>
      </c>
      <c r="T61" s="186" t="s">
        <v>81</v>
      </c>
      <c r="U61" s="187">
        <v>5.9990579300982079</v>
      </c>
      <c r="V61" s="188">
        <f>AVERAGE(I115:I116)</f>
        <v>6.6349999999999998</v>
      </c>
      <c r="W61" s="75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</row>
    <row r="62" spans="1:59">
      <c r="A62" s="15">
        <f>'Exptl Setup'!A60</f>
        <v>53</v>
      </c>
      <c r="B62" s="15" t="str">
        <f>'Exptl Setup'!B60</f>
        <v>MTT No Till</v>
      </c>
      <c r="C62" s="15" t="str">
        <f>'Exptl Setup'!C60</f>
        <v>e</v>
      </c>
      <c r="D62" s="15">
        <f>'Exptl Setup'!D60</f>
        <v>24</v>
      </c>
      <c r="E62" s="15" t="str">
        <f>'Exptl Setup'!E60</f>
        <v>+</v>
      </c>
      <c r="F62" s="15">
        <f>'Exptl Setup'!F60</f>
        <v>32.003</v>
      </c>
      <c r="G62" s="18">
        <f>'Exptl Setup'!G60</f>
        <v>25.004707231522584</v>
      </c>
      <c r="H62" s="22">
        <v>0</v>
      </c>
      <c r="I62" s="18">
        <v>4.82</v>
      </c>
      <c r="J62" s="18">
        <v>5.9</v>
      </c>
      <c r="K62" s="20">
        <v>368.63799999999998</v>
      </c>
      <c r="L62" s="19">
        <v>3143.0940000000001</v>
      </c>
      <c r="M62" s="19">
        <v>3.6919999999999997</v>
      </c>
      <c r="N62" s="19">
        <v>2.6284999999999998</v>
      </c>
      <c r="O62" s="19">
        <v>5.5695000000000014</v>
      </c>
      <c r="P62" s="19">
        <v>37.83</v>
      </c>
      <c r="Q62" s="311">
        <f t="shared" si="0"/>
        <v>103.02441201055998</v>
      </c>
      <c r="R62">
        <f t="shared" si="1"/>
        <v>3748.91271966656</v>
      </c>
      <c r="S62" s="186">
        <v>32</v>
      </c>
      <c r="T62" s="186" t="s">
        <v>81</v>
      </c>
      <c r="U62" s="187">
        <v>5.9996203593550685</v>
      </c>
      <c r="V62" s="188">
        <f>AVERAGE(I115:I116)</f>
        <v>6.6349999999999998</v>
      </c>
      <c r="W62" s="75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</row>
    <row r="63" spans="1:59">
      <c r="A63" s="15">
        <f>'Exptl Setup'!A61</f>
        <v>54</v>
      </c>
      <c r="B63" s="15" t="str">
        <f>'Exptl Setup'!B61</f>
        <v>MTT No Till</v>
      </c>
      <c r="C63" s="15" t="str">
        <f>'Exptl Setup'!C61</f>
        <v>f</v>
      </c>
      <c r="D63" s="15">
        <f>'Exptl Setup'!D61</f>
        <v>24</v>
      </c>
      <c r="E63" s="15" t="str">
        <f>'Exptl Setup'!E61</f>
        <v>+</v>
      </c>
      <c r="F63" s="15">
        <f>'Exptl Setup'!F61</f>
        <v>31.998000000000001</v>
      </c>
      <c r="G63" s="18">
        <f>'Exptl Setup'!G61</f>
        <v>25.000800612263212</v>
      </c>
      <c r="H63" s="22">
        <v>0</v>
      </c>
      <c r="I63" s="18"/>
      <c r="J63" s="18"/>
      <c r="K63" s="20">
        <v>392.29500000000002</v>
      </c>
      <c r="L63" s="19">
        <v>3421.61</v>
      </c>
      <c r="M63" s="19"/>
      <c r="N63" s="19"/>
      <c r="O63" s="19"/>
      <c r="P63" s="19"/>
      <c r="Q63" s="311">
        <f t="shared" si="0"/>
        <v>109.6359076104</v>
      </c>
      <c r="R63">
        <f t="shared" si="1"/>
        <v>3990.1190963224699</v>
      </c>
      <c r="S63" s="186">
        <v>32</v>
      </c>
      <c r="T63" s="186" t="s">
        <v>81</v>
      </c>
      <c r="U63" s="187">
        <v>5.9996203593550685</v>
      </c>
      <c r="V63" s="188">
        <f>AVERAGE(I115:I116)</f>
        <v>6.6349999999999998</v>
      </c>
      <c r="W63" s="75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>
      <c r="A64" s="15">
        <f>'Exptl Setup'!A62</f>
        <v>55</v>
      </c>
      <c r="B64" s="15" t="str">
        <f>'Exptl Setup'!B62</f>
        <v>MTT No Till</v>
      </c>
      <c r="C64" s="15" t="str">
        <f>'Exptl Setup'!C62</f>
        <v>a</v>
      </c>
      <c r="D64" s="15">
        <f>'Exptl Setup'!D62</f>
        <v>24</v>
      </c>
      <c r="E64" s="15" t="str">
        <f>'Exptl Setup'!E62</f>
        <v>+</v>
      </c>
      <c r="F64" s="15">
        <f>'Exptl Setup'!F62</f>
        <v>31.998000000000001</v>
      </c>
      <c r="G64" s="18">
        <f>'Exptl Setup'!G62</f>
        <v>25.000800612263212</v>
      </c>
      <c r="H64" s="22">
        <v>6</v>
      </c>
      <c r="I64" s="18"/>
      <c r="J64" s="18"/>
      <c r="K64" s="20">
        <v>4.6029999999999998</v>
      </c>
      <c r="L64" s="19">
        <v>85.436999999999998</v>
      </c>
      <c r="M64" s="19"/>
      <c r="N64" s="19"/>
      <c r="O64" s="19"/>
      <c r="P64" s="19"/>
      <c r="Q64" s="311">
        <f t="shared" si="0"/>
        <v>1.2864147713599998</v>
      </c>
      <c r="R64">
        <f t="shared" si="1"/>
        <v>46.818129724753888</v>
      </c>
      <c r="S64" s="186">
        <v>32</v>
      </c>
      <c r="T64" s="186" t="s">
        <v>81</v>
      </c>
      <c r="U64" s="187">
        <v>16.000487717548268</v>
      </c>
      <c r="V64" s="188">
        <f>AVERAGE(I121:I122)</f>
        <v>8.254999999999999</v>
      </c>
      <c r="W64" s="75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>
      <c r="A65" s="15">
        <f>'Exptl Setup'!A63</f>
        <v>56</v>
      </c>
      <c r="B65" s="15" t="str">
        <f>'Exptl Setup'!B63</f>
        <v>MTT No Till</v>
      </c>
      <c r="C65" s="15" t="str">
        <f>'Exptl Setup'!C63</f>
        <v>b</v>
      </c>
      <c r="D65" s="15">
        <f>'Exptl Setup'!D63</f>
        <v>24</v>
      </c>
      <c r="E65" s="15" t="str">
        <f>'Exptl Setup'!E63</f>
        <v>+</v>
      </c>
      <c r="F65" s="15">
        <f>'Exptl Setup'!F63</f>
        <v>31.998999999999999</v>
      </c>
      <c r="G65" s="18">
        <f>'Exptl Setup'!G63</f>
        <v>25.001581936115088</v>
      </c>
      <c r="H65" s="22">
        <v>6</v>
      </c>
      <c r="I65" s="18"/>
      <c r="J65" s="18"/>
      <c r="K65" s="20">
        <v>0.60099999999999998</v>
      </c>
      <c r="L65" s="19">
        <v>6203.3860000000004</v>
      </c>
      <c r="M65" s="19"/>
      <c r="N65" s="19"/>
      <c r="O65" s="19"/>
      <c r="P65" s="19"/>
      <c r="Q65" s="311">
        <f t="shared" si="0"/>
        <v>0.16796334512</v>
      </c>
      <c r="R65">
        <f t="shared" si="1"/>
        <v>6.1127127165107815</v>
      </c>
      <c r="S65" s="186">
        <v>32</v>
      </c>
      <c r="T65" s="186" t="s">
        <v>81</v>
      </c>
      <c r="U65" s="187">
        <v>15.994988752793898</v>
      </c>
      <c r="V65" s="188">
        <f>AVERAGE(I121:I122)</f>
        <v>8.254999999999999</v>
      </c>
      <c r="W65" s="7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>
      <c r="A66" s="15">
        <f>'Exptl Setup'!A64</f>
        <v>57</v>
      </c>
      <c r="B66" s="15" t="str">
        <f>'Exptl Setup'!B64</f>
        <v>MTT No Till</v>
      </c>
      <c r="C66" s="15" t="str">
        <f>'Exptl Setup'!C64</f>
        <v>c</v>
      </c>
      <c r="D66" s="15">
        <f>'Exptl Setup'!D64</f>
        <v>24</v>
      </c>
      <c r="E66" s="15" t="str">
        <f>'Exptl Setup'!E64</f>
        <v>+</v>
      </c>
      <c r="F66" s="15">
        <f>'Exptl Setup'!F64</f>
        <v>32</v>
      </c>
      <c r="G66" s="18">
        <f>'Exptl Setup'!G64</f>
        <v>25.002363259966963</v>
      </c>
      <c r="H66" s="22">
        <v>6</v>
      </c>
      <c r="I66" s="18"/>
      <c r="J66" s="18"/>
      <c r="K66" s="20">
        <v>0.63900000000000001</v>
      </c>
      <c r="L66" s="19">
        <v>5674.2049999999999</v>
      </c>
      <c r="M66" s="19"/>
      <c r="N66" s="19"/>
      <c r="O66" s="19"/>
      <c r="P66" s="19"/>
      <c r="Q66" s="311">
        <f t="shared" si="0"/>
        <v>0.17858332368000002</v>
      </c>
      <c r="R66">
        <f t="shared" si="1"/>
        <v>6.4990039311453112</v>
      </c>
      <c r="S66" s="186">
        <v>32</v>
      </c>
      <c r="T66" s="186" t="s">
        <v>81</v>
      </c>
      <c r="U66" s="187">
        <v>16.002488278653235</v>
      </c>
      <c r="V66" s="188">
        <f>AVERAGE(I121:I122)</f>
        <v>8.254999999999999</v>
      </c>
      <c r="W66" s="75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>
      <c r="A67" s="15">
        <f>'Exptl Setup'!A65</f>
        <v>58</v>
      </c>
      <c r="B67" s="15" t="str">
        <f>'Exptl Setup'!B65</f>
        <v>MTT No Till</v>
      </c>
      <c r="C67" s="15" t="str">
        <f>'Exptl Setup'!C65</f>
        <v>d</v>
      </c>
      <c r="D67" s="15">
        <f>'Exptl Setup'!D65</f>
        <v>24</v>
      </c>
      <c r="E67" s="15" t="str">
        <f>'Exptl Setup'!E65</f>
        <v>+</v>
      </c>
      <c r="F67" s="15">
        <f>'Exptl Setup'!F65</f>
        <v>32.006</v>
      </c>
      <c r="G67" s="18">
        <f>'Exptl Setup'!G65</f>
        <v>25.007051203078206</v>
      </c>
      <c r="H67" s="22">
        <v>6</v>
      </c>
      <c r="I67" s="18">
        <v>6.67</v>
      </c>
      <c r="J67" s="18">
        <v>5.0999999999999996</v>
      </c>
      <c r="K67" s="20">
        <v>0.52800000000000002</v>
      </c>
      <c r="L67" s="19">
        <v>5937.6660000000002</v>
      </c>
      <c r="M67" s="19">
        <v>0.21575</v>
      </c>
      <c r="N67" s="19">
        <v>7.9649999999999999</v>
      </c>
      <c r="O67" s="19">
        <v>14.739249999999998</v>
      </c>
      <c r="P67" s="19">
        <v>221.9</v>
      </c>
      <c r="Q67" s="311">
        <f t="shared" si="0"/>
        <v>0.14756180736000002</v>
      </c>
      <c r="R67">
        <f t="shared" si="1"/>
        <v>5.3690622767929357</v>
      </c>
      <c r="S67" s="186">
        <v>32</v>
      </c>
      <c r="T67" s="186" t="s">
        <v>81</v>
      </c>
      <c r="U67" s="187">
        <v>20.001234763661284</v>
      </c>
      <c r="V67" s="188">
        <f>AVERAGE(I127:I128)</f>
        <v>8.75</v>
      </c>
      <c r="W67" s="75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>
      <c r="A68" s="15">
        <f>'Exptl Setup'!A66</f>
        <v>59</v>
      </c>
      <c r="B68" s="15" t="str">
        <f>'Exptl Setup'!B66</f>
        <v>MTT No Till</v>
      </c>
      <c r="C68" s="15" t="str">
        <f>'Exptl Setup'!C66</f>
        <v>e</v>
      </c>
      <c r="D68" s="15">
        <f>'Exptl Setup'!D66</f>
        <v>24</v>
      </c>
      <c r="E68" s="15" t="str">
        <f>'Exptl Setup'!E66</f>
        <v>+</v>
      </c>
      <c r="F68" s="15">
        <f>'Exptl Setup'!F66</f>
        <v>31.994</v>
      </c>
      <c r="G68" s="18">
        <f>'Exptl Setup'!G66</f>
        <v>24.997675316855716</v>
      </c>
      <c r="H68" s="22">
        <v>6</v>
      </c>
      <c r="I68" s="18">
        <v>6.67</v>
      </c>
      <c r="J68" s="18">
        <v>5.24</v>
      </c>
      <c r="K68" s="20">
        <v>0.44700000000000001</v>
      </c>
      <c r="L68" s="19">
        <v>6519.1629999999996</v>
      </c>
      <c r="M68" s="19">
        <v>0.18614999999999998</v>
      </c>
      <c r="N68" s="19">
        <v>8.7850000000000001</v>
      </c>
      <c r="O68" s="19">
        <v>20.673850000000002</v>
      </c>
      <c r="P68" s="19">
        <v>241.70000000000002</v>
      </c>
      <c r="Q68" s="311">
        <f t="shared" si="0"/>
        <v>0.12492448464</v>
      </c>
      <c r="R68">
        <f t="shared" si="1"/>
        <v>4.5471041582768654</v>
      </c>
      <c r="S68" s="186">
        <v>32</v>
      </c>
      <c r="T68" s="186" t="s">
        <v>81</v>
      </c>
      <c r="U68" s="187">
        <v>19.993735940992373</v>
      </c>
      <c r="V68" s="188">
        <f>AVERAGE(I127:I128)</f>
        <v>8.75</v>
      </c>
      <c r="W68" s="75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>
      <c r="A69" s="15">
        <f>'Exptl Setup'!A67</f>
        <v>60</v>
      </c>
      <c r="B69" s="15" t="str">
        <f>'Exptl Setup'!B67</f>
        <v>MTT No Till</v>
      </c>
      <c r="C69" s="15" t="str">
        <f>'Exptl Setup'!C67</f>
        <v>f</v>
      </c>
      <c r="D69" s="15">
        <f>'Exptl Setup'!D67</f>
        <v>24</v>
      </c>
      <c r="E69" s="15" t="str">
        <f>'Exptl Setup'!E67</f>
        <v>+</v>
      </c>
      <c r="F69" s="15">
        <f>'Exptl Setup'!F67</f>
        <v>31.997</v>
      </c>
      <c r="G69" s="18">
        <f>'Exptl Setup'!G67</f>
        <v>25.000019288411337</v>
      </c>
      <c r="H69" s="22">
        <v>6</v>
      </c>
      <c r="I69" s="18"/>
      <c r="J69" s="18"/>
      <c r="K69" s="20">
        <v>0.40600000000000003</v>
      </c>
      <c r="L69" s="19">
        <v>6414.9080000000004</v>
      </c>
      <c r="M69" s="19"/>
      <c r="N69" s="19"/>
      <c r="O69" s="19"/>
      <c r="P69" s="19"/>
      <c r="Q69" s="311">
        <f t="shared" si="0"/>
        <v>0.11346608672000001</v>
      </c>
      <c r="R69">
        <f t="shared" si="1"/>
        <v>4.1296447379891728</v>
      </c>
      <c r="S69" s="186">
        <v>32</v>
      </c>
      <c r="T69" s="186" t="s">
        <v>81</v>
      </c>
      <c r="U69" s="187">
        <v>20.003735621372975</v>
      </c>
      <c r="V69" s="188">
        <f>AVERAGE(I127:I128)</f>
        <v>8.75</v>
      </c>
      <c r="W69" s="75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>
      <c r="A70" s="15">
        <f>'Exptl Setup'!A68</f>
        <v>61</v>
      </c>
      <c r="B70" s="15" t="str">
        <f>'Exptl Setup'!B68</f>
        <v>MTT No Till</v>
      </c>
      <c r="C70" s="15" t="str">
        <f>'Exptl Setup'!C68</f>
        <v>a</v>
      </c>
      <c r="D70" s="15">
        <f>'Exptl Setup'!D68</f>
        <v>24</v>
      </c>
      <c r="E70" s="15" t="str">
        <f>'Exptl Setup'!E68</f>
        <v>+</v>
      </c>
      <c r="F70" s="15">
        <f>'Exptl Setup'!F68</f>
        <v>31.995999999999999</v>
      </c>
      <c r="G70" s="18">
        <f>'Exptl Setup'!G68</f>
        <v>24.999237964559462</v>
      </c>
      <c r="H70" s="22">
        <v>16</v>
      </c>
      <c r="I70" s="18"/>
      <c r="J70" s="18"/>
      <c r="K70" s="20">
        <v>14.614000000000001</v>
      </c>
      <c r="L70" s="19">
        <v>612.73599999999999</v>
      </c>
      <c r="M70" s="19"/>
      <c r="N70" s="19"/>
      <c r="O70" s="19"/>
      <c r="P70" s="19"/>
      <c r="Q70" s="311">
        <f t="shared" si="0"/>
        <v>4.0842201756800005</v>
      </c>
      <c r="R70">
        <f t="shared" si="1"/>
        <v>148.65151328541666</v>
      </c>
      <c r="S70" s="186">
        <v>32</v>
      </c>
      <c r="T70" s="186" t="s">
        <v>82</v>
      </c>
      <c r="U70" s="187">
        <v>0</v>
      </c>
      <c r="V70" s="188">
        <f>AVERAGE(I133:I134)</f>
        <v>4.6899999999999995</v>
      </c>
      <c r="W70" s="75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>
      <c r="A71" s="15">
        <f>'Exptl Setup'!A69</f>
        <v>62</v>
      </c>
      <c r="B71" s="15" t="str">
        <f>'Exptl Setup'!B69</f>
        <v>MTT No Till</v>
      </c>
      <c r="C71" s="15" t="str">
        <f>'Exptl Setup'!C69</f>
        <v>b</v>
      </c>
      <c r="D71" s="15">
        <f>'Exptl Setup'!D69</f>
        <v>24</v>
      </c>
      <c r="E71" s="15" t="str">
        <f>'Exptl Setup'!E69</f>
        <v>+</v>
      </c>
      <c r="F71" s="15">
        <f>'Exptl Setup'!F69</f>
        <v>32.003</v>
      </c>
      <c r="G71" s="18">
        <f>'Exptl Setup'!G69</f>
        <v>25.004707231522584</v>
      </c>
      <c r="H71" s="22">
        <v>16</v>
      </c>
      <c r="I71" s="18"/>
      <c r="J71" s="18"/>
      <c r="K71" s="20">
        <v>11.233000000000001</v>
      </c>
      <c r="L71" s="19">
        <v>744.46600000000001</v>
      </c>
      <c r="M71" s="19"/>
      <c r="N71" s="19"/>
      <c r="O71" s="19"/>
      <c r="P71" s="19"/>
      <c r="Q71" s="311">
        <f t="shared" si="0"/>
        <v>3.1393215569600001</v>
      </c>
      <c r="R71">
        <f t="shared" si="1"/>
        <v>114.23547377105581</v>
      </c>
      <c r="S71" s="186">
        <v>32</v>
      </c>
      <c r="T71" s="186" t="s">
        <v>82</v>
      </c>
      <c r="U71" s="187">
        <v>0</v>
      </c>
      <c r="V71" s="188">
        <f>AVERAGE(I133:I134)</f>
        <v>4.6899999999999995</v>
      </c>
      <c r="W71" s="75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>
      <c r="A72" s="15">
        <f>'Exptl Setup'!A70</f>
        <v>63</v>
      </c>
      <c r="B72" s="15" t="str">
        <f>'Exptl Setup'!B70</f>
        <v>MTT No Till</v>
      </c>
      <c r="C72" s="15" t="str">
        <f>'Exptl Setup'!C70</f>
        <v>c</v>
      </c>
      <c r="D72" s="15">
        <f>'Exptl Setup'!D70</f>
        <v>24</v>
      </c>
      <c r="E72" s="15" t="str">
        <f>'Exptl Setup'!E70</f>
        <v>+</v>
      </c>
      <c r="F72" s="15">
        <f>'Exptl Setup'!F70</f>
        <v>32.005000000000003</v>
      </c>
      <c r="G72" s="18">
        <f>'Exptl Setup'!G70</f>
        <v>25.006269879226334</v>
      </c>
      <c r="H72" s="22">
        <v>16</v>
      </c>
      <c r="I72" s="18"/>
      <c r="J72" s="18"/>
      <c r="K72" s="20">
        <v>13.46</v>
      </c>
      <c r="L72" s="19">
        <v>739.197</v>
      </c>
      <c r="M72" s="19"/>
      <c r="N72" s="19"/>
      <c r="O72" s="19"/>
      <c r="P72" s="19"/>
      <c r="Q72" s="311">
        <f t="shared" si="0"/>
        <v>3.7617081952000002</v>
      </c>
      <c r="R72">
        <f t="shared" si="1"/>
        <v>136.87468987621054</v>
      </c>
      <c r="S72" s="186">
        <v>32</v>
      </c>
      <c r="T72" s="186" t="s">
        <v>82</v>
      </c>
      <c r="U72" s="187">
        <v>0</v>
      </c>
      <c r="V72" s="188">
        <f>AVERAGE(I133:I134)</f>
        <v>4.6899999999999995</v>
      </c>
      <c r="W72" s="75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>
      <c r="A73" s="15">
        <f>'Exptl Setup'!A71</f>
        <v>64</v>
      </c>
      <c r="B73" s="15" t="str">
        <f>'Exptl Setup'!B71</f>
        <v>MTT No Till</v>
      </c>
      <c r="C73" s="15" t="str">
        <f>'Exptl Setup'!C71</f>
        <v>d</v>
      </c>
      <c r="D73" s="15">
        <f>'Exptl Setup'!D71</f>
        <v>24</v>
      </c>
      <c r="E73" s="15" t="str">
        <f>'Exptl Setup'!E71</f>
        <v>+</v>
      </c>
      <c r="F73" s="15">
        <f>'Exptl Setup'!F71</f>
        <v>31.998000000000001</v>
      </c>
      <c r="G73" s="18">
        <f>'Exptl Setup'!G71</f>
        <v>25.000800612263212</v>
      </c>
      <c r="H73" s="22">
        <v>16</v>
      </c>
      <c r="I73" s="18">
        <v>8.27</v>
      </c>
      <c r="J73" s="18">
        <v>5.86</v>
      </c>
      <c r="K73" s="20">
        <v>11.448</v>
      </c>
      <c r="L73" s="19">
        <v>729.78800000000001</v>
      </c>
      <c r="M73" s="19">
        <v>3.35</v>
      </c>
      <c r="N73" s="19">
        <v>28.38</v>
      </c>
      <c r="O73" s="19">
        <v>331.07</v>
      </c>
      <c r="P73" s="19">
        <v>4627</v>
      </c>
      <c r="Q73" s="311">
        <f t="shared" si="0"/>
        <v>3.1994082777600004</v>
      </c>
      <c r="R73">
        <f t="shared" si="1"/>
        <v>116.44013666934232</v>
      </c>
      <c r="S73" s="186">
        <v>32</v>
      </c>
      <c r="T73" s="186" t="s">
        <v>82</v>
      </c>
      <c r="U73" s="187">
        <v>5.9986830358393597</v>
      </c>
      <c r="V73" s="188">
        <f>AVERAGE(I139:I140)</f>
        <v>6.63</v>
      </c>
      <c r="W73" s="75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>
      <c r="A74" s="15">
        <f>'Exptl Setup'!A72</f>
        <v>65</v>
      </c>
      <c r="B74" s="15" t="str">
        <f>'Exptl Setup'!B72</f>
        <v>MTT No Till</v>
      </c>
      <c r="C74" s="15" t="str">
        <f>'Exptl Setup'!C72</f>
        <v>e</v>
      </c>
      <c r="D74" s="15">
        <f>'Exptl Setup'!D72</f>
        <v>24</v>
      </c>
      <c r="E74" s="15" t="str">
        <f>'Exptl Setup'!E72</f>
        <v>+</v>
      </c>
      <c r="F74" s="15">
        <f>'Exptl Setup'!F72</f>
        <v>31.997</v>
      </c>
      <c r="G74" s="18">
        <f>'Exptl Setup'!G72</f>
        <v>25.000019288411337</v>
      </c>
      <c r="H74" s="22">
        <v>16</v>
      </c>
      <c r="I74" s="18">
        <v>8.35</v>
      </c>
      <c r="J74" s="18">
        <v>5.9</v>
      </c>
      <c r="K74" s="20">
        <v>6.2</v>
      </c>
      <c r="L74" s="19">
        <v>735.43399999999997</v>
      </c>
      <c r="M74" s="19">
        <v>3.0449999999999999</v>
      </c>
      <c r="N74" s="19">
        <v>26.36</v>
      </c>
      <c r="O74" s="19">
        <v>328.19499999999999</v>
      </c>
      <c r="P74" s="19">
        <v>4536</v>
      </c>
      <c r="Q74" s="311">
        <f t="shared" si="0"/>
        <v>1.7327333440000001</v>
      </c>
      <c r="R74">
        <f t="shared" si="1"/>
        <v>63.063540333824804</v>
      </c>
      <c r="S74" s="186">
        <v>32</v>
      </c>
      <c r="T74" s="186" t="s">
        <v>82</v>
      </c>
      <c r="U74" s="187">
        <v>5.9996203593550685</v>
      </c>
      <c r="V74" s="188">
        <f>AVERAGE(I139:I140)</f>
        <v>6.63</v>
      </c>
      <c r="W74" s="75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>
      <c r="A75" s="15">
        <f>'Exptl Setup'!A73</f>
        <v>66</v>
      </c>
      <c r="B75" s="15" t="str">
        <f>'Exptl Setup'!B73</f>
        <v>MTT No Till</v>
      </c>
      <c r="C75" s="15" t="str">
        <f>'Exptl Setup'!C73</f>
        <v>f</v>
      </c>
      <c r="D75" s="15">
        <f>'Exptl Setup'!D73</f>
        <v>24</v>
      </c>
      <c r="E75" s="15" t="str">
        <f>'Exptl Setup'!E73</f>
        <v>+</v>
      </c>
      <c r="F75" s="15">
        <f>'Exptl Setup'!F73</f>
        <v>32.006</v>
      </c>
      <c r="G75" s="18">
        <f>'Exptl Setup'!G73</f>
        <v>25.007051203078206</v>
      </c>
      <c r="H75" s="22">
        <v>16</v>
      </c>
      <c r="I75" s="18"/>
      <c r="J75" s="18"/>
      <c r="K75" s="20">
        <v>14.455</v>
      </c>
      <c r="L75" s="19">
        <v>611.23</v>
      </c>
      <c r="M75" s="19"/>
      <c r="N75" s="19"/>
      <c r="O75" s="19"/>
      <c r="P75" s="19"/>
      <c r="Q75" s="311">
        <f t="shared" ref="Q75:Q138" si="2">K75*(260.57+(29.91*$H$2))*(1/1000)</f>
        <v>4.0397839496000003</v>
      </c>
      <c r="R75">
        <f t="shared" ref="R75:R138" si="3">((Q75*$H$3*$H$4)/($H$5*$H$6*$F75))*1000</f>
        <v>146.98824850576113</v>
      </c>
      <c r="S75" s="186">
        <v>32</v>
      </c>
      <c r="T75" s="186" t="s">
        <v>82</v>
      </c>
      <c r="U75" s="187">
        <v>6.0003704290983864</v>
      </c>
      <c r="V75" s="188">
        <f>AVERAGE(I139:I140)</f>
        <v>6.63</v>
      </c>
      <c r="W75" s="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>
      <c r="A76" s="15">
        <f>'Exptl Setup'!A74</f>
        <v>67</v>
      </c>
      <c r="B76" s="15" t="str">
        <f>'Exptl Setup'!B74</f>
        <v>MTT No Till</v>
      </c>
      <c r="C76" s="15" t="str">
        <f>'Exptl Setup'!C74</f>
        <v>a</v>
      </c>
      <c r="D76" s="15">
        <f>'Exptl Setup'!D74</f>
        <v>24</v>
      </c>
      <c r="E76" s="15" t="str">
        <f>'Exptl Setup'!E74</f>
        <v>+</v>
      </c>
      <c r="F76" s="15">
        <f>'Exptl Setup'!F74</f>
        <v>31.997</v>
      </c>
      <c r="G76" s="18">
        <f>'Exptl Setup'!G74</f>
        <v>25.000019288411337</v>
      </c>
      <c r="H76" s="22">
        <v>20</v>
      </c>
      <c r="I76" s="18"/>
      <c r="J76" s="18"/>
      <c r="K76" s="20">
        <v>0.45900000000000002</v>
      </c>
      <c r="L76" s="19">
        <v>242.761</v>
      </c>
      <c r="M76" s="19"/>
      <c r="N76" s="19"/>
      <c r="O76" s="19"/>
      <c r="P76" s="19"/>
      <c r="Q76" s="311">
        <f t="shared" si="2"/>
        <v>0.12827816208000001</v>
      </c>
      <c r="R76">
        <f t="shared" si="3"/>
        <v>4.6687362924557378</v>
      </c>
      <c r="S76" s="186">
        <v>32</v>
      </c>
      <c r="T76" s="186" t="s">
        <v>82</v>
      </c>
      <c r="U76" s="187">
        <v>15.999487624560107</v>
      </c>
      <c r="V76" s="188">
        <f>AVERAGE(I145:I146)</f>
        <v>8.2650000000000006</v>
      </c>
      <c r="W76" s="75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>
      <c r="A77" s="15">
        <f>'Exptl Setup'!A75</f>
        <v>68</v>
      </c>
      <c r="B77" s="15" t="str">
        <f>'Exptl Setup'!B75</f>
        <v>MTT No Till</v>
      </c>
      <c r="C77" s="15" t="str">
        <f>'Exptl Setup'!C75</f>
        <v>b</v>
      </c>
      <c r="D77" s="15">
        <f>'Exptl Setup'!D75</f>
        <v>24</v>
      </c>
      <c r="E77" s="15" t="str">
        <f>'Exptl Setup'!E75</f>
        <v>+</v>
      </c>
      <c r="F77" s="15">
        <f>'Exptl Setup'!F75</f>
        <v>32</v>
      </c>
      <c r="G77" s="18">
        <f>'Exptl Setup'!G75</f>
        <v>25.002363259966963</v>
      </c>
      <c r="H77" s="22">
        <v>20</v>
      </c>
      <c r="I77" s="18"/>
      <c r="J77" s="18"/>
      <c r="K77" s="20">
        <v>0.41599999999999998</v>
      </c>
      <c r="L77" s="19">
        <v>96.352000000000004</v>
      </c>
      <c r="M77" s="19"/>
      <c r="N77" s="19"/>
      <c r="O77" s="19"/>
      <c r="P77" s="19"/>
      <c r="Q77" s="311">
        <f t="shared" si="2"/>
        <v>0.11626081792</v>
      </c>
      <c r="R77">
        <f t="shared" si="3"/>
        <v>4.2309634356125967</v>
      </c>
      <c r="S77" s="186">
        <v>32</v>
      </c>
      <c r="T77" s="186" t="s">
        <v>82</v>
      </c>
      <c r="U77" s="187">
        <v>15.995488502489355</v>
      </c>
      <c r="V77" s="188">
        <f>AVERAGE(I145:I146)</f>
        <v>8.2650000000000006</v>
      </c>
      <c r="W77" s="75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>
      <c r="A78" s="15">
        <f>'Exptl Setup'!A76</f>
        <v>69</v>
      </c>
      <c r="B78" s="15" t="str">
        <f>'Exptl Setup'!B76</f>
        <v>MTT No Till</v>
      </c>
      <c r="C78" s="15" t="str">
        <f>'Exptl Setup'!C76</f>
        <v>c</v>
      </c>
      <c r="D78" s="15">
        <f>'Exptl Setup'!D76</f>
        <v>24</v>
      </c>
      <c r="E78" s="15" t="str">
        <f>'Exptl Setup'!E76</f>
        <v>+</v>
      </c>
      <c r="F78" s="15">
        <f>'Exptl Setup'!F76</f>
        <v>31.997</v>
      </c>
      <c r="G78" s="18">
        <f>'Exptl Setup'!G76</f>
        <v>25.000019288411337</v>
      </c>
      <c r="H78" s="22">
        <v>20</v>
      </c>
      <c r="I78" s="18"/>
      <c r="J78" s="23"/>
      <c r="K78" s="20">
        <v>0.47299999999999998</v>
      </c>
      <c r="L78" s="19">
        <v>77.156999999999996</v>
      </c>
      <c r="M78" s="19"/>
      <c r="N78" s="19"/>
      <c r="O78" s="19"/>
      <c r="P78" s="19"/>
      <c r="Q78" s="311">
        <f t="shared" si="2"/>
        <v>0.13219078575999998</v>
      </c>
      <c r="R78">
        <f t="shared" si="3"/>
        <v>4.8111378351450202</v>
      </c>
      <c r="S78" s="186">
        <v>32</v>
      </c>
      <c r="T78" s="186" t="s">
        <v>82</v>
      </c>
      <c r="U78" s="187">
        <v>15.997487813595217</v>
      </c>
      <c r="V78" s="188">
        <f>AVERAGE(I145:I146)</f>
        <v>8.2650000000000006</v>
      </c>
      <c r="W78" s="75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>
      <c r="A79" s="15">
        <f>'Exptl Setup'!A77</f>
        <v>70</v>
      </c>
      <c r="B79" s="15" t="str">
        <f>'Exptl Setup'!B77</f>
        <v>MTT No Till</v>
      </c>
      <c r="C79" s="15" t="str">
        <f>'Exptl Setup'!C77</f>
        <v>d</v>
      </c>
      <c r="D79" s="15">
        <f>'Exptl Setup'!D77</f>
        <v>24</v>
      </c>
      <c r="E79" s="15" t="str">
        <f>'Exptl Setup'!E77</f>
        <v>+</v>
      </c>
      <c r="F79" s="15">
        <f>'Exptl Setup'!F77</f>
        <v>31.998000000000001</v>
      </c>
      <c r="G79" s="18">
        <f>'Exptl Setup'!G77</f>
        <v>25.000800612263212</v>
      </c>
      <c r="H79" s="22">
        <v>20</v>
      </c>
      <c r="I79" s="18">
        <v>8.94</v>
      </c>
      <c r="J79" s="18">
        <v>5.84</v>
      </c>
      <c r="K79" s="20">
        <v>0.42899999999999999</v>
      </c>
      <c r="L79" s="19">
        <v>205.5</v>
      </c>
      <c r="M79" s="19">
        <v>18.2</v>
      </c>
      <c r="N79" s="19">
        <v>31.23</v>
      </c>
      <c r="O79" s="19">
        <v>554.86999999999989</v>
      </c>
      <c r="P79" s="19">
        <v>4828</v>
      </c>
      <c r="Q79" s="311">
        <f t="shared" si="2"/>
        <v>0.11989396848</v>
      </c>
      <c r="R79">
        <f t="shared" si="3"/>
        <v>4.3634537588354165</v>
      </c>
      <c r="S79" s="186">
        <v>32</v>
      </c>
      <c r="T79" s="186" t="s">
        <v>82</v>
      </c>
      <c r="U79" s="187">
        <v>19.996859766994024</v>
      </c>
      <c r="V79" s="188">
        <f>AVERAGE(I151:I152)</f>
        <v>8.7650000000000006</v>
      </c>
      <c r="W79" s="75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>
      <c r="A80" s="15">
        <f>'Exptl Setup'!A78</f>
        <v>71</v>
      </c>
      <c r="B80" s="15" t="str">
        <f>'Exptl Setup'!B78</f>
        <v>MTT No Till</v>
      </c>
      <c r="C80" s="15" t="str">
        <f>'Exptl Setup'!C78</f>
        <v>e</v>
      </c>
      <c r="D80" s="15">
        <f>'Exptl Setup'!D78</f>
        <v>24</v>
      </c>
      <c r="E80" s="15" t="str">
        <f>'Exptl Setup'!E78</f>
        <v>+</v>
      </c>
      <c r="F80" s="15">
        <f>'Exptl Setup'!F78</f>
        <v>32.002000000000002</v>
      </c>
      <c r="G80" s="18">
        <f>'Exptl Setup'!G78</f>
        <v>25.003925907670713</v>
      </c>
      <c r="H80" s="22">
        <v>20</v>
      </c>
      <c r="I80" s="18">
        <v>9</v>
      </c>
      <c r="J80" s="18">
        <v>5.98</v>
      </c>
      <c r="K80" s="20">
        <v>0.44</v>
      </c>
      <c r="L80" s="19">
        <v>93.340999999999994</v>
      </c>
      <c r="M80" s="19">
        <v>19.079999999999998</v>
      </c>
      <c r="N80" s="19">
        <v>31.88</v>
      </c>
      <c r="O80" s="19">
        <v>519.74</v>
      </c>
      <c r="P80" s="19">
        <v>3796</v>
      </c>
      <c r="Q80" s="311">
        <f t="shared" si="2"/>
        <v>0.12296817280000001</v>
      </c>
      <c r="R80">
        <f t="shared" si="3"/>
        <v>4.4747778063619634</v>
      </c>
      <c r="S80" s="186">
        <v>32</v>
      </c>
      <c r="T80" s="186" t="s">
        <v>82</v>
      </c>
      <c r="U80" s="187">
        <v>19.998109570729465</v>
      </c>
      <c r="V80" s="188">
        <f>AVERAGE(I151:I152)</f>
        <v>8.7650000000000006</v>
      </c>
      <c r="W80" s="75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ht="15.75" thickBot="1">
      <c r="A81" s="15">
        <f>'Exptl Setup'!A79</f>
        <v>72</v>
      </c>
      <c r="B81" s="15" t="str">
        <f>'Exptl Setup'!B79</f>
        <v>MTT No Till</v>
      </c>
      <c r="C81" s="15" t="str">
        <f>'Exptl Setup'!C79</f>
        <v>f</v>
      </c>
      <c r="D81" s="15">
        <f>'Exptl Setup'!D79</f>
        <v>24</v>
      </c>
      <c r="E81" s="15" t="str">
        <f>'Exptl Setup'!E79</f>
        <v>+</v>
      </c>
      <c r="F81" s="15">
        <f>'Exptl Setup'!F79</f>
        <v>31.997</v>
      </c>
      <c r="G81" s="18">
        <f>'Exptl Setup'!G79</f>
        <v>25.000019288411337</v>
      </c>
      <c r="H81" s="22">
        <v>20</v>
      </c>
      <c r="I81" s="18"/>
      <c r="J81" s="18"/>
      <c r="K81" s="20">
        <v>0.39</v>
      </c>
      <c r="L81" s="19">
        <v>101.244</v>
      </c>
      <c r="M81" s="19"/>
      <c r="N81" s="19"/>
      <c r="O81" s="19"/>
      <c r="P81" s="19"/>
      <c r="Q81" s="311">
        <f t="shared" si="2"/>
        <v>0.1089945168</v>
      </c>
      <c r="R81">
        <f t="shared" si="3"/>
        <v>3.9669001177728496</v>
      </c>
      <c r="S81" s="189">
        <v>32</v>
      </c>
      <c r="T81" s="189" t="s">
        <v>82</v>
      </c>
      <c r="U81" s="190">
        <v>20.003110348316543</v>
      </c>
      <c r="V81" s="188">
        <f>AVERAGE(I151:I152)</f>
        <v>8.7650000000000006</v>
      </c>
      <c r="W81" s="75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>
      <c r="A82" s="15">
        <f>'Exptl Setup'!A80</f>
        <v>73</v>
      </c>
      <c r="B82" s="15" t="str">
        <f>'Exptl Setup'!B80</f>
        <v>MTT No Till</v>
      </c>
      <c r="C82" s="15" t="str">
        <f>'Exptl Setup'!C80</f>
        <v>a</v>
      </c>
      <c r="D82" s="15">
        <f>'Exptl Setup'!D80</f>
        <v>24</v>
      </c>
      <c r="E82" s="15" t="str">
        <f>'Exptl Setup'!E80</f>
        <v>-</v>
      </c>
      <c r="F82" s="15">
        <f>'Exptl Setup'!F80</f>
        <v>32.002000000000002</v>
      </c>
      <c r="G82" s="18">
        <f>'Exptl Setup'!G80</f>
        <v>25.003925907670713</v>
      </c>
      <c r="H82" s="22">
        <v>0</v>
      </c>
      <c r="I82" s="18"/>
      <c r="J82" s="18"/>
      <c r="K82" s="20">
        <v>386.63600000000002</v>
      </c>
      <c r="L82" s="19">
        <v>3303.8049999999998</v>
      </c>
      <c r="M82" s="19"/>
      <c r="N82" s="19"/>
      <c r="O82" s="19"/>
      <c r="P82" s="19"/>
      <c r="Q82" s="311">
        <f t="shared" si="2"/>
        <v>108.05436922432001</v>
      </c>
      <c r="R82">
        <f t="shared" si="3"/>
        <v>3932.0686180467364</v>
      </c>
      <c r="S82" s="191">
        <v>40</v>
      </c>
      <c r="T82" s="191" t="s">
        <v>81</v>
      </c>
      <c r="U82" s="192">
        <v>0</v>
      </c>
      <c r="V82" s="188">
        <f>AVERAGE(I157:I158)</f>
        <v>4.58</v>
      </c>
      <c r="W82" s="75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>
      <c r="A83" s="15">
        <f>'Exptl Setup'!A81</f>
        <v>74</v>
      </c>
      <c r="B83" s="15" t="str">
        <f>'Exptl Setup'!B81</f>
        <v>MTT No Till</v>
      </c>
      <c r="C83" s="15" t="str">
        <f>'Exptl Setup'!C81</f>
        <v>b</v>
      </c>
      <c r="D83" s="15">
        <f>'Exptl Setup'!D81</f>
        <v>24</v>
      </c>
      <c r="E83" s="15" t="str">
        <f>'Exptl Setup'!E81</f>
        <v>-</v>
      </c>
      <c r="F83" s="15">
        <f>'Exptl Setup'!F81</f>
        <v>31.992000000000001</v>
      </c>
      <c r="G83" s="18">
        <f>'Exptl Setup'!G81</f>
        <v>24.996112669151969</v>
      </c>
      <c r="H83" s="22">
        <v>0</v>
      </c>
      <c r="I83" s="18"/>
      <c r="J83" s="23"/>
      <c r="K83" s="20">
        <v>409.21800000000002</v>
      </c>
      <c r="L83" s="19">
        <v>3177.72</v>
      </c>
      <c r="M83" s="19"/>
      <c r="N83" s="19"/>
      <c r="O83" s="19"/>
      <c r="P83" s="19"/>
      <c r="Q83" s="311">
        <f t="shared" si="2"/>
        <v>114.36543122016</v>
      </c>
      <c r="R83">
        <f t="shared" si="3"/>
        <v>4163.0272837308248</v>
      </c>
      <c r="S83" s="186">
        <v>40</v>
      </c>
      <c r="T83" s="186" t="s">
        <v>81</v>
      </c>
      <c r="U83" s="187">
        <v>0</v>
      </c>
      <c r="V83" s="188">
        <f>AVERAGE(I157:I158)</f>
        <v>4.58</v>
      </c>
      <c r="W83" s="75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>
      <c r="A84" s="15">
        <f>'Exptl Setup'!A82</f>
        <v>75</v>
      </c>
      <c r="B84" s="15" t="str">
        <f>'Exptl Setup'!B82</f>
        <v>MTT No Till</v>
      </c>
      <c r="C84" s="15" t="str">
        <f>'Exptl Setup'!C82</f>
        <v>c</v>
      </c>
      <c r="D84" s="15">
        <f>'Exptl Setup'!D82</f>
        <v>24</v>
      </c>
      <c r="E84" s="15" t="str">
        <f>'Exptl Setup'!E82</f>
        <v>-</v>
      </c>
      <c r="F84" s="15">
        <f>'Exptl Setup'!F82</f>
        <v>31.998999999999999</v>
      </c>
      <c r="G84" s="18">
        <f>'Exptl Setup'!G82</f>
        <v>25.001581936115088</v>
      </c>
      <c r="H84" s="22">
        <v>0</v>
      </c>
      <c r="I84" s="18"/>
      <c r="J84" s="23"/>
      <c r="K84" s="20">
        <v>373.68900000000002</v>
      </c>
      <c r="L84" s="19">
        <v>3277.8359999999998</v>
      </c>
      <c r="M84" s="19"/>
      <c r="N84" s="19"/>
      <c r="O84" s="19"/>
      <c r="P84" s="19"/>
      <c r="Q84" s="311">
        <f t="shared" si="2"/>
        <v>104.43603073968001</v>
      </c>
      <c r="R84">
        <f t="shared" si="3"/>
        <v>3800.7545795677161</v>
      </c>
      <c r="S84" s="186">
        <v>40</v>
      </c>
      <c r="T84" s="186" t="s">
        <v>81</v>
      </c>
      <c r="U84" s="187">
        <v>0</v>
      </c>
      <c r="V84" s="188">
        <f>AVERAGE(I157:I158)</f>
        <v>4.58</v>
      </c>
      <c r="W84" s="75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>
      <c r="A85" s="15">
        <f>'Exptl Setup'!A83</f>
        <v>76</v>
      </c>
      <c r="B85" s="15" t="str">
        <f>'Exptl Setup'!B83</f>
        <v>MTT No Till</v>
      </c>
      <c r="C85" s="15" t="str">
        <f>'Exptl Setup'!C83</f>
        <v>d</v>
      </c>
      <c r="D85" s="15">
        <f>'Exptl Setup'!D83</f>
        <v>24</v>
      </c>
      <c r="E85" s="15" t="str">
        <f>'Exptl Setup'!E83</f>
        <v>-</v>
      </c>
      <c r="F85" s="15">
        <f>'Exptl Setup'!F83</f>
        <v>32.008000000000003</v>
      </c>
      <c r="G85" s="18">
        <f>'Exptl Setup'!G83</f>
        <v>25.008613850781956</v>
      </c>
      <c r="H85" s="22">
        <v>0</v>
      </c>
      <c r="I85" s="18">
        <v>4.71</v>
      </c>
      <c r="J85" s="23">
        <v>5.88</v>
      </c>
      <c r="K85" s="20">
        <v>1.7210000000000001</v>
      </c>
      <c r="L85" s="19">
        <v>88.070999999999998</v>
      </c>
      <c r="M85" s="19">
        <v>3.8624999999999998</v>
      </c>
      <c r="N85" s="19">
        <v>2.7679999999999998</v>
      </c>
      <c r="O85" s="19">
        <v>6.1544999999999996</v>
      </c>
      <c r="P85" s="19">
        <v>43.67</v>
      </c>
      <c r="Q85" s="311">
        <f t="shared" si="2"/>
        <v>0.48097323951999998</v>
      </c>
      <c r="R85">
        <f t="shared" si="3"/>
        <v>17.499202297236451</v>
      </c>
      <c r="S85" s="186">
        <v>40</v>
      </c>
      <c r="T85" s="186" t="s">
        <v>81</v>
      </c>
      <c r="U85" s="187">
        <v>6.0003704290983864</v>
      </c>
      <c r="V85" s="188">
        <f>AVERAGE(I163:I164)</f>
        <v>6.6400000000000006</v>
      </c>
      <c r="W85" s="7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59">
      <c r="A86" s="15">
        <f>'Exptl Setup'!A84</f>
        <v>77</v>
      </c>
      <c r="B86" s="15" t="str">
        <f>'Exptl Setup'!B84</f>
        <v>MTT No Till</v>
      </c>
      <c r="C86" s="15" t="str">
        <f>'Exptl Setup'!C84</f>
        <v>e</v>
      </c>
      <c r="D86" s="15">
        <f>'Exptl Setup'!D84</f>
        <v>24</v>
      </c>
      <c r="E86" s="15" t="str">
        <f>'Exptl Setup'!E84</f>
        <v>-</v>
      </c>
      <c r="F86" s="15">
        <f>'Exptl Setup'!F84</f>
        <v>32.003</v>
      </c>
      <c r="G86" s="18">
        <f>'Exptl Setup'!G84</f>
        <v>25.004707231522584</v>
      </c>
      <c r="H86" s="22">
        <v>0</v>
      </c>
      <c r="I86" s="18">
        <v>4.72</v>
      </c>
      <c r="J86" s="23">
        <v>6.04</v>
      </c>
      <c r="K86" s="20">
        <v>405.82</v>
      </c>
      <c r="L86" s="19">
        <v>3435.16</v>
      </c>
      <c r="M86" s="19">
        <v>4.1115000000000004</v>
      </c>
      <c r="N86" s="19">
        <v>2.4285000000000001</v>
      </c>
      <c r="O86" s="19">
        <v>5.0399999999999983</v>
      </c>
      <c r="P86" s="19">
        <v>34.92</v>
      </c>
      <c r="Q86" s="311">
        <f t="shared" si="2"/>
        <v>113.4157815584</v>
      </c>
      <c r="R86">
        <f t="shared" si="3"/>
        <v>4127.0399684652248</v>
      </c>
      <c r="S86" s="186">
        <v>40</v>
      </c>
      <c r="T86" s="186" t="s">
        <v>81</v>
      </c>
      <c r="U86" s="187">
        <v>5.9986830358393597</v>
      </c>
      <c r="V86" s="188">
        <f>AVERAGE(I163:I164)</f>
        <v>6.6400000000000006</v>
      </c>
      <c r="W86" s="75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59">
      <c r="A87" s="15">
        <f>'Exptl Setup'!A85</f>
        <v>78</v>
      </c>
      <c r="B87" s="15" t="str">
        <f>'Exptl Setup'!B85</f>
        <v>MTT No Till</v>
      </c>
      <c r="C87" s="15" t="str">
        <f>'Exptl Setup'!C85</f>
        <v>f</v>
      </c>
      <c r="D87" s="15">
        <f>'Exptl Setup'!D85</f>
        <v>24</v>
      </c>
      <c r="E87" s="15" t="str">
        <f>'Exptl Setup'!E85</f>
        <v>-</v>
      </c>
      <c r="F87" s="15">
        <f>'Exptl Setup'!F85</f>
        <v>31.998999999999999</v>
      </c>
      <c r="G87" s="18">
        <f>'Exptl Setup'!G85</f>
        <v>25.001581936115088</v>
      </c>
      <c r="H87" s="22">
        <v>0</v>
      </c>
      <c r="I87" s="18"/>
      <c r="J87" s="18"/>
      <c r="K87" s="20">
        <v>395.77800000000002</v>
      </c>
      <c r="L87" s="19">
        <v>3364.4009999999998</v>
      </c>
      <c r="M87" s="19"/>
      <c r="N87" s="19"/>
      <c r="O87" s="19"/>
      <c r="P87" s="19"/>
      <c r="Q87" s="311">
        <f t="shared" si="2"/>
        <v>110.60931248736</v>
      </c>
      <c r="R87">
        <f t="shared" si="3"/>
        <v>4025.4196564312883</v>
      </c>
      <c r="S87" s="186">
        <v>40</v>
      </c>
      <c r="T87" s="186" t="s">
        <v>81</v>
      </c>
      <c r="U87" s="187">
        <v>5.9999953707848501</v>
      </c>
      <c r="V87" s="188">
        <f>AVERAGE(I163:I164)</f>
        <v>6.6400000000000006</v>
      </c>
      <c r="W87" s="75"/>
      <c r="X87"/>
    </row>
    <row r="88" spans="1:59">
      <c r="A88" s="15">
        <f>'Exptl Setup'!A86</f>
        <v>79</v>
      </c>
      <c r="B88" s="15" t="str">
        <f>'Exptl Setup'!B86</f>
        <v>MTT No Till</v>
      </c>
      <c r="C88" s="15" t="str">
        <f>'Exptl Setup'!C86</f>
        <v>a</v>
      </c>
      <c r="D88" s="15">
        <f>'Exptl Setup'!D86</f>
        <v>24</v>
      </c>
      <c r="E88" s="15" t="str">
        <f>'Exptl Setup'!E86</f>
        <v>-</v>
      </c>
      <c r="F88" s="15">
        <f>'Exptl Setup'!F86</f>
        <v>31.997</v>
      </c>
      <c r="G88" s="18">
        <f>'Exptl Setup'!G86</f>
        <v>25.000019288411337</v>
      </c>
      <c r="H88" s="22">
        <v>6</v>
      </c>
      <c r="I88" s="18"/>
      <c r="J88" s="23"/>
      <c r="K88" s="20">
        <v>2.46</v>
      </c>
      <c r="L88" s="19">
        <v>6981.35</v>
      </c>
      <c r="M88" s="19"/>
      <c r="N88" s="19"/>
      <c r="O88" s="19"/>
      <c r="P88" s="19"/>
      <c r="Q88" s="311">
        <f t="shared" si="2"/>
        <v>0.68750387519999989</v>
      </c>
      <c r="R88">
        <f t="shared" si="3"/>
        <v>25.021985358259514</v>
      </c>
      <c r="S88" s="186">
        <v>40</v>
      </c>
      <c r="T88" s="186" t="s">
        <v>81</v>
      </c>
      <c r="U88" s="187">
        <v>16.001487935571493</v>
      </c>
      <c r="V88" s="188">
        <f>AVERAGE(I169:I170)</f>
        <v>8.4049999999999994</v>
      </c>
      <c r="W88" s="75"/>
      <c r="X88"/>
    </row>
    <row r="89" spans="1:59">
      <c r="A89" s="15">
        <f>'Exptl Setup'!A87</f>
        <v>80</v>
      </c>
      <c r="B89" s="15" t="str">
        <f>'Exptl Setup'!B87</f>
        <v>MTT No Till</v>
      </c>
      <c r="C89" s="15" t="str">
        <f>'Exptl Setup'!C87</f>
        <v>b</v>
      </c>
      <c r="D89" s="15">
        <f>'Exptl Setup'!D87</f>
        <v>24</v>
      </c>
      <c r="E89" s="15" t="str">
        <f>'Exptl Setup'!E87</f>
        <v>-</v>
      </c>
      <c r="F89" s="15">
        <f>'Exptl Setup'!F87</f>
        <v>31.995999999999999</v>
      </c>
      <c r="G89" s="18">
        <f>'Exptl Setup'!G87</f>
        <v>24.999237964559462</v>
      </c>
      <c r="H89" s="22">
        <v>6</v>
      </c>
      <c r="I89" s="18"/>
      <c r="J89" s="23"/>
      <c r="K89" s="20">
        <v>0.56899999999999995</v>
      </c>
      <c r="L89" s="19">
        <v>6849.6189999999997</v>
      </c>
      <c r="M89" s="19"/>
      <c r="N89" s="19"/>
      <c r="O89" s="19"/>
      <c r="P89" s="19"/>
      <c r="Q89" s="311">
        <f t="shared" si="2"/>
        <v>0.15902020527999997</v>
      </c>
      <c r="R89">
        <f t="shared" si="3"/>
        <v>5.7877864417272509</v>
      </c>
      <c r="S89" s="186">
        <v>40</v>
      </c>
      <c r="T89" s="186" t="s">
        <v>81</v>
      </c>
      <c r="U89" s="187">
        <v>15.995988283414286</v>
      </c>
      <c r="V89" s="188">
        <f>AVERAGE(I169:I170)</f>
        <v>8.4049999999999994</v>
      </c>
      <c r="W89" s="75"/>
      <c r="X89"/>
    </row>
    <row r="90" spans="1:59">
      <c r="A90" s="15">
        <f>'Exptl Setup'!A88</f>
        <v>81</v>
      </c>
      <c r="B90" s="15" t="str">
        <f>'Exptl Setup'!B88</f>
        <v>MTT No Till</v>
      </c>
      <c r="C90" s="15" t="str">
        <f>'Exptl Setup'!C88</f>
        <v>c</v>
      </c>
      <c r="D90" s="15">
        <f>'Exptl Setup'!D88</f>
        <v>24</v>
      </c>
      <c r="E90" s="15" t="str">
        <f>'Exptl Setup'!E88</f>
        <v>-</v>
      </c>
      <c r="F90" s="15">
        <f>'Exptl Setup'!F88</f>
        <v>32.01</v>
      </c>
      <c r="G90" s="18">
        <f>'Exptl Setup'!G88</f>
        <v>25.010176498485698</v>
      </c>
      <c r="H90" s="22">
        <v>6</v>
      </c>
      <c r="I90" s="18"/>
      <c r="J90" s="18"/>
      <c r="K90" s="20">
        <v>0.48699999999999999</v>
      </c>
      <c r="L90" s="19">
        <v>6810.1</v>
      </c>
      <c r="M90" s="19"/>
      <c r="N90" s="19"/>
      <c r="O90" s="19"/>
      <c r="P90" s="19"/>
      <c r="Q90" s="311">
        <f t="shared" si="2"/>
        <v>0.13610340944000002</v>
      </c>
      <c r="R90">
        <f t="shared" si="3"/>
        <v>4.9515276311329028</v>
      </c>
      <c r="S90" s="186">
        <v>40</v>
      </c>
      <c r="T90" s="186" t="s">
        <v>81</v>
      </c>
      <c r="U90" s="187">
        <v>15.997987719467337</v>
      </c>
      <c r="V90" s="188">
        <f>AVERAGE(I169:I170)</f>
        <v>8.4049999999999994</v>
      </c>
      <c r="W90" s="75"/>
      <c r="X90"/>
    </row>
    <row r="91" spans="1:59">
      <c r="A91" s="15">
        <f>'Exptl Setup'!A89</f>
        <v>82</v>
      </c>
      <c r="B91" s="15" t="str">
        <f>'Exptl Setup'!B89</f>
        <v>MTT No Till</v>
      </c>
      <c r="C91" s="15" t="str">
        <f>'Exptl Setup'!C89</f>
        <v>d</v>
      </c>
      <c r="D91" s="15">
        <f>'Exptl Setup'!D89</f>
        <v>24</v>
      </c>
      <c r="E91" s="15" t="str">
        <f>'Exptl Setup'!E89</f>
        <v>-</v>
      </c>
      <c r="F91" s="15">
        <f>'Exptl Setup'!F89</f>
        <v>32.003</v>
      </c>
      <c r="G91" s="18">
        <f>'Exptl Setup'!G89</f>
        <v>25.004707231522584</v>
      </c>
      <c r="H91" s="22">
        <v>6</v>
      </c>
      <c r="I91" s="18">
        <v>6.67</v>
      </c>
      <c r="J91" s="18">
        <v>5.2</v>
      </c>
      <c r="K91" s="20">
        <v>0.372</v>
      </c>
      <c r="L91" s="19">
        <v>7250.8329999999996</v>
      </c>
      <c r="M91" s="19">
        <v>0.1958</v>
      </c>
      <c r="N91" s="19">
        <v>7.9649999999999999</v>
      </c>
      <c r="O91" s="19">
        <v>12.389418340611355</v>
      </c>
      <c r="P91" s="19">
        <v>220.2</v>
      </c>
      <c r="Q91" s="311">
        <f t="shared" si="2"/>
        <v>0.10396400064</v>
      </c>
      <c r="R91">
        <f t="shared" si="3"/>
        <v>3.7831030217068244</v>
      </c>
      <c r="S91" s="186">
        <v>40</v>
      </c>
      <c r="T91" s="186" t="s">
        <v>81</v>
      </c>
      <c r="U91" s="187">
        <v>19.997484649334176</v>
      </c>
      <c r="V91" s="188">
        <f>AVERAGE(I175:I176)</f>
        <v>8.7149999999999999</v>
      </c>
      <c r="W91" s="75"/>
      <c r="X91"/>
    </row>
    <row r="92" spans="1:59">
      <c r="A92" s="15">
        <f>'Exptl Setup'!A90</f>
        <v>83</v>
      </c>
      <c r="B92" s="15" t="str">
        <f>'Exptl Setup'!B90</f>
        <v>MTT No Till</v>
      </c>
      <c r="C92" s="15" t="str">
        <f>'Exptl Setup'!C90</f>
        <v>e</v>
      </c>
      <c r="D92" s="15">
        <f>'Exptl Setup'!D90</f>
        <v>24</v>
      </c>
      <c r="E92" s="15" t="str">
        <f>'Exptl Setup'!E90</f>
        <v>-</v>
      </c>
      <c r="F92" s="15">
        <f>'Exptl Setup'!F90</f>
        <v>31.995999999999999</v>
      </c>
      <c r="G92" s="18">
        <f>'Exptl Setup'!G90</f>
        <v>24.999237964559462</v>
      </c>
      <c r="H92" s="22">
        <v>6</v>
      </c>
      <c r="I92" s="18">
        <v>6.69</v>
      </c>
      <c r="J92" s="18">
        <v>5.34</v>
      </c>
      <c r="K92" s="20">
        <v>0.38700000000000001</v>
      </c>
      <c r="L92" s="19">
        <v>7971.9639999999999</v>
      </c>
      <c r="M92" s="19">
        <v>0.17165</v>
      </c>
      <c r="N92" s="19">
        <v>8.0850000000000009</v>
      </c>
      <c r="O92" s="19">
        <v>15.485708078602624</v>
      </c>
      <c r="P92" s="19">
        <v>247.89999999999998</v>
      </c>
      <c r="Q92" s="311">
        <f t="shared" si="2"/>
        <v>0.10815609744</v>
      </c>
      <c r="R92">
        <f t="shared" si="3"/>
        <v>3.9365085289076389</v>
      </c>
      <c r="S92" s="186">
        <v>40</v>
      </c>
      <c r="T92" s="186" t="s">
        <v>81</v>
      </c>
      <c r="U92" s="187">
        <v>20.004360933521191</v>
      </c>
      <c r="V92" s="188">
        <f>AVERAGE(I175:I176)</f>
        <v>8.7149999999999999</v>
      </c>
      <c r="W92" s="75"/>
      <c r="X92"/>
    </row>
    <row r="93" spans="1:59">
      <c r="A93" s="15">
        <f>'Exptl Setup'!A91</f>
        <v>84</v>
      </c>
      <c r="B93" s="15" t="str">
        <f>'Exptl Setup'!B91</f>
        <v>MTT No Till</v>
      </c>
      <c r="C93" s="15" t="str">
        <f>'Exptl Setup'!C91</f>
        <v>f</v>
      </c>
      <c r="D93" s="15">
        <f>'Exptl Setup'!D91</f>
        <v>24</v>
      </c>
      <c r="E93" s="15" t="str">
        <f>'Exptl Setup'!E91</f>
        <v>-</v>
      </c>
      <c r="F93" s="15">
        <f>'Exptl Setup'!F91</f>
        <v>32.003999999999998</v>
      </c>
      <c r="G93" s="18">
        <f>'Exptl Setup'!G91</f>
        <v>25.005488555374455</v>
      </c>
      <c r="H93" s="22">
        <v>6</v>
      </c>
      <c r="I93" s="18"/>
      <c r="J93" s="23"/>
      <c r="K93" s="20">
        <v>0.46500000000000002</v>
      </c>
      <c r="L93" s="19">
        <v>7037.8059999999996</v>
      </c>
      <c r="M93" s="19"/>
      <c r="N93" s="19"/>
      <c r="O93" s="19"/>
      <c r="P93" s="19"/>
      <c r="Q93" s="311">
        <f t="shared" si="2"/>
        <v>0.1299550008</v>
      </c>
      <c r="R93">
        <f t="shared" si="3"/>
        <v>4.7287310181416196</v>
      </c>
      <c r="S93" s="186">
        <v>40</v>
      </c>
      <c r="T93" s="186" t="s">
        <v>81</v>
      </c>
      <c r="U93" s="187">
        <v>19.993735940992373</v>
      </c>
      <c r="V93" s="188">
        <f>AVERAGE(I175:I176)</f>
        <v>8.7149999999999999</v>
      </c>
      <c r="W93" s="75"/>
      <c r="X93"/>
    </row>
    <row r="94" spans="1:59">
      <c r="A94" s="15">
        <f>'Exptl Setup'!A92</f>
        <v>85</v>
      </c>
      <c r="B94" s="15" t="str">
        <f>'Exptl Setup'!B92</f>
        <v>MTT No Till</v>
      </c>
      <c r="C94" s="15" t="str">
        <f>'Exptl Setup'!C92</f>
        <v>a</v>
      </c>
      <c r="D94" s="15">
        <f>'Exptl Setup'!D92</f>
        <v>24</v>
      </c>
      <c r="E94" s="15" t="str">
        <f>'Exptl Setup'!E92</f>
        <v>-</v>
      </c>
      <c r="F94" s="15">
        <f>'Exptl Setup'!F92</f>
        <v>31.995999999999999</v>
      </c>
      <c r="G94" s="18">
        <f>'Exptl Setup'!G92</f>
        <v>24.999237964559462</v>
      </c>
      <c r="H94" s="22">
        <v>16</v>
      </c>
      <c r="I94" s="18"/>
      <c r="J94" s="23"/>
      <c r="K94" s="20">
        <v>12.884</v>
      </c>
      <c r="L94" s="19">
        <v>505.46899999999999</v>
      </c>
      <c r="M94" s="19"/>
      <c r="N94" s="19"/>
      <c r="O94" s="19"/>
      <c r="P94" s="19"/>
      <c r="Q94" s="311">
        <f t="shared" si="2"/>
        <v>3.6007316780800003</v>
      </c>
      <c r="R94">
        <f t="shared" si="3"/>
        <v>131.05420125696648</v>
      </c>
      <c r="S94" s="186">
        <v>40</v>
      </c>
      <c r="T94" s="186" t="s">
        <v>82</v>
      </c>
      <c r="U94" s="187">
        <v>0</v>
      </c>
      <c r="V94" s="188">
        <f>AVERAGE(I181:I182)</f>
        <v>4.5950000000000006</v>
      </c>
      <c r="W94" s="75"/>
      <c r="X94"/>
    </row>
    <row r="95" spans="1:59">
      <c r="A95" s="15">
        <f>'Exptl Setup'!A93</f>
        <v>86</v>
      </c>
      <c r="B95" s="15" t="str">
        <f>'Exptl Setup'!B93</f>
        <v>MTT No Till</v>
      </c>
      <c r="C95" s="15" t="str">
        <f>'Exptl Setup'!C93</f>
        <v>b</v>
      </c>
      <c r="D95" s="15">
        <f>'Exptl Setup'!D93</f>
        <v>24</v>
      </c>
      <c r="E95" s="15" t="str">
        <f>'Exptl Setup'!E93</f>
        <v>-</v>
      </c>
      <c r="F95" s="15">
        <f>'Exptl Setup'!F93</f>
        <v>31.997</v>
      </c>
      <c r="G95" s="18">
        <f>'Exptl Setup'!G93</f>
        <v>25.000019288411337</v>
      </c>
      <c r="H95" s="22">
        <v>16</v>
      </c>
      <c r="I95" s="18"/>
      <c r="J95" s="18"/>
      <c r="K95" s="20">
        <v>12.266999999999999</v>
      </c>
      <c r="L95" s="19">
        <v>464.82100000000003</v>
      </c>
      <c r="M95" s="19"/>
      <c r="N95" s="19"/>
      <c r="O95" s="19"/>
      <c r="P95" s="19"/>
      <c r="Q95" s="311">
        <f t="shared" si="2"/>
        <v>3.4282967630400001</v>
      </c>
      <c r="R95">
        <f t="shared" si="3"/>
        <v>124.77426601210141</v>
      </c>
      <c r="S95" s="186">
        <v>40</v>
      </c>
      <c r="T95" s="186" t="s">
        <v>82</v>
      </c>
      <c r="U95" s="187">
        <v>0</v>
      </c>
      <c r="V95" s="188">
        <f>AVERAGE(I181:I182)</f>
        <v>4.5950000000000006</v>
      </c>
      <c r="W95" s="75"/>
      <c r="X95"/>
    </row>
    <row r="96" spans="1:59">
      <c r="A96" s="15">
        <f>'Exptl Setup'!A94</f>
        <v>87</v>
      </c>
      <c r="B96" s="15" t="str">
        <f>'Exptl Setup'!B94</f>
        <v>MTT No Till</v>
      </c>
      <c r="C96" s="15" t="str">
        <f>'Exptl Setup'!C94</f>
        <v>c</v>
      </c>
      <c r="D96" s="15">
        <f>'Exptl Setup'!D94</f>
        <v>24</v>
      </c>
      <c r="E96" s="15" t="str">
        <f>'Exptl Setup'!E94</f>
        <v>-</v>
      </c>
      <c r="F96" s="15">
        <f>'Exptl Setup'!F94</f>
        <v>31.998999999999999</v>
      </c>
      <c r="G96" s="18">
        <f>'Exptl Setup'!G94</f>
        <v>25.001581936115088</v>
      </c>
      <c r="H96" s="22">
        <v>16</v>
      </c>
      <c r="I96" s="18"/>
      <c r="J96" s="18"/>
      <c r="K96" s="20">
        <v>13.260999999999999</v>
      </c>
      <c r="L96" s="19">
        <v>500.2</v>
      </c>
      <c r="M96" s="19"/>
      <c r="N96" s="19"/>
      <c r="O96" s="19"/>
      <c r="P96" s="19"/>
      <c r="Q96" s="311">
        <f t="shared" si="2"/>
        <v>3.7060930443199998</v>
      </c>
      <c r="R96">
        <f t="shared" si="3"/>
        <v>134.8763449811139</v>
      </c>
      <c r="S96" s="186">
        <v>40</v>
      </c>
      <c r="T96" s="186" t="s">
        <v>82</v>
      </c>
      <c r="U96" s="187">
        <v>0</v>
      </c>
      <c r="V96" s="188">
        <f>AVERAGE(I181:I182)</f>
        <v>4.5950000000000006</v>
      </c>
      <c r="W96" s="75"/>
      <c r="X96"/>
    </row>
    <row r="97" spans="1:24">
      <c r="A97" s="15">
        <f>'Exptl Setup'!A95</f>
        <v>88</v>
      </c>
      <c r="B97" s="15" t="str">
        <f>'Exptl Setup'!B95</f>
        <v>MTT No Till</v>
      </c>
      <c r="C97" s="15" t="str">
        <f>'Exptl Setup'!C95</f>
        <v>d</v>
      </c>
      <c r="D97" s="15">
        <f>'Exptl Setup'!D95</f>
        <v>24</v>
      </c>
      <c r="E97" s="15" t="str">
        <f>'Exptl Setup'!E95</f>
        <v>-</v>
      </c>
      <c r="F97" s="15">
        <f>'Exptl Setup'!F95</f>
        <v>32.009</v>
      </c>
      <c r="G97" s="18">
        <f>'Exptl Setup'!G95</f>
        <v>25.009395174633827</v>
      </c>
      <c r="H97" s="22">
        <v>16</v>
      </c>
      <c r="I97" s="18">
        <v>8.1999999999999993</v>
      </c>
      <c r="J97" s="18">
        <v>6.18</v>
      </c>
      <c r="K97" s="20">
        <v>12.497</v>
      </c>
      <c r="L97" s="19">
        <v>546.87</v>
      </c>
      <c r="M97" s="19">
        <v>3.0739999999999998</v>
      </c>
      <c r="N97" s="19">
        <v>26.01</v>
      </c>
      <c r="O97" s="19">
        <v>291.11599999999999</v>
      </c>
      <c r="P97" s="19">
        <v>4661</v>
      </c>
      <c r="Q97" s="311">
        <f t="shared" si="2"/>
        <v>3.4925755806399996</v>
      </c>
      <c r="R97">
        <f t="shared" si="3"/>
        <v>127.06606568549375</v>
      </c>
      <c r="S97" s="186">
        <v>40</v>
      </c>
      <c r="T97" s="186" t="s">
        <v>82</v>
      </c>
      <c r="U97" s="187">
        <v>6.0003704290983864</v>
      </c>
      <c r="V97" s="188">
        <f>AVERAGE(I187:I188)</f>
        <v>6.68</v>
      </c>
      <c r="W97" s="75"/>
      <c r="X97"/>
    </row>
    <row r="98" spans="1:24">
      <c r="A98" s="15">
        <f>'Exptl Setup'!A96</f>
        <v>89</v>
      </c>
      <c r="B98" s="15" t="str">
        <f>'Exptl Setup'!B96</f>
        <v>MTT No Till</v>
      </c>
      <c r="C98" s="15" t="str">
        <f>'Exptl Setup'!C96</f>
        <v>e</v>
      </c>
      <c r="D98" s="15">
        <f>'Exptl Setup'!D96</f>
        <v>24</v>
      </c>
      <c r="E98" s="15" t="str">
        <f>'Exptl Setup'!E96</f>
        <v>-</v>
      </c>
      <c r="F98" s="15">
        <f>'Exptl Setup'!F96</f>
        <v>32.002000000000002</v>
      </c>
      <c r="G98" s="18">
        <f>'Exptl Setup'!G96</f>
        <v>25.003925907670713</v>
      </c>
      <c r="H98" s="22">
        <v>16</v>
      </c>
      <c r="I98" s="18">
        <v>8.26</v>
      </c>
      <c r="J98" s="18">
        <v>6.14</v>
      </c>
      <c r="K98" s="20">
        <v>11.282999999999999</v>
      </c>
      <c r="L98" s="19">
        <v>737.31500000000005</v>
      </c>
      <c r="M98" s="19">
        <v>3.5760000000000001</v>
      </c>
      <c r="N98" s="19">
        <v>28.75</v>
      </c>
      <c r="O98" s="19">
        <v>343.07399999999996</v>
      </c>
      <c r="P98" s="19">
        <v>5245</v>
      </c>
      <c r="Q98" s="311">
        <f t="shared" si="2"/>
        <v>3.1532952129599998</v>
      </c>
      <c r="R98">
        <f t="shared" si="3"/>
        <v>114.7475408845046</v>
      </c>
      <c r="S98" s="186">
        <v>40</v>
      </c>
      <c r="T98" s="186" t="s">
        <v>82</v>
      </c>
      <c r="U98" s="187">
        <v>6.0014958854294553</v>
      </c>
      <c r="V98" s="188">
        <f>AVERAGE(I187:I188)</f>
        <v>6.68</v>
      </c>
      <c r="W98" s="75"/>
      <c r="X98"/>
    </row>
    <row r="99" spans="1:24">
      <c r="A99" s="15">
        <f>'Exptl Setup'!A97</f>
        <v>90</v>
      </c>
      <c r="B99" s="15" t="str">
        <f>'Exptl Setup'!B97</f>
        <v>MTT No Till</v>
      </c>
      <c r="C99" s="15" t="str">
        <f>'Exptl Setup'!C97</f>
        <v>f</v>
      </c>
      <c r="D99" s="15">
        <f>'Exptl Setup'!D97</f>
        <v>24</v>
      </c>
      <c r="E99" s="15" t="str">
        <f>'Exptl Setup'!E97</f>
        <v>-</v>
      </c>
      <c r="F99" s="15">
        <f>'Exptl Setup'!F97</f>
        <v>31.995000000000001</v>
      </c>
      <c r="G99" s="18">
        <f>'Exptl Setup'!G97</f>
        <v>24.998456640707591</v>
      </c>
      <c r="H99" s="22">
        <v>16</v>
      </c>
      <c r="I99" s="18"/>
      <c r="J99" s="23"/>
      <c r="K99" s="20">
        <v>13.974</v>
      </c>
      <c r="L99" s="19">
        <v>585.63699999999994</v>
      </c>
      <c r="M99" s="19"/>
      <c r="N99" s="19"/>
      <c r="O99" s="19"/>
      <c r="P99" s="19"/>
      <c r="Q99" s="311">
        <f t="shared" si="2"/>
        <v>3.9053573788800002</v>
      </c>
      <c r="R99">
        <f t="shared" si="3"/>
        <v>142.14596763737225</v>
      </c>
      <c r="S99" s="186">
        <v>40</v>
      </c>
      <c r="T99" s="186" t="s">
        <v>82</v>
      </c>
      <c r="U99" s="187">
        <v>5.9979333878718704</v>
      </c>
      <c r="V99" s="188">
        <f>AVERAGE(I187:I188)</f>
        <v>6.68</v>
      </c>
      <c r="W99" s="75"/>
      <c r="X99"/>
    </row>
    <row r="100" spans="1:24">
      <c r="A100" s="15">
        <f>'Exptl Setup'!A98</f>
        <v>91</v>
      </c>
      <c r="B100" s="15" t="str">
        <f>'Exptl Setup'!B98</f>
        <v>MTT No Till</v>
      </c>
      <c r="C100" s="15" t="str">
        <f>'Exptl Setup'!C98</f>
        <v>a</v>
      </c>
      <c r="D100" s="15">
        <f>'Exptl Setup'!D98</f>
        <v>24</v>
      </c>
      <c r="E100" s="15" t="str">
        <f>'Exptl Setup'!E98</f>
        <v>-</v>
      </c>
      <c r="F100" s="15">
        <f>'Exptl Setup'!F98</f>
        <v>31.994</v>
      </c>
      <c r="G100" s="18">
        <f>'Exptl Setup'!G98</f>
        <v>24.997675316855716</v>
      </c>
      <c r="H100" s="22">
        <v>20</v>
      </c>
      <c r="I100" s="18"/>
      <c r="J100" s="23"/>
      <c r="K100" s="20">
        <v>0.82199999999999995</v>
      </c>
      <c r="L100" s="19">
        <v>84.308000000000007</v>
      </c>
      <c r="M100" s="19"/>
      <c r="N100" s="19"/>
      <c r="O100" s="19"/>
      <c r="P100" s="19"/>
      <c r="Q100" s="311">
        <f t="shared" si="2"/>
        <v>0.22972690463999998</v>
      </c>
      <c r="R100">
        <f t="shared" si="3"/>
        <v>8.3617888548178598</v>
      </c>
      <c r="S100" s="186">
        <v>40</v>
      </c>
      <c r="T100" s="186" t="s">
        <v>82</v>
      </c>
      <c r="U100" s="187">
        <v>15.990991879140223</v>
      </c>
      <c r="V100" s="188">
        <f>AVERAGE(I193:I194)</f>
        <v>8.3150000000000013</v>
      </c>
      <c r="W100" s="75"/>
      <c r="X100"/>
    </row>
    <row r="101" spans="1:24">
      <c r="A101" s="15">
        <f>'Exptl Setup'!A99</f>
        <v>92</v>
      </c>
      <c r="B101" s="15" t="str">
        <f>'Exptl Setup'!B99</f>
        <v>MTT No Till</v>
      </c>
      <c r="C101" s="15" t="str">
        <f>'Exptl Setup'!C99</f>
        <v>b</v>
      </c>
      <c r="D101" s="15">
        <f>'Exptl Setup'!D99</f>
        <v>24</v>
      </c>
      <c r="E101" s="15" t="str">
        <f>'Exptl Setup'!E99</f>
        <v>-</v>
      </c>
      <c r="F101" s="15">
        <f>'Exptl Setup'!F99</f>
        <v>32.009</v>
      </c>
      <c r="G101" s="18">
        <f>'Exptl Setup'!G99</f>
        <v>25.009395174633827</v>
      </c>
      <c r="H101" s="22">
        <v>20</v>
      </c>
      <c r="I101" s="18"/>
      <c r="J101" s="23"/>
      <c r="K101" s="20">
        <v>0.57899999999999996</v>
      </c>
      <c r="L101" s="19">
        <v>83.555000000000007</v>
      </c>
      <c r="M101" s="19"/>
      <c r="N101" s="19"/>
      <c r="O101" s="19"/>
      <c r="P101" s="19"/>
      <c r="Q101" s="311">
        <f t="shared" si="2"/>
        <v>0.16181493647999998</v>
      </c>
      <c r="R101">
        <f t="shared" si="3"/>
        <v>5.8871130696887954</v>
      </c>
      <c r="S101" s="186">
        <v>40</v>
      </c>
      <c r="T101" s="186" t="s">
        <v>82</v>
      </c>
      <c r="U101" s="187">
        <v>15.994489034324989</v>
      </c>
      <c r="V101" s="188">
        <f>AVERAGE(I193:I194)</f>
        <v>8.3150000000000013</v>
      </c>
      <c r="W101" s="75"/>
      <c r="X101"/>
    </row>
    <row r="102" spans="1:24">
      <c r="A102" s="15">
        <f>'Exptl Setup'!A100</f>
        <v>93</v>
      </c>
      <c r="B102" s="15" t="str">
        <f>'Exptl Setup'!B100</f>
        <v>MTT No Till</v>
      </c>
      <c r="C102" s="15" t="str">
        <f>'Exptl Setup'!C100</f>
        <v>c</v>
      </c>
      <c r="D102" s="15">
        <f>'Exptl Setup'!D100</f>
        <v>24</v>
      </c>
      <c r="E102" s="15" t="str">
        <f>'Exptl Setup'!E100</f>
        <v>-</v>
      </c>
      <c r="F102" s="15">
        <f>'Exptl Setup'!F100</f>
        <v>31.997</v>
      </c>
      <c r="G102" s="18">
        <f>'Exptl Setup'!G100</f>
        <v>25.000019288411337</v>
      </c>
      <c r="H102" s="22">
        <v>20</v>
      </c>
      <c r="I102" s="18"/>
      <c r="J102" s="23"/>
      <c r="K102" s="20">
        <v>0.36</v>
      </c>
      <c r="L102" s="19">
        <v>84.308000000000007</v>
      </c>
      <c r="M102" s="19"/>
      <c r="N102" s="19"/>
      <c r="O102" s="19"/>
      <c r="P102" s="19"/>
      <c r="Q102" s="311">
        <f t="shared" si="2"/>
        <v>0.1006103232</v>
      </c>
      <c r="R102">
        <f t="shared" si="3"/>
        <v>3.6617539548672458</v>
      </c>
      <c r="S102" s="186">
        <v>40</v>
      </c>
      <c r="T102" s="186" t="s">
        <v>82</v>
      </c>
      <c r="U102" s="187">
        <v>15.993989347079705</v>
      </c>
      <c r="V102" s="188">
        <f>AVERAGE(I193:I194)</f>
        <v>8.3150000000000013</v>
      </c>
      <c r="W102" s="75"/>
      <c r="X102"/>
    </row>
    <row r="103" spans="1:24">
      <c r="A103" s="15">
        <f>'Exptl Setup'!A101</f>
        <v>94</v>
      </c>
      <c r="B103" s="15" t="str">
        <f>'Exptl Setup'!B101</f>
        <v>MTT No Till</v>
      </c>
      <c r="C103" s="15" t="str">
        <f>'Exptl Setup'!C101</f>
        <v>d</v>
      </c>
      <c r="D103" s="15">
        <f>'Exptl Setup'!D101</f>
        <v>24</v>
      </c>
      <c r="E103" s="15" t="str">
        <f>'Exptl Setup'!E101</f>
        <v>-</v>
      </c>
      <c r="F103" s="15">
        <f>'Exptl Setup'!F101</f>
        <v>32.009</v>
      </c>
      <c r="G103" s="18">
        <f>'Exptl Setup'!G101</f>
        <v>25.009395174633827</v>
      </c>
      <c r="H103" s="22">
        <v>20</v>
      </c>
      <c r="I103" s="18">
        <v>8.94</v>
      </c>
      <c r="J103" s="18">
        <v>6.06</v>
      </c>
      <c r="K103" s="20">
        <v>0.37</v>
      </c>
      <c r="L103" s="19">
        <v>87.319000000000003</v>
      </c>
      <c r="M103" s="19">
        <v>18.36</v>
      </c>
      <c r="N103" s="19">
        <v>30.56</v>
      </c>
      <c r="O103" s="19">
        <v>428.68</v>
      </c>
      <c r="P103" s="19">
        <v>8225</v>
      </c>
      <c r="Q103" s="311">
        <f t="shared" si="2"/>
        <v>0.1034050544</v>
      </c>
      <c r="R103">
        <f t="shared" si="3"/>
        <v>3.7620584383158122</v>
      </c>
      <c r="S103" s="186">
        <v>40</v>
      </c>
      <c r="T103" s="186" t="s">
        <v>82</v>
      </c>
      <c r="U103" s="187">
        <v>19.994360628111693</v>
      </c>
      <c r="V103" s="188">
        <f>AVERAGE(I199:I200)</f>
        <v>8.8049999999999997</v>
      </c>
      <c r="W103" s="75"/>
      <c r="X103"/>
    </row>
    <row r="104" spans="1:24">
      <c r="A104" s="15">
        <f>'Exptl Setup'!A102</f>
        <v>95</v>
      </c>
      <c r="B104" s="15" t="str">
        <f>'Exptl Setup'!B102</f>
        <v>MTT No Till</v>
      </c>
      <c r="C104" s="15" t="str">
        <f>'Exptl Setup'!C102</f>
        <v>e</v>
      </c>
      <c r="D104" s="15">
        <f>'Exptl Setup'!D102</f>
        <v>24</v>
      </c>
      <c r="E104" s="15" t="str">
        <f>'Exptl Setup'!E102</f>
        <v>-</v>
      </c>
      <c r="F104" s="15">
        <f>'Exptl Setup'!F102</f>
        <v>32.000999999999998</v>
      </c>
      <c r="G104" s="18">
        <f>'Exptl Setup'!G102</f>
        <v>25.003144583818834</v>
      </c>
      <c r="H104" s="22">
        <v>20</v>
      </c>
      <c r="I104" s="18">
        <v>8.65</v>
      </c>
      <c r="J104" s="18">
        <v>6.02</v>
      </c>
      <c r="K104" s="20">
        <v>0</v>
      </c>
      <c r="L104" s="19">
        <v>61.348999999999997</v>
      </c>
      <c r="M104" s="19">
        <v>18.21</v>
      </c>
      <c r="N104" s="19">
        <v>30.28</v>
      </c>
      <c r="O104" s="19">
        <v>459.71</v>
      </c>
      <c r="P104" s="19">
        <v>7134.9999999999991</v>
      </c>
      <c r="Q104" s="311">
        <f t="shared" si="2"/>
        <v>0</v>
      </c>
      <c r="R104">
        <f t="shared" si="3"/>
        <v>0</v>
      </c>
      <c r="S104" s="186">
        <v>40</v>
      </c>
      <c r="T104" s="186" t="s">
        <v>82</v>
      </c>
      <c r="U104" s="187">
        <v>19.999984569282837</v>
      </c>
      <c r="V104" s="188">
        <f>AVERAGE(I199:I200)</f>
        <v>8.8049999999999997</v>
      </c>
      <c r="W104" s="75"/>
      <c r="X104"/>
    </row>
    <row r="105" spans="1:24" ht="15.75" thickBot="1">
      <c r="A105" s="15">
        <f>'Exptl Setup'!A103</f>
        <v>96</v>
      </c>
      <c r="B105" s="15" t="str">
        <f>'Exptl Setup'!B103</f>
        <v>MTT No Till</v>
      </c>
      <c r="C105" s="15" t="str">
        <f>'Exptl Setup'!C103</f>
        <v>f</v>
      </c>
      <c r="D105" s="15">
        <f>'Exptl Setup'!D103</f>
        <v>24</v>
      </c>
      <c r="E105" s="15" t="str">
        <f>'Exptl Setup'!E103</f>
        <v>-</v>
      </c>
      <c r="F105" s="15">
        <f>'Exptl Setup'!F103</f>
        <v>31.995000000000001</v>
      </c>
      <c r="G105" s="18">
        <f>'Exptl Setup'!G103</f>
        <v>24.998456640707591</v>
      </c>
      <c r="H105" s="22">
        <v>20</v>
      </c>
      <c r="I105" s="15"/>
      <c r="J105" s="23"/>
      <c r="K105" s="20">
        <v>0.38600000000000001</v>
      </c>
      <c r="L105" s="19">
        <v>86.941999999999993</v>
      </c>
      <c r="M105" s="19"/>
      <c r="N105" s="19"/>
      <c r="O105" s="19"/>
      <c r="P105" s="19"/>
      <c r="Q105" s="311">
        <f t="shared" si="2"/>
        <v>0.10787662432</v>
      </c>
      <c r="R105">
        <f t="shared" si="3"/>
        <v>3.9264593894393647</v>
      </c>
      <c r="S105" s="189">
        <v>40</v>
      </c>
      <c r="T105" s="189" t="s">
        <v>82</v>
      </c>
      <c r="U105" s="190">
        <v>19.999984569282837</v>
      </c>
      <c r="V105" s="188">
        <f>AVERAGE(I199:I200)</f>
        <v>8.8049999999999997</v>
      </c>
      <c r="W105" s="75"/>
      <c r="X105"/>
    </row>
    <row r="106" spans="1:24">
      <c r="A106" s="15">
        <f>'Exptl Setup'!A104</f>
        <v>97</v>
      </c>
      <c r="B106" s="15" t="str">
        <f>'Exptl Setup'!B104</f>
        <v>MTT No Till</v>
      </c>
      <c r="C106" s="15" t="str">
        <f>'Exptl Setup'!C104</f>
        <v>a</v>
      </c>
      <c r="D106" s="15">
        <f>'Exptl Setup'!D104</f>
        <v>32</v>
      </c>
      <c r="E106" s="15" t="str">
        <f>'Exptl Setup'!E104</f>
        <v>+</v>
      </c>
      <c r="F106" s="15">
        <f>'Exptl Setup'!F104</f>
        <v>31.995999999999999</v>
      </c>
      <c r="G106" s="18">
        <f>'Exptl Setup'!G104</f>
        <v>24.999237964559462</v>
      </c>
      <c r="H106" s="22">
        <v>0</v>
      </c>
      <c r="I106" s="18"/>
      <c r="J106" s="18"/>
      <c r="K106" s="154">
        <v>450.59087999999997</v>
      </c>
      <c r="L106" s="19">
        <v>4930.2280000000001</v>
      </c>
      <c r="M106" s="19"/>
      <c r="N106" s="19"/>
      <c r="O106" s="19"/>
      <c r="P106" s="19"/>
      <c r="Q106" s="311">
        <f t="shared" si="2"/>
        <v>125.92803907714558</v>
      </c>
      <c r="R106">
        <f t="shared" si="3"/>
        <v>4583.3458453953444</v>
      </c>
      <c r="S106" s="191">
        <v>48</v>
      </c>
      <c r="T106" s="191" t="s">
        <v>81</v>
      </c>
      <c r="U106" s="192">
        <v>0</v>
      </c>
      <c r="V106" s="188">
        <f>AVERAGE(I205:I206)</f>
        <v>4.41</v>
      </c>
      <c r="W106" s="75"/>
      <c r="X106"/>
    </row>
    <row r="107" spans="1:24">
      <c r="A107" s="15">
        <f>'Exptl Setup'!A105</f>
        <v>98</v>
      </c>
      <c r="B107" s="15" t="str">
        <f>'Exptl Setup'!B105</f>
        <v>MTT No Till</v>
      </c>
      <c r="C107" s="15" t="str">
        <f>'Exptl Setup'!C105</f>
        <v>b</v>
      </c>
      <c r="D107" s="15">
        <f>'Exptl Setup'!D105</f>
        <v>32</v>
      </c>
      <c r="E107" s="15" t="str">
        <f>'Exptl Setup'!E105</f>
        <v>+</v>
      </c>
      <c r="F107" s="15">
        <f>'Exptl Setup'!F105</f>
        <v>32.006999999999998</v>
      </c>
      <c r="G107" s="18">
        <f>'Exptl Setup'!G105</f>
        <v>25.007832526930077</v>
      </c>
      <c r="H107" s="22">
        <v>0</v>
      </c>
      <c r="I107" s="18"/>
      <c r="J107" s="18"/>
      <c r="K107" s="154">
        <v>449.59447999999998</v>
      </c>
      <c r="L107" s="19">
        <v>7157.6959999999999</v>
      </c>
      <c r="M107" s="19"/>
      <c r="N107" s="19"/>
      <c r="O107" s="19"/>
      <c r="P107" s="19"/>
      <c r="Q107" s="311">
        <f t="shared" si="2"/>
        <v>125.64957206037759</v>
      </c>
      <c r="R107">
        <f t="shared" si="3"/>
        <v>4571.6389100779843</v>
      </c>
      <c r="S107" s="186">
        <v>48</v>
      </c>
      <c r="T107" s="186" t="s">
        <v>81</v>
      </c>
      <c r="U107" s="187">
        <v>0</v>
      </c>
      <c r="V107" s="188">
        <f>AVERAGE(I205:I206)</f>
        <v>4.41</v>
      </c>
      <c r="W107" s="75"/>
      <c r="X107"/>
    </row>
    <row r="108" spans="1:24">
      <c r="A108" s="15">
        <f>'Exptl Setup'!A106</f>
        <v>99</v>
      </c>
      <c r="B108" s="15" t="str">
        <f>'Exptl Setup'!B106</f>
        <v>MTT No Till</v>
      </c>
      <c r="C108" s="15" t="str">
        <f>'Exptl Setup'!C106</f>
        <v>c</v>
      </c>
      <c r="D108" s="15">
        <f>'Exptl Setup'!D106</f>
        <v>32</v>
      </c>
      <c r="E108" s="15" t="str">
        <f>'Exptl Setup'!E106</f>
        <v>+</v>
      </c>
      <c r="F108" s="15">
        <f>'Exptl Setup'!F106</f>
        <v>31.991</v>
      </c>
      <c r="G108" s="18">
        <f>'Exptl Setup'!G106</f>
        <v>24.995331345300094</v>
      </c>
      <c r="H108" s="22">
        <v>0</v>
      </c>
      <c r="I108" s="18"/>
      <c r="J108" s="18"/>
      <c r="K108" s="154">
        <v>440.85623999999996</v>
      </c>
      <c r="L108" s="19">
        <v>4794.0389999999998</v>
      </c>
      <c r="M108" s="19"/>
      <c r="N108" s="19"/>
      <c r="O108" s="19"/>
      <c r="P108" s="19"/>
      <c r="Q108" s="311">
        <f t="shared" si="2"/>
        <v>123.20746886426879</v>
      </c>
      <c r="R108">
        <f t="shared" si="3"/>
        <v>4485.0273557747032</v>
      </c>
      <c r="S108" s="186">
        <v>48</v>
      </c>
      <c r="T108" s="186" t="s">
        <v>81</v>
      </c>
      <c r="U108" s="187">
        <v>0</v>
      </c>
      <c r="V108" s="188">
        <f>AVERAGE(I205:I206)</f>
        <v>4.41</v>
      </c>
      <c r="W108" s="75"/>
      <c r="X108"/>
    </row>
    <row r="109" spans="1:24">
      <c r="A109" s="15">
        <f>'Exptl Setup'!A107</f>
        <v>100</v>
      </c>
      <c r="B109" s="15" t="str">
        <f>'Exptl Setup'!B107</f>
        <v>MTT No Till</v>
      </c>
      <c r="C109" s="15" t="str">
        <f>'Exptl Setup'!C107</f>
        <v>d</v>
      </c>
      <c r="D109" s="15">
        <f>'Exptl Setup'!D107</f>
        <v>32</v>
      </c>
      <c r="E109" s="15" t="str">
        <f>'Exptl Setup'!E107</f>
        <v>+</v>
      </c>
      <c r="F109" s="15">
        <f>'Exptl Setup'!F107</f>
        <v>31.995999999999999</v>
      </c>
      <c r="G109" s="18">
        <f>'Exptl Setup'!G107</f>
        <v>24.999237964559462</v>
      </c>
      <c r="H109" s="22">
        <v>0</v>
      </c>
      <c r="I109" s="18">
        <v>4.62</v>
      </c>
      <c r="J109" s="18">
        <v>6.38</v>
      </c>
      <c r="K109" s="154">
        <v>451.85799999999995</v>
      </c>
      <c r="L109" s="19">
        <v>5931.9949999999999</v>
      </c>
      <c r="M109" s="19">
        <v>5.6050000000000004</v>
      </c>
      <c r="N109" s="19">
        <v>2.9835000000000003</v>
      </c>
      <c r="O109" s="19">
        <v>6.5465000000000018</v>
      </c>
      <c r="P109" s="19">
        <v>42.569999999999993</v>
      </c>
      <c r="Q109" s="311">
        <f t="shared" si="2"/>
        <v>126.28216505696</v>
      </c>
      <c r="R109">
        <f t="shared" si="3"/>
        <v>4596.2348084112355</v>
      </c>
      <c r="S109" s="186">
        <v>48</v>
      </c>
      <c r="T109" s="186" t="s">
        <v>81</v>
      </c>
      <c r="U109" s="187">
        <v>6.0005579758393095</v>
      </c>
      <c r="V109" s="188">
        <f>AVERAGE(I211:I212)</f>
        <v>6.7200000000000006</v>
      </c>
      <c r="W109" s="75"/>
      <c r="X109"/>
    </row>
    <row r="110" spans="1:24">
      <c r="A110" s="15">
        <f>'Exptl Setup'!A108</f>
        <v>101</v>
      </c>
      <c r="B110" s="15" t="str">
        <f>'Exptl Setup'!B108</f>
        <v>MTT No Till</v>
      </c>
      <c r="C110" s="15" t="str">
        <f>'Exptl Setup'!C108</f>
        <v>e</v>
      </c>
      <c r="D110" s="15">
        <f>'Exptl Setup'!D108</f>
        <v>32</v>
      </c>
      <c r="E110" s="15" t="str">
        <f>'Exptl Setup'!E108</f>
        <v>+</v>
      </c>
      <c r="F110" s="15">
        <f>'Exptl Setup'!F108</f>
        <v>32.012</v>
      </c>
      <c r="G110" s="18">
        <f>'Exptl Setup'!G108</f>
        <v>25.011739146189448</v>
      </c>
      <c r="H110" s="22">
        <v>0</v>
      </c>
      <c r="I110" s="18">
        <v>4.6399999999999997</v>
      </c>
      <c r="J110" s="18">
        <v>6.48</v>
      </c>
      <c r="K110" s="154">
        <v>441.09499999999997</v>
      </c>
      <c r="L110" s="19">
        <v>4823.2879999999996</v>
      </c>
      <c r="M110" s="19">
        <v>4.5279999999999996</v>
      </c>
      <c r="N110" s="19">
        <v>2.7600000000000002</v>
      </c>
      <c r="O110" s="19">
        <v>6.4520000000000026</v>
      </c>
      <c r="P110" s="19">
        <v>46.5</v>
      </c>
      <c r="Q110" s="311">
        <f t="shared" si="2"/>
        <v>123.27419586639999</v>
      </c>
      <c r="R110">
        <f t="shared" si="3"/>
        <v>4484.5125785319397</v>
      </c>
      <c r="S110" s="186">
        <v>48</v>
      </c>
      <c r="T110" s="186" t="s">
        <v>81</v>
      </c>
      <c r="U110" s="187">
        <v>6.0011206864118929</v>
      </c>
      <c r="V110" s="188">
        <f>AVERAGE(I211:I212)</f>
        <v>6.7200000000000006</v>
      </c>
      <c r="W110" s="75"/>
      <c r="X110"/>
    </row>
    <row r="111" spans="1:24">
      <c r="A111" s="15">
        <f>'Exptl Setup'!A109</f>
        <v>102</v>
      </c>
      <c r="B111" s="15" t="str">
        <f>'Exptl Setup'!B109</f>
        <v>MTT No Till</v>
      </c>
      <c r="C111" s="15" t="str">
        <f>'Exptl Setup'!C109</f>
        <v>f</v>
      </c>
      <c r="D111" s="15">
        <f>'Exptl Setup'!D109</f>
        <v>32</v>
      </c>
      <c r="E111" s="15" t="str">
        <f>'Exptl Setup'!E109</f>
        <v>+</v>
      </c>
      <c r="F111" s="15">
        <f>'Exptl Setup'!F109</f>
        <v>32.005000000000003</v>
      </c>
      <c r="G111" s="18">
        <f>'Exptl Setup'!G109</f>
        <v>25.006269879226334</v>
      </c>
      <c r="H111" s="22">
        <v>0</v>
      </c>
      <c r="I111" s="18"/>
      <c r="J111" s="18"/>
      <c r="K111" s="154">
        <v>456.56363999999996</v>
      </c>
      <c r="L111" s="19">
        <v>5209.4610000000002</v>
      </c>
      <c r="M111" s="19"/>
      <c r="N111" s="19"/>
      <c r="O111" s="19"/>
      <c r="P111" s="19"/>
      <c r="Q111" s="311">
        <f t="shared" si="2"/>
        <v>127.59726494935678</v>
      </c>
      <c r="R111">
        <f t="shared" si="3"/>
        <v>4642.793954959423</v>
      </c>
      <c r="S111" s="186">
        <v>48</v>
      </c>
      <c r="T111" s="186" t="s">
        <v>81</v>
      </c>
      <c r="U111" s="187">
        <v>5.9973712748431112</v>
      </c>
      <c r="V111" s="188">
        <f>AVERAGE(I211:I212)</f>
        <v>6.7200000000000006</v>
      </c>
      <c r="W111" s="75"/>
      <c r="X111"/>
    </row>
    <row r="112" spans="1:24">
      <c r="A112" s="15">
        <f>'Exptl Setup'!A110</f>
        <v>103</v>
      </c>
      <c r="B112" s="15" t="str">
        <f>'Exptl Setup'!B110</f>
        <v>MTT No Till</v>
      </c>
      <c r="C112" s="15" t="str">
        <f>'Exptl Setup'!C110</f>
        <v>a</v>
      </c>
      <c r="D112" s="15">
        <f>'Exptl Setup'!D110</f>
        <v>32</v>
      </c>
      <c r="E112" s="15" t="str">
        <f>'Exptl Setup'!E110</f>
        <v>+</v>
      </c>
      <c r="F112" s="15">
        <f>'Exptl Setup'!F110</f>
        <v>31.992000000000001</v>
      </c>
      <c r="G112" s="18">
        <f>'Exptl Setup'!G110</f>
        <v>24.996112669151969</v>
      </c>
      <c r="H112" s="22">
        <v>6</v>
      </c>
      <c r="I112" s="18"/>
      <c r="J112" s="18"/>
      <c r="K112" s="20">
        <v>2.7170000000000001</v>
      </c>
      <c r="L112" s="19">
        <v>11662.447</v>
      </c>
      <c r="M112" s="19"/>
      <c r="N112" s="19"/>
      <c r="O112" s="19"/>
      <c r="P112" s="19"/>
      <c r="Q112" s="311">
        <f t="shared" si="2"/>
        <v>0.75932846704000001</v>
      </c>
      <c r="R112">
        <f t="shared" si="3"/>
        <v>27.640390036353853</v>
      </c>
      <c r="S112" s="186">
        <v>48</v>
      </c>
      <c r="T112" s="186" t="s">
        <v>81</v>
      </c>
      <c r="U112" s="187">
        <v>16.000987810929029</v>
      </c>
      <c r="V112" s="188">
        <f>AVERAGE(I217:I218)</f>
        <v>8.4499999999999993</v>
      </c>
      <c r="W112" s="75"/>
      <c r="X112"/>
    </row>
    <row r="113" spans="1:24">
      <c r="A113" s="15">
        <f>'Exptl Setup'!A111</f>
        <v>104</v>
      </c>
      <c r="B113" s="15" t="str">
        <f>'Exptl Setup'!B111</f>
        <v>MTT No Till</v>
      </c>
      <c r="C113" s="15" t="str">
        <f>'Exptl Setup'!C111</f>
        <v>b</v>
      </c>
      <c r="D113" s="15">
        <f>'Exptl Setup'!D111</f>
        <v>32</v>
      </c>
      <c r="E113" s="15" t="str">
        <f>'Exptl Setup'!E111</f>
        <v>+</v>
      </c>
      <c r="F113" s="15">
        <f>'Exptl Setup'!F111</f>
        <v>31.994</v>
      </c>
      <c r="G113" s="18">
        <f>'Exptl Setup'!G111</f>
        <v>24.997675316855716</v>
      </c>
      <c r="H113" s="22">
        <v>6</v>
      </c>
      <c r="I113" s="18"/>
      <c r="J113" s="18"/>
      <c r="K113" s="20">
        <v>0.20699999999999999</v>
      </c>
      <c r="L113" s="19">
        <v>12013.432000000001</v>
      </c>
      <c r="M113" s="19"/>
      <c r="N113" s="19"/>
      <c r="O113" s="19"/>
      <c r="P113" s="19"/>
      <c r="Q113" s="311">
        <f t="shared" si="2"/>
        <v>5.7850935839999999E-2</v>
      </c>
      <c r="R113">
        <f t="shared" si="3"/>
        <v>2.1057059524906285</v>
      </c>
      <c r="S113" s="186">
        <v>48</v>
      </c>
      <c r="T113" s="186" t="s">
        <v>81</v>
      </c>
      <c r="U113" s="187">
        <v>16.000487717548268</v>
      </c>
      <c r="V113" s="188">
        <f>AVERAGE(I217:I218)</f>
        <v>8.4499999999999993</v>
      </c>
      <c r="W113" s="75"/>
      <c r="X113"/>
    </row>
    <row r="114" spans="1:24">
      <c r="A114" s="15">
        <f>'Exptl Setup'!A112</f>
        <v>105</v>
      </c>
      <c r="B114" s="15" t="str">
        <f>'Exptl Setup'!B112</f>
        <v>MTT No Till</v>
      </c>
      <c r="C114" s="15" t="str">
        <f>'Exptl Setup'!C112</f>
        <v>c</v>
      </c>
      <c r="D114" s="15">
        <f>'Exptl Setup'!D112</f>
        <v>32</v>
      </c>
      <c r="E114" s="15" t="str">
        <f>'Exptl Setup'!E112</f>
        <v>+</v>
      </c>
      <c r="F114" s="15">
        <f>'Exptl Setup'!F112</f>
        <v>32.006999999999998</v>
      </c>
      <c r="G114" s="18">
        <f>'Exptl Setup'!G112</f>
        <v>25.007832526930077</v>
      </c>
      <c r="H114" s="22">
        <v>6</v>
      </c>
      <c r="I114" s="18"/>
      <c r="J114" s="23"/>
      <c r="K114" s="20">
        <v>0.14099999999999999</v>
      </c>
      <c r="L114" s="19">
        <v>11013.036</v>
      </c>
      <c r="M114" s="19"/>
      <c r="N114" s="19"/>
      <c r="O114" s="19"/>
      <c r="P114" s="19"/>
      <c r="Q114" s="311">
        <f t="shared" si="2"/>
        <v>3.940570991999999E-2</v>
      </c>
      <c r="R114">
        <f t="shared" si="3"/>
        <v>1.4337388802482531</v>
      </c>
      <c r="S114" s="186">
        <v>48</v>
      </c>
      <c r="T114" s="186" t="s">
        <v>81</v>
      </c>
      <c r="U114" s="187">
        <v>16.000987810929029</v>
      </c>
      <c r="V114" s="188">
        <f>AVERAGE(I217:I218)</f>
        <v>8.4499999999999993</v>
      </c>
      <c r="W114" s="75"/>
      <c r="X114"/>
    </row>
    <row r="115" spans="1:24">
      <c r="A115" s="15">
        <f>'Exptl Setup'!A113</f>
        <v>106</v>
      </c>
      <c r="B115" s="15" t="str">
        <f>'Exptl Setup'!B113</f>
        <v>MTT No Till</v>
      </c>
      <c r="C115" s="15" t="str">
        <f>'Exptl Setup'!C113</f>
        <v>d</v>
      </c>
      <c r="D115" s="15">
        <f>'Exptl Setup'!D113</f>
        <v>32</v>
      </c>
      <c r="E115" s="15" t="str">
        <f>'Exptl Setup'!E113</f>
        <v>+</v>
      </c>
      <c r="F115" s="15">
        <f>'Exptl Setup'!F113</f>
        <v>32.002000000000002</v>
      </c>
      <c r="G115" s="18">
        <f>'Exptl Setup'!G113</f>
        <v>25.003925907670713</v>
      </c>
      <c r="H115" s="22">
        <v>6</v>
      </c>
      <c r="I115" s="18">
        <v>6.61</v>
      </c>
      <c r="J115" s="18">
        <v>5.64</v>
      </c>
      <c r="K115" s="20">
        <v>7.1999999999999995E-2</v>
      </c>
      <c r="L115" s="19">
        <v>11822.401</v>
      </c>
      <c r="M115" s="19">
        <v>0.27615000000000001</v>
      </c>
      <c r="N115" s="19">
        <v>10.004999999999999</v>
      </c>
      <c r="O115" s="19">
        <v>17.959024672489086</v>
      </c>
      <c r="P115" s="19">
        <v>303.5</v>
      </c>
      <c r="Q115" s="311">
        <f t="shared" si="2"/>
        <v>2.0122064639999999E-2</v>
      </c>
      <c r="R115">
        <f t="shared" si="3"/>
        <v>0.7322363683137757</v>
      </c>
      <c r="S115" s="186">
        <v>48</v>
      </c>
      <c r="T115" s="186" t="s">
        <v>81</v>
      </c>
      <c r="U115" s="187">
        <v>20.000609646935334</v>
      </c>
      <c r="V115" s="188">
        <f>AVERAGE(I223:I224)</f>
        <v>8.7399999999999984</v>
      </c>
      <c r="W115" s="75"/>
      <c r="X115"/>
    </row>
    <row r="116" spans="1:24">
      <c r="A116" s="15">
        <f>'Exptl Setup'!A114</f>
        <v>107</v>
      </c>
      <c r="B116" s="15" t="str">
        <f>'Exptl Setup'!B114</f>
        <v>MTT No Till</v>
      </c>
      <c r="C116" s="15" t="str">
        <f>'Exptl Setup'!C114</f>
        <v>e</v>
      </c>
      <c r="D116" s="15">
        <f>'Exptl Setup'!D114</f>
        <v>32</v>
      </c>
      <c r="E116" s="15" t="str">
        <f>'Exptl Setup'!E114</f>
        <v>+</v>
      </c>
      <c r="F116" s="15">
        <f>'Exptl Setup'!F114</f>
        <v>31.998999999999999</v>
      </c>
      <c r="G116" s="18">
        <f>'Exptl Setup'!G114</f>
        <v>25.001581936115088</v>
      </c>
      <c r="H116" s="22">
        <v>6</v>
      </c>
      <c r="I116" s="18">
        <v>6.66</v>
      </c>
      <c r="J116" s="18">
        <v>5.64</v>
      </c>
      <c r="K116" s="20">
        <v>0.13500000000000001</v>
      </c>
      <c r="L116" s="19">
        <v>11451.308999999999</v>
      </c>
      <c r="M116" s="19">
        <v>0.21095</v>
      </c>
      <c r="N116" s="19">
        <v>10.004999999999999</v>
      </c>
      <c r="O116" s="19">
        <v>18.613744323144108</v>
      </c>
      <c r="P116" s="19">
        <v>259.89999999999998</v>
      </c>
      <c r="Q116" s="311">
        <f t="shared" si="2"/>
        <v>3.77288712E-2</v>
      </c>
      <c r="R116">
        <f t="shared" si="3"/>
        <v>1.3730719080348677</v>
      </c>
      <c r="S116" s="186">
        <v>48</v>
      </c>
      <c r="T116" s="186" t="s">
        <v>81</v>
      </c>
      <c r="U116" s="187">
        <v>19.996234923705366</v>
      </c>
      <c r="V116" s="188">
        <f>AVERAGE(I223:I224)</f>
        <v>8.7399999999999984</v>
      </c>
      <c r="W116" s="75"/>
      <c r="X116"/>
    </row>
    <row r="117" spans="1:24">
      <c r="A117" s="15">
        <f>'Exptl Setup'!A115</f>
        <v>108</v>
      </c>
      <c r="B117" s="15" t="str">
        <f>'Exptl Setup'!B115</f>
        <v>MTT No Till</v>
      </c>
      <c r="C117" s="15" t="str">
        <f>'Exptl Setup'!C115</f>
        <v>f</v>
      </c>
      <c r="D117" s="15">
        <f>'Exptl Setup'!D115</f>
        <v>32</v>
      </c>
      <c r="E117" s="15" t="str">
        <f>'Exptl Setup'!E115</f>
        <v>+</v>
      </c>
      <c r="F117" s="15">
        <f>'Exptl Setup'!F115</f>
        <v>31.998999999999999</v>
      </c>
      <c r="G117" s="18">
        <f>'Exptl Setup'!G115</f>
        <v>25.001581936115088</v>
      </c>
      <c r="H117" s="22">
        <v>6</v>
      </c>
      <c r="I117" s="18"/>
      <c r="J117" s="18"/>
      <c r="K117" s="20">
        <v>5.3999999999999999E-2</v>
      </c>
      <c r="L117" s="19">
        <v>11620.859</v>
      </c>
      <c r="M117" s="19"/>
      <c r="N117" s="19"/>
      <c r="O117" s="19"/>
      <c r="P117" s="19"/>
      <c r="Q117" s="311">
        <f t="shared" si="2"/>
        <v>1.5091548480000001E-2</v>
      </c>
      <c r="R117">
        <f t="shared" si="3"/>
        <v>0.54922876321394709</v>
      </c>
      <c r="S117" s="186">
        <v>48</v>
      </c>
      <c r="T117" s="186" t="s">
        <v>81</v>
      </c>
      <c r="U117" s="187">
        <v>19.998734531183562</v>
      </c>
      <c r="V117" s="188">
        <f>AVERAGE(I223:I224)</f>
        <v>8.7399999999999984</v>
      </c>
      <c r="W117" s="75"/>
      <c r="X117"/>
    </row>
    <row r="118" spans="1:24">
      <c r="A118" s="15">
        <f>'Exptl Setup'!A116</f>
        <v>109</v>
      </c>
      <c r="B118" s="15" t="str">
        <f>'Exptl Setup'!B116</f>
        <v>MTT No Till</v>
      </c>
      <c r="C118" s="15" t="str">
        <f>'Exptl Setup'!C116</f>
        <v>a</v>
      </c>
      <c r="D118" s="15">
        <f>'Exptl Setup'!D116</f>
        <v>32</v>
      </c>
      <c r="E118" s="15" t="str">
        <f>'Exptl Setup'!E116</f>
        <v>+</v>
      </c>
      <c r="F118" s="15">
        <f>'Exptl Setup'!F116</f>
        <v>31.995000000000001</v>
      </c>
      <c r="G118" s="18">
        <f>'Exptl Setup'!G116</f>
        <v>24.998456640707591</v>
      </c>
      <c r="H118" s="22">
        <v>16</v>
      </c>
      <c r="I118" s="18"/>
      <c r="J118" s="18"/>
      <c r="K118" s="20">
        <v>2.1000000000000001E-2</v>
      </c>
      <c r="L118" s="19">
        <v>1670.83</v>
      </c>
      <c r="M118" s="19"/>
      <c r="N118" s="19"/>
      <c r="O118" s="19"/>
      <c r="P118" s="19"/>
      <c r="Q118" s="311">
        <f t="shared" si="2"/>
        <v>5.8689355200000001E-3</v>
      </c>
      <c r="R118">
        <f t="shared" si="3"/>
        <v>0.21361566626483591</v>
      </c>
      <c r="S118" s="186">
        <v>48</v>
      </c>
      <c r="T118" s="186" t="s">
        <v>82</v>
      </c>
      <c r="U118" s="187">
        <v>0</v>
      </c>
      <c r="V118" s="188">
        <f>AVERAGE(I229:I230)</f>
        <v>4.5600000000000005</v>
      </c>
      <c r="W118" s="75"/>
      <c r="X118"/>
    </row>
    <row r="119" spans="1:24">
      <c r="A119" s="15">
        <f>'Exptl Setup'!A117</f>
        <v>110</v>
      </c>
      <c r="B119" s="15" t="str">
        <f>'Exptl Setup'!B117</f>
        <v>MTT No Till</v>
      </c>
      <c r="C119" s="15" t="str">
        <f>'Exptl Setup'!C117</f>
        <v>b</v>
      </c>
      <c r="D119" s="15">
        <f>'Exptl Setup'!D117</f>
        <v>32</v>
      </c>
      <c r="E119" s="15" t="str">
        <f>'Exptl Setup'!E117</f>
        <v>+</v>
      </c>
      <c r="F119" s="15">
        <f>'Exptl Setup'!F117</f>
        <v>31.998000000000001</v>
      </c>
      <c r="G119" s="18">
        <f>'Exptl Setup'!G117</f>
        <v>25.000800612263212</v>
      </c>
      <c r="H119" s="22">
        <v>16</v>
      </c>
      <c r="I119" s="18"/>
      <c r="J119" s="23"/>
      <c r="K119" s="20">
        <v>0</v>
      </c>
      <c r="L119" s="19">
        <v>2481.1089999999999</v>
      </c>
      <c r="M119" s="19"/>
      <c r="N119" s="19"/>
      <c r="O119" s="19"/>
      <c r="P119" s="19"/>
      <c r="Q119" s="311">
        <f t="shared" si="2"/>
        <v>0</v>
      </c>
      <c r="R119">
        <f t="shared" si="3"/>
        <v>0</v>
      </c>
      <c r="S119" s="186">
        <v>48</v>
      </c>
      <c r="T119" s="186" t="s">
        <v>82</v>
      </c>
      <c r="U119" s="187">
        <v>0</v>
      </c>
      <c r="V119" s="188">
        <f>AVERAGE(I229:I230)</f>
        <v>4.5600000000000005</v>
      </c>
      <c r="W119" s="75"/>
      <c r="X119"/>
    </row>
    <row r="120" spans="1:24">
      <c r="A120" s="15">
        <f>'Exptl Setup'!A118</f>
        <v>111</v>
      </c>
      <c r="B120" s="15" t="str">
        <f>'Exptl Setup'!B118</f>
        <v>MTT No Till</v>
      </c>
      <c r="C120" s="15" t="str">
        <f>'Exptl Setup'!C118</f>
        <v>c</v>
      </c>
      <c r="D120" s="15">
        <f>'Exptl Setup'!D118</f>
        <v>32</v>
      </c>
      <c r="E120" s="15" t="str">
        <f>'Exptl Setup'!E118</f>
        <v>+</v>
      </c>
      <c r="F120" s="15">
        <f>'Exptl Setup'!F118</f>
        <v>31.995999999999999</v>
      </c>
      <c r="G120" s="18">
        <f>'Exptl Setup'!G118</f>
        <v>24.999237964559462</v>
      </c>
      <c r="H120" s="22">
        <v>16</v>
      </c>
      <c r="I120" s="18"/>
      <c r="J120" s="23"/>
      <c r="K120" s="20">
        <v>0.68700000000000006</v>
      </c>
      <c r="L120" s="19">
        <v>5808.1450000000004</v>
      </c>
      <c r="M120" s="19"/>
      <c r="N120" s="19"/>
      <c r="O120" s="19"/>
      <c r="P120" s="19"/>
      <c r="Q120" s="311">
        <f t="shared" si="2"/>
        <v>0.19199803343999999</v>
      </c>
      <c r="R120">
        <f t="shared" si="3"/>
        <v>6.9880655280608464</v>
      </c>
      <c r="S120" s="186">
        <v>48</v>
      </c>
      <c r="T120" s="186" t="s">
        <v>82</v>
      </c>
      <c r="U120" s="187">
        <v>0</v>
      </c>
      <c r="V120" s="188">
        <f>AVERAGE(I229:I230)</f>
        <v>4.5600000000000005</v>
      </c>
      <c r="W120" s="75"/>
      <c r="X120"/>
    </row>
    <row r="121" spans="1:24">
      <c r="A121" s="15">
        <f>'Exptl Setup'!A119</f>
        <v>112</v>
      </c>
      <c r="B121" s="15" t="str">
        <f>'Exptl Setup'!B119</f>
        <v>MTT No Till</v>
      </c>
      <c r="C121" s="15" t="str">
        <f>'Exptl Setup'!C119</f>
        <v>d</v>
      </c>
      <c r="D121" s="15">
        <f>'Exptl Setup'!D119</f>
        <v>32</v>
      </c>
      <c r="E121" s="15" t="str">
        <f>'Exptl Setup'!E119</f>
        <v>+</v>
      </c>
      <c r="F121" s="15">
        <f>'Exptl Setup'!F119</f>
        <v>31.995999999999999</v>
      </c>
      <c r="G121" s="18">
        <f>'Exptl Setup'!G119</f>
        <v>24.999237964559462</v>
      </c>
      <c r="H121" s="22">
        <v>16</v>
      </c>
      <c r="I121" s="18">
        <v>8.19</v>
      </c>
      <c r="J121" s="18">
        <v>6.2</v>
      </c>
      <c r="K121" s="20">
        <v>0</v>
      </c>
      <c r="L121" s="19">
        <v>1918.0730000000001</v>
      </c>
      <c r="M121" s="19">
        <v>3.4820000000000002</v>
      </c>
      <c r="N121" s="19">
        <v>31.28</v>
      </c>
      <c r="O121" s="19">
        <v>330.738</v>
      </c>
      <c r="P121" s="19">
        <v>4796</v>
      </c>
      <c r="Q121" s="311">
        <f t="shared" si="2"/>
        <v>0</v>
      </c>
      <c r="R121">
        <f t="shared" si="3"/>
        <v>0</v>
      </c>
      <c r="S121" s="186">
        <v>48</v>
      </c>
      <c r="T121" s="186" t="s">
        <v>82</v>
      </c>
      <c r="U121" s="187">
        <v>5.9986830358393597</v>
      </c>
      <c r="V121" s="188">
        <f>AVERAGE(I235:I236)</f>
        <v>6.73</v>
      </c>
      <c r="W121" s="75"/>
      <c r="X121"/>
    </row>
    <row r="122" spans="1:24">
      <c r="A122" s="15">
        <f>'Exptl Setup'!A120</f>
        <v>113</v>
      </c>
      <c r="B122" s="15" t="str">
        <f>'Exptl Setup'!B120</f>
        <v>MTT No Till</v>
      </c>
      <c r="C122" s="15" t="str">
        <f>'Exptl Setup'!C120</f>
        <v>e</v>
      </c>
      <c r="D122" s="15">
        <f>'Exptl Setup'!D120</f>
        <v>32</v>
      </c>
      <c r="E122" s="15" t="str">
        <f>'Exptl Setup'!E120</f>
        <v>+</v>
      </c>
      <c r="F122" s="15">
        <f>'Exptl Setup'!F120</f>
        <v>32.006999999999998</v>
      </c>
      <c r="G122" s="18">
        <f>'Exptl Setup'!G120</f>
        <v>25.007832526930077</v>
      </c>
      <c r="H122" s="22">
        <v>16</v>
      </c>
      <c r="I122" s="18">
        <v>8.32</v>
      </c>
      <c r="J122" s="18">
        <v>6.34</v>
      </c>
      <c r="K122" s="20">
        <v>0</v>
      </c>
      <c r="L122" s="19">
        <v>2434.0369999999998</v>
      </c>
      <c r="M122" s="19">
        <v>4.2779999999999996</v>
      </c>
      <c r="N122" s="19">
        <v>35.58</v>
      </c>
      <c r="O122" s="19">
        <v>334.04199999999997</v>
      </c>
      <c r="P122" s="19">
        <v>4474</v>
      </c>
      <c r="Q122" s="311">
        <f t="shared" si="2"/>
        <v>0</v>
      </c>
      <c r="R122">
        <f t="shared" si="3"/>
        <v>0</v>
      </c>
      <c r="S122" s="186">
        <v>48</v>
      </c>
      <c r="T122" s="186" t="s">
        <v>82</v>
      </c>
      <c r="U122" s="187">
        <v>6.0001828940805995</v>
      </c>
      <c r="V122" s="188">
        <f>AVERAGE(I235:I236)</f>
        <v>6.73</v>
      </c>
      <c r="W122" s="75"/>
      <c r="X122"/>
    </row>
    <row r="123" spans="1:24">
      <c r="A123" s="15">
        <f>'Exptl Setup'!A121</f>
        <v>114</v>
      </c>
      <c r="B123" s="15" t="str">
        <f>'Exptl Setup'!B121</f>
        <v>MTT No Till</v>
      </c>
      <c r="C123" s="15" t="str">
        <f>'Exptl Setup'!C121</f>
        <v>f</v>
      </c>
      <c r="D123" s="15">
        <f>'Exptl Setup'!D121</f>
        <v>32</v>
      </c>
      <c r="E123" s="15" t="str">
        <f>'Exptl Setup'!E121</f>
        <v>+</v>
      </c>
      <c r="F123" s="15">
        <f>'Exptl Setup'!F121</f>
        <v>31.992000000000001</v>
      </c>
      <c r="G123" s="18">
        <f>'Exptl Setup'!G121</f>
        <v>24.996112669151969</v>
      </c>
      <c r="H123" s="22">
        <v>16</v>
      </c>
      <c r="I123" s="18"/>
      <c r="J123" s="18"/>
      <c r="K123" s="20">
        <v>0</v>
      </c>
      <c r="L123" s="19">
        <v>2126.0120000000002</v>
      </c>
      <c r="M123" s="19"/>
      <c r="N123" s="19"/>
      <c r="O123" s="19"/>
      <c r="P123" s="19"/>
      <c r="Q123" s="311">
        <f t="shared" si="2"/>
        <v>0</v>
      </c>
      <c r="R123">
        <f t="shared" si="3"/>
        <v>0</v>
      </c>
      <c r="S123" s="186">
        <v>48</v>
      </c>
      <c r="T123" s="186" t="s">
        <v>82</v>
      </c>
      <c r="U123" s="187">
        <v>5.9999953707848501</v>
      </c>
      <c r="V123" s="188">
        <f>AVERAGE(I235:I236)</f>
        <v>6.73</v>
      </c>
      <c r="W123" s="75"/>
      <c r="X123"/>
    </row>
    <row r="124" spans="1:24">
      <c r="A124" s="15">
        <f>'Exptl Setup'!A122</f>
        <v>115</v>
      </c>
      <c r="B124" s="15" t="str">
        <f>'Exptl Setup'!B122</f>
        <v>MTT No Till</v>
      </c>
      <c r="C124" s="15" t="str">
        <f>'Exptl Setup'!C122</f>
        <v>a</v>
      </c>
      <c r="D124" s="15">
        <f>'Exptl Setup'!D122</f>
        <v>32</v>
      </c>
      <c r="E124" s="15" t="str">
        <f>'Exptl Setup'!E122</f>
        <v>+</v>
      </c>
      <c r="F124" s="15">
        <f>'Exptl Setup'!F122</f>
        <v>32.005000000000003</v>
      </c>
      <c r="G124" s="18">
        <f>'Exptl Setup'!G122</f>
        <v>25.006269879226334</v>
      </c>
      <c r="H124" s="22">
        <v>20</v>
      </c>
      <c r="I124" s="18"/>
      <c r="J124" s="23"/>
      <c r="K124" s="20">
        <v>0.60799999999999998</v>
      </c>
      <c r="L124" s="19">
        <v>205.655</v>
      </c>
      <c r="M124" s="19"/>
      <c r="N124" s="19"/>
      <c r="O124" s="19"/>
      <c r="P124" s="19"/>
      <c r="Q124" s="311">
        <f t="shared" si="2"/>
        <v>0.16991965696</v>
      </c>
      <c r="R124">
        <f t="shared" si="3"/>
        <v>6.182749735864487</v>
      </c>
      <c r="S124" s="186">
        <v>48</v>
      </c>
      <c r="T124" s="186" t="s">
        <v>82</v>
      </c>
      <c r="U124" s="187">
        <v>15.996987938964294</v>
      </c>
      <c r="V124" s="188">
        <f>AVERAGE(I241:I242)</f>
        <v>8.375</v>
      </c>
      <c r="W124" s="75"/>
      <c r="X124"/>
    </row>
    <row r="125" spans="1:24">
      <c r="A125" s="15">
        <f>'Exptl Setup'!A123</f>
        <v>116</v>
      </c>
      <c r="B125" s="15" t="str">
        <f>'Exptl Setup'!B123</f>
        <v>MTT No Till</v>
      </c>
      <c r="C125" s="15" t="str">
        <f>'Exptl Setup'!C123</f>
        <v>b</v>
      </c>
      <c r="D125" s="15">
        <f>'Exptl Setup'!D123</f>
        <v>32</v>
      </c>
      <c r="E125" s="15" t="str">
        <f>'Exptl Setup'!E123</f>
        <v>+</v>
      </c>
      <c r="F125" s="15">
        <f>'Exptl Setup'!F123</f>
        <v>31.997</v>
      </c>
      <c r="G125" s="18">
        <f>'Exptl Setup'!G123</f>
        <v>25.000019288411337</v>
      </c>
      <c r="H125" s="22">
        <v>20</v>
      </c>
      <c r="I125" s="18"/>
      <c r="J125" s="23"/>
      <c r="K125" s="20">
        <v>1.8919999999999999</v>
      </c>
      <c r="L125" s="19">
        <v>260.49599999999998</v>
      </c>
      <c r="M125" s="19"/>
      <c r="N125" s="19"/>
      <c r="O125" s="19"/>
      <c r="P125" s="19"/>
      <c r="Q125" s="311">
        <f t="shared" si="2"/>
        <v>0.52876314303999994</v>
      </c>
      <c r="R125">
        <f t="shared" si="3"/>
        <v>19.244551340580081</v>
      </c>
      <c r="S125" s="186">
        <v>48</v>
      </c>
      <c r="T125" s="186" t="s">
        <v>82</v>
      </c>
      <c r="U125" s="187">
        <v>16.000987810929029</v>
      </c>
      <c r="V125" s="188">
        <f>AVERAGE(I241:I242)</f>
        <v>8.375</v>
      </c>
      <c r="W125" s="75"/>
      <c r="X125"/>
    </row>
    <row r="126" spans="1:24">
      <c r="A126" s="15">
        <f>'Exptl Setup'!A124</f>
        <v>117</v>
      </c>
      <c r="B126" s="15" t="str">
        <f>'Exptl Setup'!B124</f>
        <v>MTT No Till</v>
      </c>
      <c r="C126" s="15" t="str">
        <f>'Exptl Setup'!C124</f>
        <v>c</v>
      </c>
      <c r="D126" s="15">
        <f>'Exptl Setup'!D124</f>
        <v>32</v>
      </c>
      <c r="E126" s="15" t="str">
        <f>'Exptl Setup'!E124</f>
        <v>+</v>
      </c>
      <c r="F126" s="15">
        <f>'Exptl Setup'!F124</f>
        <v>31.995999999999999</v>
      </c>
      <c r="G126" s="18">
        <f>'Exptl Setup'!G124</f>
        <v>24.999237964559462</v>
      </c>
      <c r="H126" s="22">
        <v>20</v>
      </c>
      <c r="I126" s="18"/>
      <c r="J126" s="18"/>
      <c r="K126" s="20">
        <v>0.435</v>
      </c>
      <c r="L126" s="19">
        <v>138.47399999999999</v>
      </c>
      <c r="M126" s="19"/>
      <c r="N126" s="19"/>
      <c r="O126" s="19"/>
      <c r="P126" s="19"/>
      <c r="Q126" s="311">
        <f t="shared" si="2"/>
        <v>0.12157080719999999</v>
      </c>
      <c r="R126">
        <f t="shared" si="3"/>
        <v>4.4247576487721521</v>
      </c>
      <c r="S126" s="186">
        <v>48</v>
      </c>
      <c r="T126" s="186" t="s">
        <v>82</v>
      </c>
      <c r="U126" s="187">
        <v>15.997987719467337</v>
      </c>
      <c r="V126" s="188">
        <f>AVERAGE(I241:I242)</f>
        <v>8.375</v>
      </c>
      <c r="W126" s="75"/>
      <c r="X126"/>
    </row>
    <row r="127" spans="1:24">
      <c r="A127" s="15">
        <f>'Exptl Setup'!A125</f>
        <v>118</v>
      </c>
      <c r="B127" s="15" t="str">
        <f>'Exptl Setup'!B125</f>
        <v>MTT No Till</v>
      </c>
      <c r="C127" s="15" t="str">
        <f>'Exptl Setup'!C125</f>
        <v>d</v>
      </c>
      <c r="D127" s="15">
        <f>'Exptl Setup'!D125</f>
        <v>32</v>
      </c>
      <c r="E127" s="15" t="str">
        <f>'Exptl Setup'!E125</f>
        <v>+</v>
      </c>
      <c r="F127" s="15">
        <f>'Exptl Setup'!F125</f>
        <v>31.995000000000001</v>
      </c>
      <c r="G127" s="18">
        <f>'Exptl Setup'!G125</f>
        <v>24.998456640707591</v>
      </c>
      <c r="H127" s="22">
        <v>20</v>
      </c>
      <c r="I127" s="18">
        <v>8.76</v>
      </c>
      <c r="J127" s="18">
        <v>6.2</v>
      </c>
      <c r="K127" s="20">
        <v>0.72699999999999998</v>
      </c>
      <c r="L127" s="19">
        <v>137.56</v>
      </c>
      <c r="M127" s="19">
        <v>19.84</v>
      </c>
      <c r="N127" s="19">
        <v>31.78</v>
      </c>
      <c r="O127" s="19">
        <v>449.08</v>
      </c>
      <c r="P127" s="19">
        <v>4256</v>
      </c>
      <c r="Q127" s="311">
        <f t="shared" si="2"/>
        <v>0.20317695823999998</v>
      </c>
      <c r="R127">
        <f t="shared" si="3"/>
        <v>7.3951709225969378</v>
      </c>
      <c r="S127" s="186">
        <v>48</v>
      </c>
      <c r="T127" s="186" t="s">
        <v>82</v>
      </c>
      <c r="U127" s="187">
        <v>19.993735940992373</v>
      </c>
      <c r="V127" s="188">
        <f>AVERAGE(I247:I248)</f>
        <v>8.7200000000000006</v>
      </c>
      <c r="W127" s="75"/>
      <c r="X127"/>
    </row>
    <row r="128" spans="1:24">
      <c r="A128" s="15">
        <f>'Exptl Setup'!A126</f>
        <v>119</v>
      </c>
      <c r="B128" s="15" t="str">
        <f>'Exptl Setup'!B126</f>
        <v>MTT No Till</v>
      </c>
      <c r="C128" s="15" t="str">
        <f>'Exptl Setup'!C126</f>
        <v>e</v>
      </c>
      <c r="D128" s="15">
        <f>'Exptl Setup'!D126</f>
        <v>32</v>
      </c>
      <c r="E128" s="15" t="str">
        <f>'Exptl Setup'!E126</f>
        <v>+</v>
      </c>
      <c r="F128" s="15">
        <f>'Exptl Setup'!F126</f>
        <v>32.006999999999998</v>
      </c>
      <c r="G128" s="18">
        <f>'Exptl Setup'!G126</f>
        <v>25.007832526930077</v>
      </c>
      <c r="H128" s="22">
        <v>20</v>
      </c>
      <c r="I128" s="18">
        <v>8.74</v>
      </c>
      <c r="J128" s="18">
        <v>6.1</v>
      </c>
      <c r="K128" s="20">
        <v>0.42</v>
      </c>
      <c r="L128" s="19">
        <v>164.98099999999999</v>
      </c>
      <c r="M128" s="19">
        <v>19.79</v>
      </c>
      <c r="N128" s="19">
        <v>35.020000000000003</v>
      </c>
      <c r="O128" s="19">
        <v>520.19000000000005</v>
      </c>
      <c r="P128" s="19">
        <v>5017</v>
      </c>
      <c r="Q128" s="311">
        <f t="shared" si="2"/>
        <v>0.11737871039999999</v>
      </c>
      <c r="R128">
        <f t="shared" si="3"/>
        <v>4.2707115581862869</v>
      </c>
      <c r="S128" s="186">
        <v>48</v>
      </c>
      <c r="T128" s="186" t="s">
        <v>82</v>
      </c>
      <c r="U128" s="187">
        <v>20.004986284764851</v>
      </c>
      <c r="V128" s="188">
        <f>AVERAGE(I247:I248)</f>
        <v>8.7200000000000006</v>
      </c>
      <c r="W128" s="75"/>
      <c r="X128"/>
    </row>
    <row r="129" spans="1:24" ht="15.75" thickBot="1">
      <c r="A129" s="15">
        <f>'Exptl Setup'!A127</f>
        <v>120</v>
      </c>
      <c r="B129" s="15" t="str">
        <f>'Exptl Setup'!B127</f>
        <v>MTT No Till</v>
      </c>
      <c r="C129" s="15" t="str">
        <f>'Exptl Setup'!C127</f>
        <v>f</v>
      </c>
      <c r="D129" s="15">
        <f>'Exptl Setup'!D127</f>
        <v>32</v>
      </c>
      <c r="E129" s="15" t="str">
        <f>'Exptl Setup'!E127</f>
        <v>+</v>
      </c>
      <c r="F129" s="15">
        <f>'Exptl Setup'!F127</f>
        <v>31.991</v>
      </c>
      <c r="G129" s="18">
        <f>'Exptl Setup'!G127</f>
        <v>24.995331345300094</v>
      </c>
      <c r="H129" s="22">
        <v>20</v>
      </c>
      <c r="I129" s="18"/>
      <c r="J129" s="23"/>
      <c r="K129" s="20">
        <v>0.39200000000000002</v>
      </c>
      <c r="L129" s="19">
        <v>103.741</v>
      </c>
      <c r="M129" s="19"/>
      <c r="N129" s="19"/>
      <c r="O129" s="19"/>
      <c r="P129" s="19"/>
      <c r="Q129" s="311">
        <f t="shared" si="2"/>
        <v>0.10955346303999999</v>
      </c>
      <c r="R129">
        <f t="shared" si="3"/>
        <v>3.9879910137229402</v>
      </c>
      <c r="S129" s="189">
        <v>48</v>
      </c>
      <c r="T129" s="189" t="s">
        <v>82</v>
      </c>
      <c r="U129" s="190">
        <v>20.001234763661284</v>
      </c>
      <c r="V129" s="188">
        <f>AVERAGE(I247:I248)</f>
        <v>8.7200000000000006</v>
      </c>
      <c r="W129" s="75"/>
      <c r="X129"/>
    </row>
    <row r="130" spans="1:24">
      <c r="A130" s="15">
        <f>'Exptl Setup'!A128</f>
        <v>121</v>
      </c>
      <c r="B130" s="15" t="str">
        <f>'Exptl Setup'!B128</f>
        <v>MTT No Till</v>
      </c>
      <c r="C130" s="15" t="str">
        <f>'Exptl Setup'!C128</f>
        <v>a</v>
      </c>
      <c r="D130" s="15">
        <f>'Exptl Setup'!D128</f>
        <v>32</v>
      </c>
      <c r="E130" s="15" t="str">
        <f>'Exptl Setup'!E128</f>
        <v>-</v>
      </c>
      <c r="F130" s="15">
        <f>'Exptl Setup'!F128</f>
        <v>31.995999999999999</v>
      </c>
      <c r="G130" s="18">
        <f>'Exptl Setup'!G128</f>
        <v>24.999237964559462</v>
      </c>
      <c r="H130" s="22">
        <v>0</v>
      </c>
      <c r="I130" s="18"/>
      <c r="J130" s="23"/>
      <c r="K130" s="154">
        <v>441.19839999999999</v>
      </c>
      <c r="L130" s="19">
        <v>4815.518</v>
      </c>
      <c r="M130" s="19"/>
      <c r="N130" s="19"/>
      <c r="O130" s="19"/>
      <c r="P130" s="19"/>
      <c r="Q130" s="311">
        <f t="shared" si="2"/>
        <v>123.30309338700799</v>
      </c>
      <c r="R130">
        <f t="shared" si="3"/>
        <v>4487.806885117323</v>
      </c>
      <c r="S130" s="188"/>
      <c r="T130" s="188"/>
      <c r="U130" s="188"/>
      <c r="W130" s="75"/>
      <c r="X130"/>
    </row>
    <row r="131" spans="1:24">
      <c r="A131" s="15">
        <f>'Exptl Setup'!A129</f>
        <v>122</v>
      </c>
      <c r="B131" s="15" t="str">
        <f>'Exptl Setup'!B129</f>
        <v>MTT No Till</v>
      </c>
      <c r="C131" s="15" t="str">
        <f>'Exptl Setup'!C129</f>
        <v>b</v>
      </c>
      <c r="D131" s="15">
        <f>'Exptl Setup'!D129</f>
        <v>32</v>
      </c>
      <c r="E131" s="15" t="str">
        <f>'Exptl Setup'!E129</f>
        <v>-</v>
      </c>
      <c r="F131" s="15">
        <f>'Exptl Setup'!F129</f>
        <v>32.003</v>
      </c>
      <c r="G131" s="18">
        <f>'Exptl Setup'!G129</f>
        <v>25.004707231522584</v>
      </c>
      <c r="H131" s="22">
        <v>0</v>
      </c>
      <c r="I131" s="18"/>
      <c r="J131" s="18"/>
      <c r="K131" s="154">
        <v>373.02199999999999</v>
      </c>
      <c r="L131" s="19">
        <v>8502.2209999999995</v>
      </c>
      <c r="M131" s="19"/>
      <c r="N131" s="19"/>
      <c r="O131" s="19"/>
      <c r="P131" s="19"/>
      <c r="Q131" s="311">
        <f t="shared" si="2"/>
        <v>104.24962216864</v>
      </c>
      <c r="R131">
        <f t="shared" si="3"/>
        <v>3793.4963853847403</v>
      </c>
      <c r="S131" s="188"/>
      <c r="T131" s="188"/>
      <c r="U131" s="188"/>
      <c r="W131" s="75"/>
      <c r="X131"/>
    </row>
    <row r="132" spans="1:24">
      <c r="A132" s="15">
        <f>'Exptl Setup'!A130</f>
        <v>123</v>
      </c>
      <c r="B132" s="15" t="str">
        <f>'Exptl Setup'!B130</f>
        <v>MTT No Till</v>
      </c>
      <c r="C132" s="15" t="str">
        <f>'Exptl Setup'!C130</f>
        <v>c</v>
      </c>
      <c r="D132" s="15">
        <f>'Exptl Setup'!D130</f>
        <v>32</v>
      </c>
      <c r="E132" s="15" t="str">
        <f>'Exptl Setup'!E130</f>
        <v>-</v>
      </c>
      <c r="F132" s="15">
        <f>'Exptl Setup'!F130</f>
        <v>31.994</v>
      </c>
      <c r="G132" s="18">
        <f>'Exptl Setup'!G130</f>
        <v>24.997675316855716</v>
      </c>
      <c r="H132" s="22">
        <v>0</v>
      </c>
      <c r="I132" s="18"/>
      <c r="J132" s="18"/>
      <c r="K132" s="154">
        <v>414.18799999999999</v>
      </c>
      <c r="L132" s="19">
        <v>5421.5140000000001</v>
      </c>
      <c r="M132" s="19"/>
      <c r="N132" s="19"/>
      <c r="O132" s="19"/>
      <c r="P132" s="19"/>
      <c r="Q132" s="311">
        <f t="shared" si="2"/>
        <v>115.75441262656</v>
      </c>
      <c r="R132">
        <f t="shared" si="3"/>
        <v>4213.3243335757888</v>
      </c>
      <c r="S132" s="188"/>
      <c r="T132" s="188"/>
      <c r="U132" s="188"/>
      <c r="W132" s="75"/>
      <c r="X132"/>
    </row>
    <row r="133" spans="1:24">
      <c r="A133" s="15">
        <f>'Exptl Setup'!A131</f>
        <v>124</v>
      </c>
      <c r="B133" s="15" t="str">
        <f>'Exptl Setup'!B131</f>
        <v>MTT No Till</v>
      </c>
      <c r="C133" s="15" t="str">
        <f>'Exptl Setup'!C131</f>
        <v>d</v>
      </c>
      <c r="D133" s="15">
        <f>'Exptl Setup'!D131</f>
        <v>32</v>
      </c>
      <c r="E133" s="15" t="str">
        <f>'Exptl Setup'!E131</f>
        <v>-</v>
      </c>
      <c r="F133" s="15">
        <f>'Exptl Setup'!F131</f>
        <v>32.006</v>
      </c>
      <c r="G133" s="18">
        <f>'Exptl Setup'!G131</f>
        <v>25.007051203078206</v>
      </c>
      <c r="H133" s="22">
        <v>0</v>
      </c>
      <c r="I133" s="18">
        <v>4.6399999999999997</v>
      </c>
      <c r="J133" s="18">
        <v>6.4</v>
      </c>
      <c r="K133" s="154">
        <v>432.666</v>
      </c>
      <c r="L133" s="19">
        <v>4645.0529999999999</v>
      </c>
      <c r="M133" s="19">
        <v>4.343</v>
      </c>
      <c r="N133" s="19">
        <v>2.9085000000000001</v>
      </c>
      <c r="O133" s="19">
        <v>6.8434999999999988</v>
      </c>
      <c r="P133" s="19">
        <v>51.19</v>
      </c>
      <c r="Q133" s="311">
        <f t="shared" si="2"/>
        <v>120.91851693792</v>
      </c>
      <c r="R133">
        <f t="shared" si="3"/>
        <v>4399.641475475175</v>
      </c>
      <c r="S133" s="188"/>
      <c r="T133" s="188"/>
      <c r="U133" s="188"/>
      <c r="W133" s="75"/>
      <c r="X133"/>
    </row>
    <row r="134" spans="1:24">
      <c r="A134" s="15">
        <f>'Exptl Setup'!A132</f>
        <v>125</v>
      </c>
      <c r="B134" s="15" t="str">
        <f>'Exptl Setup'!B132</f>
        <v>MTT No Till</v>
      </c>
      <c r="C134" s="15" t="str">
        <f>'Exptl Setup'!C132</f>
        <v>e</v>
      </c>
      <c r="D134" s="15">
        <f>'Exptl Setup'!D132</f>
        <v>32</v>
      </c>
      <c r="E134" s="15" t="str">
        <f>'Exptl Setup'!E132</f>
        <v>-</v>
      </c>
      <c r="F134" s="15">
        <f>'Exptl Setup'!F132</f>
        <v>31.995000000000001</v>
      </c>
      <c r="G134" s="18">
        <f>'Exptl Setup'!G132</f>
        <v>24.998456640707591</v>
      </c>
      <c r="H134" s="22">
        <v>0</v>
      </c>
      <c r="I134" s="18">
        <v>4.74</v>
      </c>
      <c r="J134" s="18">
        <v>6.44</v>
      </c>
      <c r="K134" s="154">
        <v>434.24900000000002</v>
      </c>
      <c r="L134" s="19">
        <v>5796.72</v>
      </c>
      <c r="M134" s="19">
        <v>4.2204999999999995</v>
      </c>
      <c r="N134" s="19">
        <v>3.2309999999999999</v>
      </c>
      <c r="O134" s="19">
        <v>4.6485000000000003</v>
      </c>
      <c r="P134" s="19">
        <v>42.39</v>
      </c>
      <c r="Q134" s="311">
        <f t="shared" si="2"/>
        <v>121.36092288688</v>
      </c>
      <c r="R134">
        <f t="shared" si="3"/>
        <v>4417.2566409447018</v>
      </c>
      <c r="S134" s="188"/>
      <c r="T134" s="188"/>
      <c r="U134" s="188"/>
      <c r="W134" s="75"/>
      <c r="X134"/>
    </row>
    <row r="135" spans="1:24">
      <c r="A135" s="15">
        <f>'Exptl Setup'!A133</f>
        <v>126</v>
      </c>
      <c r="B135" s="15" t="str">
        <f>'Exptl Setup'!B133</f>
        <v>MTT No Till</v>
      </c>
      <c r="C135" s="15" t="str">
        <f>'Exptl Setup'!C133</f>
        <v>f</v>
      </c>
      <c r="D135" s="15">
        <f>'Exptl Setup'!D133</f>
        <v>32</v>
      </c>
      <c r="E135" s="15" t="str">
        <f>'Exptl Setup'!E133</f>
        <v>-</v>
      </c>
      <c r="F135" s="15">
        <f>'Exptl Setup'!F133</f>
        <v>32.009</v>
      </c>
      <c r="G135" s="18">
        <f>'Exptl Setup'!G133</f>
        <v>25.009395174633827</v>
      </c>
      <c r="H135" s="22">
        <v>0</v>
      </c>
      <c r="I135" s="18"/>
      <c r="J135" s="23"/>
      <c r="K135" s="154">
        <v>415.12400000000002</v>
      </c>
      <c r="L135" s="19">
        <v>5449.3919999999998</v>
      </c>
      <c r="M135" s="19"/>
      <c r="N135" s="19"/>
      <c r="O135" s="19"/>
      <c r="P135" s="19"/>
      <c r="Q135" s="311">
        <f t="shared" si="2"/>
        <v>116.01599946688</v>
      </c>
      <c r="R135">
        <f t="shared" si="3"/>
        <v>4220.8668841821964</v>
      </c>
      <c r="S135" s="188"/>
      <c r="T135" s="188"/>
      <c r="U135" s="188"/>
      <c r="W135" s="75"/>
      <c r="X135"/>
    </row>
    <row r="136" spans="1:24">
      <c r="A136" s="15">
        <f>'Exptl Setup'!A134</f>
        <v>127</v>
      </c>
      <c r="B136" s="15" t="str">
        <f>'Exptl Setup'!B134</f>
        <v>MTT No Till</v>
      </c>
      <c r="C136" s="15" t="str">
        <f>'Exptl Setup'!C134</f>
        <v>a</v>
      </c>
      <c r="D136" s="15">
        <f>'Exptl Setup'!D134</f>
        <v>32</v>
      </c>
      <c r="E136" s="15" t="str">
        <f>'Exptl Setup'!E134</f>
        <v>-</v>
      </c>
      <c r="F136" s="15">
        <f>'Exptl Setup'!F134</f>
        <v>31.998999999999999</v>
      </c>
      <c r="G136" s="18">
        <f>'Exptl Setup'!G134</f>
        <v>25.001581936115088</v>
      </c>
      <c r="H136" s="22">
        <v>6</v>
      </c>
      <c r="I136" s="18"/>
      <c r="J136" s="18"/>
      <c r="K136" s="20">
        <v>2.5430000000000001</v>
      </c>
      <c r="L136" s="19">
        <v>10680.789000000001</v>
      </c>
      <c r="M136" s="19"/>
      <c r="N136" s="19"/>
      <c r="O136" s="19"/>
      <c r="P136" s="19"/>
      <c r="Q136" s="311">
        <f t="shared" si="2"/>
        <v>0.71070014416000005</v>
      </c>
      <c r="R136">
        <f t="shared" si="3"/>
        <v>25.864606386167914</v>
      </c>
      <c r="S136" s="188"/>
      <c r="T136" s="188"/>
      <c r="U136" s="188"/>
      <c r="W136" s="75"/>
      <c r="X136"/>
    </row>
    <row r="137" spans="1:24">
      <c r="A137" s="15">
        <f>'Exptl Setup'!A135</f>
        <v>128</v>
      </c>
      <c r="B137" s="15" t="str">
        <f>'Exptl Setup'!B135</f>
        <v>MTT No Till</v>
      </c>
      <c r="C137" s="15" t="str">
        <f>'Exptl Setup'!C135</f>
        <v>b</v>
      </c>
      <c r="D137" s="15">
        <f>'Exptl Setup'!D135</f>
        <v>32</v>
      </c>
      <c r="E137" s="15" t="str">
        <f>'Exptl Setup'!E135</f>
        <v>-</v>
      </c>
      <c r="F137" s="15">
        <f>'Exptl Setup'!F135</f>
        <v>32</v>
      </c>
      <c r="G137" s="18">
        <f>'Exptl Setup'!G135</f>
        <v>25.002363259966963</v>
      </c>
      <c r="H137" s="22">
        <v>6</v>
      </c>
      <c r="I137" s="18"/>
      <c r="J137" s="18"/>
      <c r="K137" s="20">
        <v>0.188</v>
      </c>
      <c r="L137" s="19">
        <v>8850.0059999999994</v>
      </c>
      <c r="M137" s="19"/>
      <c r="N137" s="19"/>
      <c r="O137" s="19"/>
      <c r="P137" s="19"/>
      <c r="Q137" s="311">
        <f t="shared" si="2"/>
        <v>5.2540946560000003E-2</v>
      </c>
      <c r="R137">
        <f t="shared" si="3"/>
        <v>1.9120700141710769</v>
      </c>
      <c r="S137" s="188"/>
      <c r="T137" s="188"/>
      <c r="U137" s="188"/>
      <c r="W137" s="75"/>
    </row>
    <row r="138" spans="1:24">
      <c r="A138" s="15">
        <f>'Exptl Setup'!A136</f>
        <v>129</v>
      </c>
      <c r="B138" s="15" t="str">
        <f>'Exptl Setup'!B136</f>
        <v>MTT No Till</v>
      </c>
      <c r="C138" s="15" t="str">
        <f>'Exptl Setup'!C136</f>
        <v>c</v>
      </c>
      <c r="D138" s="15">
        <f>'Exptl Setup'!D136</f>
        <v>32</v>
      </c>
      <c r="E138" s="15" t="str">
        <f>'Exptl Setup'!E136</f>
        <v>-</v>
      </c>
      <c r="F138" s="15">
        <f>'Exptl Setup'!F136</f>
        <v>32.012</v>
      </c>
      <c r="G138" s="18">
        <f>'Exptl Setup'!G136</f>
        <v>25.011739146189448</v>
      </c>
      <c r="H138" s="22">
        <v>6</v>
      </c>
      <c r="I138" s="18"/>
      <c r="J138" s="18"/>
      <c r="K138" s="20">
        <v>0.14899999999999999</v>
      </c>
      <c r="L138" s="19">
        <v>10569.735000000001</v>
      </c>
      <c r="M138" s="19"/>
      <c r="N138" s="19"/>
      <c r="O138" s="19"/>
      <c r="P138" s="19"/>
      <c r="Q138" s="311">
        <f t="shared" si="2"/>
        <v>4.1641494879999998E-2</v>
      </c>
      <c r="R138">
        <f t="shared" si="3"/>
        <v>1.5148491236610231</v>
      </c>
      <c r="S138" s="188"/>
      <c r="T138" s="188"/>
      <c r="U138" s="188"/>
      <c r="W138" s="75"/>
    </row>
    <row r="139" spans="1:24">
      <c r="A139" s="15">
        <f>'Exptl Setup'!A137</f>
        <v>130</v>
      </c>
      <c r="B139" s="15" t="str">
        <f>'Exptl Setup'!B137</f>
        <v>MTT No Till</v>
      </c>
      <c r="C139" s="15" t="str">
        <f>'Exptl Setup'!C137</f>
        <v>d</v>
      </c>
      <c r="D139" s="15">
        <f>'Exptl Setup'!D137</f>
        <v>32</v>
      </c>
      <c r="E139" s="15" t="str">
        <f>'Exptl Setup'!E137</f>
        <v>-</v>
      </c>
      <c r="F139" s="15">
        <f>'Exptl Setup'!F137</f>
        <v>32.003999999999998</v>
      </c>
      <c r="G139" s="18">
        <f>'Exptl Setup'!G137</f>
        <v>25.005488555374455</v>
      </c>
      <c r="H139" s="22">
        <v>6</v>
      </c>
      <c r="I139" s="18">
        <v>6.63</v>
      </c>
      <c r="J139" s="18">
        <v>5.62</v>
      </c>
      <c r="K139" s="20">
        <v>6.4000000000000001E-2</v>
      </c>
      <c r="L139" s="19">
        <v>11282.215</v>
      </c>
      <c r="M139" s="19">
        <v>0.2974</v>
      </c>
      <c r="N139" s="19">
        <v>10.009999999999998</v>
      </c>
      <c r="O139" s="19">
        <v>15.832337991266382</v>
      </c>
      <c r="P139" s="19">
        <v>250.6</v>
      </c>
      <c r="Q139" s="311">
        <f t="shared" ref="Q139:Q202" si="4">K139*(260.57+(29.91*$H$2))*(1/1000)</f>
        <v>1.7886279680000002E-2</v>
      </c>
      <c r="R139">
        <f t="shared" ref="R139:R202" si="5">((Q139*$H$3*$H$4)/($H$5*$H$6*$F139))*1000</f>
        <v>0.650836097120567</v>
      </c>
      <c r="S139" s="188"/>
      <c r="T139" s="188"/>
      <c r="U139" s="188"/>
      <c r="W139" s="75"/>
    </row>
    <row r="140" spans="1:24">
      <c r="A140" s="15">
        <f>'Exptl Setup'!A138</f>
        <v>131</v>
      </c>
      <c r="B140" s="15" t="str">
        <f>'Exptl Setup'!B138</f>
        <v>MTT No Till</v>
      </c>
      <c r="C140" s="15" t="str">
        <f>'Exptl Setup'!C138</f>
        <v>e</v>
      </c>
      <c r="D140" s="15">
        <f>'Exptl Setup'!D138</f>
        <v>32</v>
      </c>
      <c r="E140" s="15" t="str">
        <f>'Exptl Setup'!E138</f>
        <v>-</v>
      </c>
      <c r="F140" s="15">
        <f>'Exptl Setup'!F138</f>
        <v>31.998999999999999</v>
      </c>
      <c r="G140" s="18">
        <f>'Exptl Setup'!G138</f>
        <v>25.001581936115088</v>
      </c>
      <c r="H140" s="22">
        <v>6</v>
      </c>
      <c r="I140" s="18">
        <v>6.63</v>
      </c>
      <c r="J140" s="18">
        <v>5.74</v>
      </c>
      <c r="K140" s="20">
        <v>7.3999999999999996E-2</v>
      </c>
      <c r="L140" s="19">
        <v>11098.954</v>
      </c>
      <c r="M140" s="19">
        <v>0.19769999999999999</v>
      </c>
      <c r="N140" s="19">
        <v>10.215</v>
      </c>
      <c r="O140" s="19">
        <v>13.185553275109173</v>
      </c>
      <c r="P140" s="19">
        <v>252</v>
      </c>
      <c r="Q140" s="311">
        <f t="shared" si="4"/>
        <v>2.068101088E-2</v>
      </c>
      <c r="R140">
        <f t="shared" si="5"/>
        <v>0.75264682366355695</v>
      </c>
      <c r="S140" s="188"/>
      <c r="T140" s="188"/>
      <c r="U140" s="188"/>
      <c r="W140" s="75"/>
    </row>
    <row r="141" spans="1:24">
      <c r="A141" s="15">
        <f>'Exptl Setup'!A139</f>
        <v>132</v>
      </c>
      <c r="B141" s="15" t="str">
        <f>'Exptl Setup'!B139</f>
        <v>MTT No Till</v>
      </c>
      <c r="C141" s="15" t="str">
        <f>'Exptl Setup'!C139</f>
        <v>f</v>
      </c>
      <c r="D141" s="15">
        <f>'Exptl Setup'!D139</f>
        <v>32</v>
      </c>
      <c r="E141" s="15" t="str">
        <f>'Exptl Setup'!E139</f>
        <v>-</v>
      </c>
      <c r="F141" s="15">
        <f>'Exptl Setup'!F139</f>
        <v>31.995000000000001</v>
      </c>
      <c r="G141" s="18">
        <f>'Exptl Setup'!G139</f>
        <v>24.998456640707591</v>
      </c>
      <c r="H141" s="22">
        <v>6</v>
      </c>
      <c r="I141" s="18"/>
      <c r="J141" s="18"/>
      <c r="K141" s="20">
        <v>7.4999999999999997E-2</v>
      </c>
      <c r="L141" s="19">
        <v>8601.85</v>
      </c>
      <c r="M141" s="19"/>
      <c r="N141" s="19"/>
      <c r="O141" s="19"/>
      <c r="P141" s="19"/>
      <c r="Q141" s="311">
        <f t="shared" si="4"/>
        <v>2.0960483999999998E-2</v>
      </c>
      <c r="R141">
        <f t="shared" si="5"/>
        <v>0.76291309380298533</v>
      </c>
      <c r="S141" s="188"/>
      <c r="T141" s="188"/>
      <c r="U141" s="188"/>
      <c r="W141" s="75"/>
    </row>
    <row r="142" spans="1:24">
      <c r="A142" s="15">
        <f>'Exptl Setup'!A140</f>
        <v>133</v>
      </c>
      <c r="B142" s="15" t="str">
        <f>'Exptl Setup'!B140</f>
        <v>MTT No Till</v>
      </c>
      <c r="C142" s="15" t="str">
        <f>'Exptl Setup'!C140</f>
        <v>a</v>
      </c>
      <c r="D142" s="15">
        <f>'Exptl Setup'!D140</f>
        <v>32</v>
      </c>
      <c r="E142" s="15" t="str">
        <f>'Exptl Setup'!E140</f>
        <v>-</v>
      </c>
      <c r="F142" s="15">
        <f>'Exptl Setup'!F140</f>
        <v>32</v>
      </c>
      <c r="G142" s="18">
        <f>'Exptl Setup'!G140</f>
        <v>25.002363259966963</v>
      </c>
      <c r="H142" s="22">
        <v>16</v>
      </c>
      <c r="I142" s="18"/>
      <c r="J142" s="18"/>
      <c r="K142" s="20">
        <v>0</v>
      </c>
      <c r="L142" s="19">
        <v>2095.85</v>
      </c>
      <c r="M142" s="19"/>
      <c r="N142" s="19"/>
      <c r="O142" s="19"/>
      <c r="P142" s="19"/>
      <c r="Q142" s="311">
        <f t="shared" si="4"/>
        <v>0</v>
      </c>
      <c r="R142">
        <f t="shared" si="5"/>
        <v>0</v>
      </c>
      <c r="S142" s="188"/>
      <c r="T142" s="188"/>
      <c r="U142" s="188"/>
      <c r="W142" s="75"/>
    </row>
    <row r="143" spans="1:24">
      <c r="A143" s="15">
        <f>'Exptl Setup'!A141</f>
        <v>134</v>
      </c>
      <c r="B143" s="15" t="str">
        <f>'Exptl Setup'!B141</f>
        <v>MTT No Till</v>
      </c>
      <c r="C143" s="15" t="str">
        <f>'Exptl Setup'!C141</f>
        <v>b</v>
      </c>
      <c r="D143" s="15">
        <f>'Exptl Setup'!D141</f>
        <v>32</v>
      </c>
      <c r="E143" s="15" t="str">
        <f>'Exptl Setup'!E141</f>
        <v>-</v>
      </c>
      <c r="F143" s="15">
        <f>'Exptl Setup'!F141</f>
        <v>32.003</v>
      </c>
      <c r="G143" s="18">
        <f>'Exptl Setup'!G141</f>
        <v>25.004707231522584</v>
      </c>
      <c r="H143" s="22">
        <v>16</v>
      </c>
      <c r="I143" s="18"/>
      <c r="J143" s="18"/>
      <c r="K143" s="20">
        <v>0</v>
      </c>
      <c r="L143" s="19">
        <v>2078.4830000000002</v>
      </c>
      <c r="M143" s="19"/>
      <c r="N143" s="19"/>
      <c r="O143" s="19"/>
      <c r="P143" s="19"/>
      <c r="Q143" s="311">
        <f t="shared" si="4"/>
        <v>0</v>
      </c>
      <c r="R143">
        <f t="shared" si="5"/>
        <v>0</v>
      </c>
      <c r="S143" s="188"/>
      <c r="T143" s="188"/>
      <c r="U143" s="188"/>
      <c r="W143" s="75"/>
    </row>
    <row r="144" spans="1:24">
      <c r="A144" s="15">
        <f>'Exptl Setup'!A142</f>
        <v>135</v>
      </c>
      <c r="B144" s="15" t="str">
        <f>'Exptl Setup'!B142</f>
        <v>MTT No Till</v>
      </c>
      <c r="C144" s="15" t="str">
        <f>'Exptl Setup'!C142</f>
        <v>c</v>
      </c>
      <c r="D144" s="15">
        <f>'Exptl Setup'!D142</f>
        <v>32</v>
      </c>
      <c r="E144" s="15" t="str">
        <f>'Exptl Setup'!E142</f>
        <v>-</v>
      </c>
      <c r="F144" s="15">
        <f>'Exptl Setup'!F142</f>
        <v>32.009</v>
      </c>
      <c r="G144" s="18">
        <f>'Exptl Setup'!G142</f>
        <v>25.009395174633827</v>
      </c>
      <c r="H144" s="22">
        <v>16</v>
      </c>
      <c r="I144" s="18"/>
      <c r="J144" s="23"/>
      <c r="K144" s="20">
        <v>0</v>
      </c>
      <c r="L144" s="19">
        <v>2702.3020000000001</v>
      </c>
      <c r="M144" s="19"/>
      <c r="N144" s="19"/>
      <c r="O144" s="19"/>
      <c r="P144" s="19"/>
      <c r="Q144" s="311">
        <f t="shared" si="4"/>
        <v>0</v>
      </c>
      <c r="R144">
        <f t="shared" si="5"/>
        <v>0</v>
      </c>
      <c r="S144" s="188"/>
      <c r="T144" s="188"/>
      <c r="U144" s="188"/>
      <c r="W144" s="75"/>
    </row>
    <row r="145" spans="1:23">
      <c r="A145" s="15">
        <f>'Exptl Setup'!A143</f>
        <v>136</v>
      </c>
      <c r="B145" s="15" t="str">
        <f>'Exptl Setup'!B143</f>
        <v>MTT No Till</v>
      </c>
      <c r="C145" s="15" t="str">
        <f>'Exptl Setup'!C143</f>
        <v>d</v>
      </c>
      <c r="D145" s="15">
        <f>'Exptl Setup'!D143</f>
        <v>32</v>
      </c>
      <c r="E145" s="15" t="str">
        <f>'Exptl Setup'!E143</f>
        <v>-</v>
      </c>
      <c r="F145" s="15">
        <f>'Exptl Setup'!F143</f>
        <v>31.998000000000001</v>
      </c>
      <c r="G145" s="18">
        <f>'Exptl Setup'!G143</f>
        <v>25.000800612263212</v>
      </c>
      <c r="H145" s="22">
        <v>16</v>
      </c>
      <c r="I145" s="18">
        <v>8.24</v>
      </c>
      <c r="J145" s="18">
        <v>6.08</v>
      </c>
      <c r="K145" s="20">
        <v>0</v>
      </c>
      <c r="L145" s="19">
        <v>2098.1350000000002</v>
      </c>
      <c r="M145" s="19">
        <v>4.7460000000000004</v>
      </c>
      <c r="N145" s="19">
        <v>38.020000000000003</v>
      </c>
      <c r="O145" s="19">
        <v>336.93400000000003</v>
      </c>
      <c r="P145" s="19">
        <v>4509</v>
      </c>
      <c r="Q145" s="311">
        <f t="shared" si="4"/>
        <v>0</v>
      </c>
      <c r="R145">
        <f t="shared" si="5"/>
        <v>0</v>
      </c>
      <c r="S145" s="188"/>
      <c r="T145" s="188"/>
      <c r="U145" s="188"/>
      <c r="W145" s="75"/>
    </row>
    <row r="146" spans="1:23">
      <c r="A146" s="15">
        <f>'Exptl Setup'!A144</f>
        <v>137</v>
      </c>
      <c r="B146" s="15" t="str">
        <f>'Exptl Setup'!B144</f>
        <v>MTT No Till</v>
      </c>
      <c r="C146" s="15" t="str">
        <f>'Exptl Setup'!C144</f>
        <v>e</v>
      </c>
      <c r="D146" s="15">
        <f>'Exptl Setup'!D144</f>
        <v>32</v>
      </c>
      <c r="E146" s="15" t="str">
        <f>'Exptl Setup'!E144</f>
        <v>-</v>
      </c>
      <c r="F146" s="15">
        <f>'Exptl Setup'!F144</f>
        <v>32.006</v>
      </c>
      <c r="G146" s="18">
        <f>'Exptl Setup'!G144</f>
        <v>25.007051203078206</v>
      </c>
      <c r="H146" s="22">
        <v>16</v>
      </c>
      <c r="I146" s="18">
        <v>8.2899999999999991</v>
      </c>
      <c r="J146" s="18">
        <v>6.14</v>
      </c>
      <c r="K146" s="20">
        <v>0</v>
      </c>
      <c r="L146" s="19">
        <v>2263.1149999999998</v>
      </c>
      <c r="M146" s="19">
        <v>4.117</v>
      </c>
      <c r="N146" s="19">
        <v>36.92</v>
      </c>
      <c r="O146" s="19">
        <v>360.26299999999998</v>
      </c>
      <c r="P146" s="19">
        <v>4655</v>
      </c>
      <c r="Q146" s="311">
        <f t="shared" si="4"/>
        <v>0</v>
      </c>
      <c r="R146">
        <f t="shared" si="5"/>
        <v>0</v>
      </c>
      <c r="S146" s="188"/>
      <c r="T146" s="188"/>
      <c r="U146" s="188"/>
      <c r="W146" s="75"/>
    </row>
    <row r="147" spans="1:23">
      <c r="A147" s="15">
        <f>'Exptl Setup'!A145</f>
        <v>138</v>
      </c>
      <c r="B147" s="15" t="str">
        <f>'Exptl Setup'!B145</f>
        <v>MTT No Till</v>
      </c>
      <c r="C147" s="15" t="str">
        <f>'Exptl Setup'!C145</f>
        <v>f</v>
      </c>
      <c r="D147" s="15">
        <f>'Exptl Setup'!D145</f>
        <v>32</v>
      </c>
      <c r="E147" s="15" t="str">
        <f>'Exptl Setup'!E145</f>
        <v>-</v>
      </c>
      <c r="F147" s="15">
        <f>'Exptl Setup'!F145</f>
        <v>32.002000000000002</v>
      </c>
      <c r="G147" s="18">
        <f>'Exptl Setup'!G145</f>
        <v>25.003925907670713</v>
      </c>
      <c r="H147" s="22">
        <v>16</v>
      </c>
      <c r="I147" s="18"/>
      <c r="J147" s="18"/>
      <c r="K147" s="20">
        <v>0</v>
      </c>
      <c r="L147" s="19">
        <v>4325.6030000000001</v>
      </c>
      <c r="M147" s="19"/>
      <c r="N147" s="19"/>
      <c r="O147" s="19"/>
      <c r="P147" s="19"/>
      <c r="Q147" s="311">
        <f t="shared" si="4"/>
        <v>0</v>
      </c>
      <c r="R147">
        <f t="shared" si="5"/>
        <v>0</v>
      </c>
      <c r="S147" s="188"/>
      <c r="T147" s="188"/>
      <c r="U147" s="188"/>
      <c r="W147" s="75"/>
    </row>
    <row r="148" spans="1:23">
      <c r="A148" s="15">
        <f>'Exptl Setup'!A146</f>
        <v>139</v>
      </c>
      <c r="B148" s="15" t="str">
        <f>'Exptl Setup'!B146</f>
        <v>MTT No Till</v>
      </c>
      <c r="C148" s="15" t="str">
        <f>'Exptl Setup'!C146</f>
        <v>a</v>
      </c>
      <c r="D148" s="15">
        <f>'Exptl Setup'!D146</f>
        <v>32</v>
      </c>
      <c r="E148" s="15" t="str">
        <f>'Exptl Setup'!E146</f>
        <v>-</v>
      </c>
      <c r="F148" s="15">
        <f>'Exptl Setup'!F146</f>
        <v>31.994</v>
      </c>
      <c r="G148" s="18">
        <f>'Exptl Setup'!G146</f>
        <v>24.997675316855716</v>
      </c>
      <c r="H148" s="22">
        <v>20</v>
      </c>
      <c r="I148" s="18"/>
      <c r="J148" s="18"/>
      <c r="K148" s="20">
        <v>0.54700000000000004</v>
      </c>
      <c r="L148" s="19">
        <v>132.53299999999999</v>
      </c>
      <c r="M148" s="19"/>
      <c r="N148" s="19"/>
      <c r="O148" s="19"/>
      <c r="P148" s="19"/>
      <c r="Q148" s="311">
        <f t="shared" si="4"/>
        <v>0.15287179664000003</v>
      </c>
      <c r="R148">
        <f t="shared" si="5"/>
        <v>5.5643534106877972</v>
      </c>
      <c r="S148" s="188"/>
      <c r="T148" s="188"/>
      <c r="U148" s="188"/>
      <c r="W148" s="75"/>
    </row>
    <row r="149" spans="1:23">
      <c r="A149" s="15">
        <f>'Exptl Setup'!A147</f>
        <v>140</v>
      </c>
      <c r="B149" s="15" t="str">
        <f>'Exptl Setup'!B147</f>
        <v>MTT No Till</v>
      </c>
      <c r="C149" s="15" t="str">
        <f>'Exptl Setup'!C147</f>
        <v>b</v>
      </c>
      <c r="D149" s="15">
        <f>'Exptl Setup'!D147</f>
        <v>32</v>
      </c>
      <c r="E149" s="15" t="str">
        <f>'Exptl Setup'!E147</f>
        <v>-</v>
      </c>
      <c r="F149" s="15">
        <f>'Exptl Setup'!F147</f>
        <v>32.014000000000003</v>
      </c>
      <c r="G149" s="18">
        <f>'Exptl Setup'!G147</f>
        <v>25.013301793893199</v>
      </c>
      <c r="H149" s="22">
        <v>20</v>
      </c>
      <c r="I149" s="18"/>
      <c r="J149" s="23"/>
      <c r="K149" s="20">
        <v>0.44900000000000001</v>
      </c>
      <c r="L149" s="19">
        <v>107.854</v>
      </c>
      <c r="M149" s="19"/>
      <c r="N149" s="19"/>
      <c r="O149" s="19"/>
      <c r="P149" s="19"/>
      <c r="Q149" s="311">
        <f t="shared" si="4"/>
        <v>0.12548343088</v>
      </c>
      <c r="R149">
        <f t="shared" si="5"/>
        <v>4.5645957359762201</v>
      </c>
      <c r="S149" s="188"/>
      <c r="T149" s="188"/>
      <c r="U149" s="188"/>
      <c r="W149" s="75"/>
    </row>
    <row r="150" spans="1:23">
      <c r="A150" s="15">
        <f>'Exptl Setup'!A148</f>
        <v>141</v>
      </c>
      <c r="B150" s="15" t="str">
        <f>'Exptl Setup'!B148</f>
        <v>MTT No Till</v>
      </c>
      <c r="C150" s="15" t="str">
        <f>'Exptl Setup'!C148</f>
        <v>c</v>
      </c>
      <c r="D150" s="15">
        <f>'Exptl Setup'!D148</f>
        <v>32</v>
      </c>
      <c r="E150" s="15" t="str">
        <f>'Exptl Setup'!E148</f>
        <v>-</v>
      </c>
      <c r="F150" s="15">
        <f>'Exptl Setup'!F148</f>
        <v>31.997</v>
      </c>
      <c r="G150" s="18">
        <f>'Exptl Setup'!G148</f>
        <v>25.000019288411337</v>
      </c>
      <c r="H150" s="22">
        <v>20</v>
      </c>
      <c r="I150" s="18"/>
      <c r="J150" s="23"/>
      <c r="K150" s="20">
        <v>0.54900000000000004</v>
      </c>
      <c r="L150" s="19">
        <v>136.64599999999999</v>
      </c>
      <c r="M150" s="19"/>
      <c r="N150" s="19"/>
      <c r="O150" s="19"/>
      <c r="P150" s="19"/>
      <c r="Q150" s="311">
        <f t="shared" si="4"/>
        <v>0.15343074288</v>
      </c>
      <c r="R150">
        <f t="shared" si="5"/>
        <v>5.5841747811725497</v>
      </c>
      <c r="S150" s="188"/>
      <c r="T150" s="188"/>
      <c r="U150" s="188"/>
      <c r="W150" s="75"/>
    </row>
    <row r="151" spans="1:23">
      <c r="A151" s="15">
        <f>'Exptl Setup'!A149</f>
        <v>142</v>
      </c>
      <c r="B151" s="15" t="str">
        <f>'Exptl Setup'!B149</f>
        <v>MTT No Till</v>
      </c>
      <c r="C151" s="15" t="str">
        <f>'Exptl Setup'!C149</f>
        <v>d</v>
      </c>
      <c r="D151" s="15">
        <f>'Exptl Setup'!D149</f>
        <v>32</v>
      </c>
      <c r="E151" s="15" t="str">
        <f>'Exptl Setup'!E149</f>
        <v>-</v>
      </c>
      <c r="F151" s="15">
        <f>'Exptl Setup'!F149</f>
        <v>32.002000000000002</v>
      </c>
      <c r="G151" s="18">
        <f>'Exptl Setup'!G149</f>
        <v>25.003925907670713</v>
      </c>
      <c r="H151" s="22">
        <v>20</v>
      </c>
      <c r="I151" s="18">
        <v>8.74</v>
      </c>
      <c r="J151" s="18">
        <v>5.96</v>
      </c>
      <c r="K151" s="20">
        <v>0.55800000000000005</v>
      </c>
      <c r="L151" s="19">
        <v>149.899</v>
      </c>
      <c r="M151" s="19">
        <v>17.88</v>
      </c>
      <c r="N151" s="19">
        <v>30.619999999999997</v>
      </c>
      <c r="O151" s="19">
        <v>590.6</v>
      </c>
      <c r="P151" s="19">
        <v>6235</v>
      </c>
      <c r="Q151" s="311">
        <f t="shared" si="4"/>
        <v>0.15594600096000003</v>
      </c>
      <c r="R151">
        <f t="shared" si="5"/>
        <v>5.6748318544317629</v>
      </c>
      <c r="S151" s="188"/>
      <c r="T151" s="188"/>
      <c r="U151" s="188"/>
      <c r="W151" s="75"/>
    </row>
    <row r="152" spans="1:23">
      <c r="A152" s="15">
        <f>'Exptl Setup'!A150</f>
        <v>143</v>
      </c>
      <c r="B152" s="15" t="str">
        <f>'Exptl Setup'!B150</f>
        <v>MTT No Till</v>
      </c>
      <c r="C152" s="15" t="str">
        <f>'Exptl Setup'!C150</f>
        <v>e</v>
      </c>
      <c r="D152" s="15">
        <f>'Exptl Setup'!D150</f>
        <v>32</v>
      </c>
      <c r="E152" s="15" t="str">
        <f>'Exptl Setup'!E150</f>
        <v>-</v>
      </c>
      <c r="F152" s="15">
        <f>'Exptl Setup'!F150</f>
        <v>32</v>
      </c>
      <c r="G152" s="18">
        <f>'Exptl Setup'!G150</f>
        <v>25.002363259966963</v>
      </c>
      <c r="H152" s="22">
        <v>20</v>
      </c>
      <c r="I152" s="18">
        <v>8.7899999999999991</v>
      </c>
      <c r="J152" s="18">
        <v>6.08</v>
      </c>
      <c r="K152" s="20">
        <v>0.96299999999999997</v>
      </c>
      <c r="L152" s="19">
        <v>193.77199999999999</v>
      </c>
      <c r="M152" s="19">
        <v>17.79</v>
      </c>
      <c r="N152" s="19">
        <v>30.92</v>
      </c>
      <c r="O152" s="19">
        <v>611.19000000000005</v>
      </c>
      <c r="P152" s="19">
        <v>6425</v>
      </c>
      <c r="Q152" s="311">
        <f t="shared" si="4"/>
        <v>0.26913261455999998</v>
      </c>
      <c r="R152">
        <f t="shared" si="5"/>
        <v>9.7942735300358894</v>
      </c>
      <c r="S152" s="188"/>
      <c r="T152" s="188"/>
      <c r="U152" s="188"/>
      <c r="W152" s="75"/>
    </row>
    <row r="153" spans="1:23">
      <c r="A153" s="15">
        <f>'Exptl Setup'!A151</f>
        <v>144</v>
      </c>
      <c r="B153" s="15" t="str">
        <f>'Exptl Setup'!B151</f>
        <v>MTT No Till</v>
      </c>
      <c r="C153" s="15" t="str">
        <f>'Exptl Setup'!C151</f>
        <v>f</v>
      </c>
      <c r="D153" s="15">
        <f>'Exptl Setup'!D151</f>
        <v>32</v>
      </c>
      <c r="E153" s="15" t="str">
        <f>'Exptl Setup'!E151</f>
        <v>-</v>
      </c>
      <c r="F153" s="15">
        <f>'Exptl Setup'!F151</f>
        <v>31.992000000000001</v>
      </c>
      <c r="G153" s="18">
        <f>'Exptl Setup'!G151</f>
        <v>24.996112669151969</v>
      </c>
      <c r="H153" s="22">
        <v>20</v>
      </c>
      <c r="I153" s="18"/>
      <c r="J153" s="18"/>
      <c r="K153" s="20">
        <v>0.877</v>
      </c>
      <c r="L153" s="19">
        <v>119.28</v>
      </c>
      <c r="M153" s="19"/>
      <c r="N153" s="19"/>
      <c r="O153" s="19"/>
      <c r="P153" s="19"/>
      <c r="Q153" s="311">
        <f t="shared" si="4"/>
        <v>0.24509792623999999</v>
      </c>
      <c r="R153">
        <f t="shared" si="5"/>
        <v>8.9218336628201431</v>
      </c>
      <c r="S153" s="188"/>
      <c r="T153" s="188"/>
      <c r="U153" s="188"/>
      <c r="W153" s="75"/>
    </row>
    <row r="154" spans="1:23">
      <c r="A154" s="15">
        <f>'Exptl Setup'!A152</f>
        <v>145</v>
      </c>
      <c r="B154" s="15" t="str">
        <f>'Exptl Setup'!B152</f>
        <v>MTT No Till</v>
      </c>
      <c r="C154" s="15" t="str">
        <f>'Exptl Setup'!C152</f>
        <v>a</v>
      </c>
      <c r="D154" s="15">
        <f>'Exptl Setup'!D152</f>
        <v>40</v>
      </c>
      <c r="E154" s="15" t="str">
        <f>'Exptl Setup'!E152</f>
        <v>+</v>
      </c>
      <c r="F154" s="15">
        <f>'Exptl Setup'!F152</f>
        <v>31.995999999999999</v>
      </c>
      <c r="G154" s="18">
        <f>'Exptl Setup'!G152</f>
        <v>24.999237964559462</v>
      </c>
      <c r="H154" s="22">
        <v>0</v>
      </c>
      <c r="I154" s="18"/>
      <c r="J154" s="23"/>
      <c r="K154" s="154">
        <v>564.7114499999999</v>
      </c>
      <c r="L154" s="19">
        <v>3426.951</v>
      </c>
      <c r="M154" s="19"/>
      <c r="N154" s="19"/>
      <c r="O154" s="19"/>
      <c r="P154" s="19"/>
      <c r="Q154" s="311">
        <f t="shared" si="4"/>
        <v>157.82167083122397</v>
      </c>
      <c r="R154">
        <f t="shared" si="5"/>
        <v>5744.1639258315226</v>
      </c>
      <c r="S154" s="188"/>
      <c r="T154" s="188"/>
      <c r="U154" s="188"/>
      <c r="V154" s="188"/>
      <c r="W154" s="75"/>
    </row>
    <row r="155" spans="1:23">
      <c r="A155" s="15">
        <f>'Exptl Setup'!A153</f>
        <v>146</v>
      </c>
      <c r="B155" s="15" t="str">
        <f>'Exptl Setup'!B153</f>
        <v>MTT No Till</v>
      </c>
      <c r="C155" s="15" t="str">
        <f>'Exptl Setup'!C153</f>
        <v>b</v>
      </c>
      <c r="D155" s="15">
        <f>'Exptl Setup'!D153</f>
        <v>40</v>
      </c>
      <c r="E155" s="15" t="str">
        <f>'Exptl Setup'!E153</f>
        <v>+</v>
      </c>
      <c r="F155" s="15">
        <f>'Exptl Setup'!F153</f>
        <v>32.002000000000002</v>
      </c>
      <c r="G155" s="18">
        <f>'Exptl Setup'!G153</f>
        <v>25.003925907670713</v>
      </c>
      <c r="H155" s="22">
        <v>0</v>
      </c>
      <c r="I155" s="18"/>
      <c r="J155" s="23"/>
      <c r="K155" s="154">
        <v>511.23924999999991</v>
      </c>
      <c r="L155" s="19">
        <v>3327.9720000000002</v>
      </c>
      <c r="M155" s="19"/>
      <c r="N155" s="19"/>
      <c r="O155" s="19"/>
      <c r="P155" s="19"/>
      <c r="Q155" s="311">
        <f t="shared" si="4"/>
        <v>142.87762826395999</v>
      </c>
      <c r="R155">
        <f t="shared" si="5"/>
        <v>5199.2773855480345</v>
      </c>
      <c r="S155" s="188"/>
      <c r="T155" s="188"/>
      <c r="U155" s="188"/>
      <c r="V155" s="188"/>
      <c r="W155" s="75"/>
    </row>
    <row r="156" spans="1:23">
      <c r="A156" s="15">
        <f>'Exptl Setup'!A154</f>
        <v>147</v>
      </c>
      <c r="B156" s="15" t="str">
        <f>'Exptl Setup'!B154</f>
        <v>MTT No Till</v>
      </c>
      <c r="C156" s="15" t="str">
        <f>'Exptl Setup'!C154</f>
        <v>c</v>
      </c>
      <c r="D156" s="15">
        <f>'Exptl Setup'!D154</f>
        <v>40</v>
      </c>
      <c r="E156" s="15" t="str">
        <f>'Exptl Setup'!E154</f>
        <v>+</v>
      </c>
      <c r="F156" s="15">
        <f>'Exptl Setup'!F154</f>
        <v>32.000999999999998</v>
      </c>
      <c r="G156" s="18">
        <f>'Exptl Setup'!G154</f>
        <v>25.003144583818834</v>
      </c>
      <c r="H156" s="22">
        <v>0</v>
      </c>
      <c r="I156" s="18"/>
      <c r="J156" s="18"/>
      <c r="K156" s="154">
        <v>599.93044999999995</v>
      </c>
      <c r="L156" s="19">
        <v>5283.5230000000001</v>
      </c>
      <c r="M156" s="19"/>
      <c r="N156" s="19"/>
      <c r="O156" s="19"/>
      <c r="P156" s="19"/>
      <c r="Q156" s="311">
        <f t="shared" si="4"/>
        <v>167.66443464450398</v>
      </c>
      <c r="R156">
        <f t="shared" si="5"/>
        <v>6101.453074448661</v>
      </c>
      <c r="S156" s="188"/>
      <c r="T156" s="188"/>
      <c r="U156" s="188"/>
      <c r="V156" s="188"/>
      <c r="W156" s="75"/>
    </row>
    <row r="157" spans="1:23">
      <c r="A157" s="15">
        <f>'Exptl Setup'!A155</f>
        <v>148</v>
      </c>
      <c r="B157" s="15" t="str">
        <f>'Exptl Setup'!B155</f>
        <v>MTT No Till</v>
      </c>
      <c r="C157" s="15" t="str">
        <f>'Exptl Setup'!C155</f>
        <v>d</v>
      </c>
      <c r="D157" s="15">
        <f>'Exptl Setup'!D155</f>
        <v>40</v>
      </c>
      <c r="E157" s="15" t="str">
        <f>'Exptl Setup'!E155</f>
        <v>+</v>
      </c>
      <c r="F157" s="15">
        <f>'Exptl Setup'!F155</f>
        <v>31.997</v>
      </c>
      <c r="G157" s="18">
        <f>'Exptl Setup'!G155</f>
        <v>25.000019288411337</v>
      </c>
      <c r="H157" s="22">
        <v>0</v>
      </c>
      <c r="I157" s="18">
        <v>4.59</v>
      </c>
      <c r="J157" s="18">
        <v>6.36</v>
      </c>
      <c r="K157" s="154">
        <v>585.65424999999993</v>
      </c>
      <c r="L157" s="19">
        <v>4223.0290000000005</v>
      </c>
      <c r="M157" s="19">
        <v>0.90300000000000002</v>
      </c>
      <c r="N157" s="19">
        <v>4.0179999999999998</v>
      </c>
      <c r="O157" s="19">
        <v>7.0590000000000011</v>
      </c>
      <c r="P157" s="19">
        <v>58.4</v>
      </c>
      <c r="Q157" s="311">
        <f t="shared" si="4"/>
        <v>163.67462048875998</v>
      </c>
      <c r="R157">
        <f t="shared" si="5"/>
        <v>5957.0049058953073</v>
      </c>
      <c r="S157" s="188"/>
      <c r="T157" s="188"/>
      <c r="U157" s="188"/>
      <c r="V157" s="188"/>
      <c r="W157" s="75"/>
    </row>
    <row r="158" spans="1:23">
      <c r="A158" s="15">
        <f>'Exptl Setup'!A156</f>
        <v>149</v>
      </c>
      <c r="B158" s="15" t="str">
        <f>'Exptl Setup'!B156</f>
        <v>MTT No Till</v>
      </c>
      <c r="C158" s="15" t="str">
        <f>'Exptl Setup'!C156</f>
        <v>e</v>
      </c>
      <c r="D158" s="15">
        <f>'Exptl Setup'!D156</f>
        <v>40</v>
      </c>
      <c r="E158" s="15" t="str">
        <f>'Exptl Setup'!E156</f>
        <v>+</v>
      </c>
      <c r="F158" s="15">
        <f>'Exptl Setup'!F156</f>
        <v>32.005000000000003</v>
      </c>
      <c r="G158" s="18">
        <f>'Exptl Setup'!G156</f>
        <v>25.006269879226334</v>
      </c>
      <c r="H158" s="22">
        <v>0</v>
      </c>
      <c r="I158" s="18">
        <v>4.57</v>
      </c>
      <c r="J158" s="18">
        <v>6.46</v>
      </c>
      <c r="K158" s="154">
        <v>610.76059999999995</v>
      </c>
      <c r="L158" s="19">
        <v>3677.2280000000001</v>
      </c>
      <c r="M158" s="19">
        <v>0.93149999999999999</v>
      </c>
      <c r="N158" s="19">
        <v>3.383</v>
      </c>
      <c r="O158" s="19">
        <v>7.1305000000000014</v>
      </c>
      <c r="P158" s="19">
        <v>54.95</v>
      </c>
      <c r="Q158" s="311">
        <f t="shared" si="4"/>
        <v>170.69117045507198</v>
      </c>
      <c r="R158">
        <f t="shared" si="5"/>
        <v>6210.8222669842698</v>
      </c>
      <c r="S158" s="188"/>
      <c r="T158" s="188"/>
      <c r="U158" s="188"/>
      <c r="V158" s="188"/>
      <c r="W158" s="75"/>
    </row>
    <row r="159" spans="1:23">
      <c r="A159" s="15">
        <f>'Exptl Setup'!A157</f>
        <v>150</v>
      </c>
      <c r="B159" s="15" t="str">
        <f>'Exptl Setup'!B157</f>
        <v>MTT No Till</v>
      </c>
      <c r="C159" s="15" t="str">
        <f>'Exptl Setup'!C157</f>
        <v>f</v>
      </c>
      <c r="D159" s="15">
        <f>'Exptl Setup'!D157</f>
        <v>40</v>
      </c>
      <c r="E159" s="15" t="str">
        <f>'Exptl Setup'!E157</f>
        <v>+</v>
      </c>
      <c r="F159" s="15">
        <f>'Exptl Setup'!F157</f>
        <v>31.995000000000001</v>
      </c>
      <c r="G159" s="18">
        <f>'Exptl Setup'!G157</f>
        <v>24.998456640707591</v>
      </c>
      <c r="H159" s="22">
        <v>0</v>
      </c>
      <c r="I159" s="18"/>
      <c r="J159" s="23"/>
      <c r="K159" s="154">
        <v>672.98219999999992</v>
      </c>
      <c r="L159" s="19">
        <v>5654.5540000000001</v>
      </c>
      <c r="M159" s="19"/>
      <c r="N159" s="19"/>
      <c r="O159" s="19"/>
      <c r="P159" s="19"/>
      <c r="Q159" s="311">
        <f t="shared" si="4"/>
        <v>188.08043513846397</v>
      </c>
      <c r="R159">
        <f t="shared" si="5"/>
        <v>6845.6924303511905</v>
      </c>
      <c r="S159" s="188"/>
      <c r="T159" s="188"/>
      <c r="U159" s="188"/>
      <c r="V159" s="188"/>
      <c r="W159" s="75"/>
    </row>
    <row r="160" spans="1:23">
      <c r="A160" s="15">
        <f>'Exptl Setup'!A158</f>
        <v>151</v>
      </c>
      <c r="B160" s="15" t="str">
        <f>'Exptl Setup'!B158</f>
        <v>MTT No Till</v>
      </c>
      <c r="C160" s="15" t="str">
        <f>'Exptl Setup'!C158</f>
        <v>a</v>
      </c>
      <c r="D160" s="15">
        <f>'Exptl Setup'!D158</f>
        <v>40</v>
      </c>
      <c r="E160" s="15" t="str">
        <f>'Exptl Setup'!E158</f>
        <v>+</v>
      </c>
      <c r="F160" s="15">
        <f>'Exptl Setup'!F158</f>
        <v>32.002000000000002</v>
      </c>
      <c r="G160" s="18">
        <f>'Exptl Setup'!G158</f>
        <v>25.003925907670713</v>
      </c>
      <c r="H160" s="22">
        <v>6</v>
      </c>
      <c r="I160" s="18"/>
      <c r="J160" s="23"/>
      <c r="K160" s="20">
        <v>4.415</v>
      </c>
      <c r="L160" s="19">
        <v>7927.9709999999995</v>
      </c>
      <c r="M160" s="19"/>
      <c r="N160" s="19"/>
      <c r="O160" s="19"/>
      <c r="P160" s="19"/>
      <c r="Q160" s="311">
        <f t="shared" si="4"/>
        <v>1.2338738248000001</v>
      </c>
      <c r="R160">
        <f t="shared" si="5"/>
        <v>44.900327307018337</v>
      </c>
      <c r="S160" s="188"/>
      <c r="T160" s="188"/>
      <c r="U160" s="188"/>
      <c r="V160" s="188"/>
      <c r="W160" s="75"/>
    </row>
    <row r="161" spans="1:23">
      <c r="A161" s="15">
        <f>'Exptl Setup'!A159</f>
        <v>152</v>
      </c>
      <c r="B161" s="15" t="str">
        <f>'Exptl Setup'!B159</f>
        <v>MTT No Till</v>
      </c>
      <c r="C161" s="15" t="str">
        <f>'Exptl Setup'!C159</f>
        <v>b</v>
      </c>
      <c r="D161" s="15">
        <f>'Exptl Setup'!D159</f>
        <v>40</v>
      </c>
      <c r="E161" s="15" t="str">
        <f>'Exptl Setup'!E159</f>
        <v>+</v>
      </c>
      <c r="F161" s="15">
        <f>'Exptl Setup'!F159</f>
        <v>31.997</v>
      </c>
      <c r="G161" s="18">
        <f>'Exptl Setup'!G159</f>
        <v>25.000019288411337</v>
      </c>
      <c r="H161" s="22">
        <v>6</v>
      </c>
      <c r="I161" s="18"/>
      <c r="J161" s="18"/>
      <c r="K161" s="20">
        <v>0.24299999999999999</v>
      </c>
      <c r="L161" s="19">
        <v>8228.02</v>
      </c>
      <c r="M161" s="19"/>
      <c r="N161" s="19"/>
      <c r="O161" s="19"/>
      <c r="P161" s="19"/>
      <c r="Q161" s="311">
        <f t="shared" si="4"/>
        <v>6.7911968160000002E-2</v>
      </c>
      <c r="R161">
        <f t="shared" si="5"/>
        <v>2.471683919535391</v>
      </c>
      <c r="S161" s="188"/>
      <c r="T161" s="188"/>
      <c r="U161" s="188"/>
      <c r="V161" s="188"/>
      <c r="W161" s="75"/>
    </row>
    <row r="162" spans="1:23">
      <c r="A162" s="15">
        <f>'Exptl Setup'!A160</f>
        <v>153</v>
      </c>
      <c r="B162" s="15" t="str">
        <f>'Exptl Setup'!B160</f>
        <v>MTT No Till</v>
      </c>
      <c r="C162" s="15" t="str">
        <f>'Exptl Setup'!C160</f>
        <v>c</v>
      </c>
      <c r="D162" s="15">
        <f>'Exptl Setup'!D160</f>
        <v>40</v>
      </c>
      <c r="E162" s="15" t="str">
        <f>'Exptl Setup'!E160</f>
        <v>+</v>
      </c>
      <c r="F162" s="15">
        <f>'Exptl Setup'!F160</f>
        <v>32</v>
      </c>
      <c r="G162" s="18">
        <f>'Exptl Setup'!G160</f>
        <v>25.002363259966963</v>
      </c>
      <c r="H162" s="22">
        <v>6</v>
      </c>
      <c r="I162" s="18"/>
      <c r="J162" s="18"/>
      <c r="K162" s="20">
        <v>0.13800000000000001</v>
      </c>
      <c r="L162" s="19">
        <v>8095.1040000000003</v>
      </c>
      <c r="M162" s="19"/>
      <c r="N162" s="19"/>
      <c r="O162" s="19"/>
      <c r="P162" s="19"/>
      <c r="Q162" s="311">
        <f t="shared" si="4"/>
        <v>3.8567290560000002E-2</v>
      </c>
      <c r="R162">
        <f t="shared" si="5"/>
        <v>1.4035407550830248</v>
      </c>
      <c r="S162" s="188"/>
      <c r="T162" s="188"/>
      <c r="U162" s="188"/>
      <c r="V162" s="188"/>
      <c r="W162" s="75"/>
    </row>
    <row r="163" spans="1:23">
      <c r="A163" s="15">
        <f>'Exptl Setup'!A161</f>
        <v>154</v>
      </c>
      <c r="B163" s="15" t="str">
        <f>'Exptl Setup'!B161</f>
        <v>MTT No Till</v>
      </c>
      <c r="C163" s="15" t="str">
        <f>'Exptl Setup'!C161</f>
        <v>d</v>
      </c>
      <c r="D163" s="15">
        <f>'Exptl Setup'!D161</f>
        <v>40</v>
      </c>
      <c r="E163" s="15" t="str">
        <f>'Exptl Setup'!E161</f>
        <v>+</v>
      </c>
      <c r="F163" s="15">
        <f>'Exptl Setup'!F161</f>
        <v>31.995000000000001</v>
      </c>
      <c r="G163" s="18">
        <f>'Exptl Setup'!G161</f>
        <v>24.998456640707591</v>
      </c>
      <c r="H163" s="22">
        <v>6</v>
      </c>
      <c r="I163" s="18">
        <v>6.61</v>
      </c>
      <c r="J163" s="18">
        <v>5.6</v>
      </c>
      <c r="K163" s="20">
        <v>0.126</v>
      </c>
      <c r="L163" s="19">
        <v>8039.11</v>
      </c>
      <c r="M163" s="19">
        <v>0.31519999999999998</v>
      </c>
      <c r="N163" s="19">
        <v>12.125</v>
      </c>
      <c r="O163" s="19">
        <v>19.865476855895192</v>
      </c>
      <c r="P163" s="19">
        <v>277.3</v>
      </c>
      <c r="Q163" s="311">
        <f t="shared" si="4"/>
        <v>3.5213613120000001E-2</v>
      </c>
      <c r="R163">
        <f t="shared" si="5"/>
        <v>1.2816939975890156</v>
      </c>
      <c r="S163" s="188"/>
      <c r="T163" s="188"/>
      <c r="U163" s="188"/>
      <c r="V163" s="188"/>
      <c r="W163" s="75"/>
    </row>
    <row r="164" spans="1:23">
      <c r="A164" s="15">
        <f>'Exptl Setup'!A162</f>
        <v>155</v>
      </c>
      <c r="B164" s="15" t="str">
        <f>'Exptl Setup'!B162</f>
        <v>MTT No Till</v>
      </c>
      <c r="C164" s="15" t="str">
        <f>'Exptl Setup'!C162</f>
        <v>e</v>
      </c>
      <c r="D164" s="15">
        <f>'Exptl Setup'!D162</f>
        <v>40</v>
      </c>
      <c r="E164" s="15" t="str">
        <f>'Exptl Setup'!E162</f>
        <v>+</v>
      </c>
      <c r="F164" s="15">
        <f>'Exptl Setup'!F162</f>
        <v>32.003999999999998</v>
      </c>
      <c r="G164" s="18">
        <f>'Exptl Setup'!G162</f>
        <v>25.005488555374455</v>
      </c>
      <c r="H164" s="22">
        <v>6</v>
      </c>
      <c r="I164" s="18">
        <v>6.67</v>
      </c>
      <c r="J164" s="18">
        <v>5.7</v>
      </c>
      <c r="K164" s="20">
        <v>0.104</v>
      </c>
      <c r="L164" s="19">
        <v>8200.3060000000005</v>
      </c>
      <c r="M164" s="19">
        <v>0.18004999999999999</v>
      </c>
      <c r="N164" s="19">
        <v>12.04</v>
      </c>
      <c r="O164" s="19">
        <v>17.814884497816593</v>
      </c>
      <c r="P164" s="19">
        <v>274.20000000000005</v>
      </c>
      <c r="Q164" s="311">
        <f t="shared" si="4"/>
        <v>2.9065204479999999E-2</v>
      </c>
      <c r="R164">
        <f t="shared" si="5"/>
        <v>1.0576086578209212</v>
      </c>
      <c r="S164" s="188"/>
      <c r="T164" s="188"/>
      <c r="U164" s="188"/>
      <c r="V164" s="188"/>
      <c r="W164" s="75"/>
    </row>
    <row r="165" spans="1:23">
      <c r="A165" s="15">
        <f>'Exptl Setup'!A163</f>
        <v>156</v>
      </c>
      <c r="B165" s="15" t="str">
        <f>'Exptl Setup'!B163</f>
        <v>MTT No Till</v>
      </c>
      <c r="C165" s="15" t="str">
        <f>'Exptl Setup'!C163</f>
        <v>f</v>
      </c>
      <c r="D165" s="15">
        <f>'Exptl Setup'!D163</f>
        <v>40</v>
      </c>
      <c r="E165" s="15" t="str">
        <f>'Exptl Setup'!E163</f>
        <v>+</v>
      </c>
      <c r="F165" s="15">
        <f>'Exptl Setup'!F163</f>
        <v>31.997</v>
      </c>
      <c r="G165" s="18">
        <f>'Exptl Setup'!G163</f>
        <v>25.000019288411337</v>
      </c>
      <c r="H165" s="22">
        <v>6</v>
      </c>
      <c r="I165" s="18"/>
      <c r="J165" s="23"/>
      <c r="K165" s="20">
        <v>7.6999999999999999E-2</v>
      </c>
      <c r="L165" s="19">
        <v>8073.3289999999997</v>
      </c>
      <c r="M165" s="19"/>
      <c r="N165" s="19"/>
      <c r="O165" s="19"/>
      <c r="P165" s="19"/>
      <c r="Q165" s="311">
        <f t="shared" si="4"/>
        <v>2.1519430239999998E-2</v>
      </c>
      <c r="R165">
        <f t="shared" si="5"/>
        <v>0.78320848479104976</v>
      </c>
      <c r="S165" s="188"/>
      <c r="T165" s="188"/>
      <c r="U165" s="188"/>
      <c r="V165" s="188"/>
      <c r="W165" s="75"/>
    </row>
    <row r="166" spans="1:23">
      <c r="A166" s="15">
        <f>'Exptl Setup'!A164</f>
        <v>157</v>
      </c>
      <c r="B166" s="15" t="str">
        <f>'Exptl Setup'!B164</f>
        <v>MTT No Till</v>
      </c>
      <c r="C166" s="15" t="str">
        <f>'Exptl Setup'!C164</f>
        <v>a</v>
      </c>
      <c r="D166" s="15">
        <f>'Exptl Setup'!D164</f>
        <v>40</v>
      </c>
      <c r="E166" s="15" t="str">
        <f>'Exptl Setup'!E164</f>
        <v>+</v>
      </c>
      <c r="F166" s="15">
        <f>'Exptl Setup'!F164</f>
        <v>32.006</v>
      </c>
      <c r="G166" s="18">
        <f>'Exptl Setup'!G164</f>
        <v>25.007051203078206</v>
      </c>
      <c r="H166" s="22">
        <v>16</v>
      </c>
      <c r="I166" s="18"/>
      <c r="J166" s="18"/>
      <c r="K166" s="20">
        <v>5.1999999999999998E-2</v>
      </c>
      <c r="L166" s="19">
        <v>2563.002</v>
      </c>
      <c r="M166" s="19"/>
      <c r="N166" s="19"/>
      <c r="O166" s="19"/>
      <c r="P166" s="19"/>
      <c r="Q166" s="311">
        <f t="shared" si="4"/>
        <v>1.4532602239999999E-2</v>
      </c>
      <c r="R166">
        <f t="shared" si="5"/>
        <v>0.52877128483566782</v>
      </c>
      <c r="S166" s="188"/>
      <c r="T166" s="188"/>
      <c r="U166" s="188"/>
      <c r="V166" s="188"/>
      <c r="W166" s="75"/>
    </row>
    <row r="167" spans="1:23">
      <c r="A167" s="15">
        <f>'Exptl Setup'!A165</f>
        <v>158</v>
      </c>
      <c r="B167" s="15" t="str">
        <f>'Exptl Setup'!B165</f>
        <v>MTT No Till</v>
      </c>
      <c r="C167" s="15" t="str">
        <f>'Exptl Setup'!C165</f>
        <v>b</v>
      </c>
      <c r="D167" s="15">
        <f>'Exptl Setup'!D165</f>
        <v>40</v>
      </c>
      <c r="E167" s="15" t="str">
        <f>'Exptl Setup'!E165</f>
        <v>+</v>
      </c>
      <c r="F167" s="15">
        <f>'Exptl Setup'!F165</f>
        <v>31.997</v>
      </c>
      <c r="G167" s="18">
        <f>'Exptl Setup'!G165</f>
        <v>25.000019288411337</v>
      </c>
      <c r="H167" s="22">
        <v>16</v>
      </c>
      <c r="I167" s="18"/>
      <c r="J167" s="18"/>
      <c r="K167" s="20">
        <v>4.9000000000000002E-2</v>
      </c>
      <c r="L167" s="19">
        <v>2317.25</v>
      </c>
      <c r="M167" s="19"/>
      <c r="N167" s="19"/>
      <c r="O167" s="19"/>
      <c r="P167" s="19"/>
      <c r="Q167" s="311">
        <f t="shared" si="4"/>
        <v>1.3694182879999999E-2</v>
      </c>
      <c r="R167">
        <f t="shared" si="5"/>
        <v>0.49840539941248618</v>
      </c>
      <c r="S167" s="188"/>
      <c r="T167" s="188"/>
      <c r="U167" s="188"/>
      <c r="V167" s="188"/>
      <c r="W167" s="75"/>
    </row>
    <row r="168" spans="1:23">
      <c r="A168" s="15">
        <f>'Exptl Setup'!A166</f>
        <v>159</v>
      </c>
      <c r="B168" s="15" t="str">
        <f>'Exptl Setup'!B166</f>
        <v>MTT No Till</v>
      </c>
      <c r="C168" s="15" t="str">
        <f>'Exptl Setup'!C166</f>
        <v>c</v>
      </c>
      <c r="D168" s="15">
        <f>'Exptl Setup'!D166</f>
        <v>40</v>
      </c>
      <c r="E168" s="15" t="str">
        <f>'Exptl Setup'!E166</f>
        <v>+</v>
      </c>
      <c r="F168" s="15">
        <f>'Exptl Setup'!F166</f>
        <v>31.995000000000001</v>
      </c>
      <c r="G168" s="18">
        <f>'Exptl Setup'!G166</f>
        <v>24.998456640707591</v>
      </c>
      <c r="H168" s="22">
        <v>16</v>
      </c>
      <c r="I168" s="18"/>
      <c r="J168" s="18"/>
      <c r="K168" s="20">
        <v>4.2999999999999997E-2</v>
      </c>
      <c r="L168" s="19">
        <v>2379.7489999999998</v>
      </c>
      <c r="M168" s="19"/>
      <c r="N168" s="19"/>
      <c r="O168" s="19"/>
      <c r="P168" s="19"/>
      <c r="Q168" s="311">
        <f t="shared" si="4"/>
        <v>1.2017344159999999E-2</v>
      </c>
      <c r="R168">
        <f t="shared" si="5"/>
        <v>0.43740350711371156</v>
      </c>
      <c r="S168" s="188"/>
      <c r="T168" s="188"/>
      <c r="U168" s="188"/>
      <c r="V168" s="188"/>
      <c r="W168" s="75"/>
    </row>
    <row r="169" spans="1:23">
      <c r="A169" s="15">
        <f>'Exptl Setup'!A167</f>
        <v>160</v>
      </c>
      <c r="B169" s="15" t="str">
        <f>'Exptl Setup'!B167</f>
        <v>MTT No Till</v>
      </c>
      <c r="C169" s="15" t="str">
        <f>'Exptl Setup'!C167</f>
        <v>d</v>
      </c>
      <c r="D169" s="15">
        <f>'Exptl Setup'!D167</f>
        <v>40</v>
      </c>
      <c r="E169" s="15" t="str">
        <f>'Exptl Setup'!E167</f>
        <v>+</v>
      </c>
      <c r="F169" s="15">
        <f>'Exptl Setup'!F167</f>
        <v>31.994</v>
      </c>
      <c r="G169" s="18">
        <f>'Exptl Setup'!G167</f>
        <v>24.997675316855716</v>
      </c>
      <c r="H169" s="22">
        <v>16</v>
      </c>
      <c r="I169" s="18">
        <v>8.36</v>
      </c>
      <c r="J169" s="18">
        <v>6.3</v>
      </c>
      <c r="K169" s="20">
        <v>5.3999999999999999E-2</v>
      </c>
      <c r="L169" s="19">
        <v>2403.221</v>
      </c>
      <c r="M169" s="19">
        <v>5.1920000000000002</v>
      </c>
      <c r="N169" s="19">
        <v>42.29</v>
      </c>
      <c r="O169" s="19">
        <v>400.11799999999999</v>
      </c>
      <c r="P169" s="19">
        <v>4634</v>
      </c>
      <c r="Q169" s="311">
        <f t="shared" si="4"/>
        <v>1.5091548480000001E-2</v>
      </c>
      <c r="R169">
        <f t="shared" si="5"/>
        <v>0.54931459630190327</v>
      </c>
      <c r="S169" s="188"/>
      <c r="T169" s="188"/>
      <c r="U169" s="188"/>
      <c r="V169" s="188"/>
      <c r="W169" s="75"/>
    </row>
    <row r="170" spans="1:23">
      <c r="A170" s="15">
        <f>'Exptl Setup'!A168</f>
        <v>161</v>
      </c>
      <c r="B170" s="15" t="str">
        <f>'Exptl Setup'!B168</f>
        <v>MTT No Till</v>
      </c>
      <c r="C170" s="15" t="str">
        <f>'Exptl Setup'!C168</f>
        <v>e</v>
      </c>
      <c r="D170" s="15">
        <f>'Exptl Setup'!D168</f>
        <v>40</v>
      </c>
      <c r="E170" s="15" t="str">
        <f>'Exptl Setup'!E168</f>
        <v>+</v>
      </c>
      <c r="F170" s="15">
        <f>'Exptl Setup'!F168</f>
        <v>32.005000000000003</v>
      </c>
      <c r="G170" s="18">
        <f>'Exptl Setup'!G168</f>
        <v>25.006269879226334</v>
      </c>
      <c r="H170" s="22">
        <v>16</v>
      </c>
      <c r="I170" s="18">
        <v>8.4499999999999993</v>
      </c>
      <c r="J170" s="18">
        <v>6.24</v>
      </c>
      <c r="K170" s="20">
        <v>0</v>
      </c>
      <c r="L170" s="19">
        <v>2245.4189999999999</v>
      </c>
      <c r="M170" s="19">
        <v>4.57</v>
      </c>
      <c r="N170" s="19">
        <v>38.590000000000003</v>
      </c>
      <c r="O170" s="19">
        <v>308.73999999999995</v>
      </c>
      <c r="P170" s="19">
        <v>4525</v>
      </c>
      <c r="Q170" s="311">
        <f t="shared" si="4"/>
        <v>0</v>
      </c>
      <c r="R170">
        <f t="shared" si="5"/>
        <v>0</v>
      </c>
      <c r="S170" s="188"/>
      <c r="T170" s="188"/>
      <c r="U170" s="188"/>
      <c r="V170" s="188"/>
      <c r="W170" s="75"/>
    </row>
    <row r="171" spans="1:23">
      <c r="A171" s="15">
        <f>'Exptl Setup'!A169</f>
        <v>162</v>
      </c>
      <c r="B171" s="15" t="str">
        <f>'Exptl Setup'!B169</f>
        <v>MTT No Till</v>
      </c>
      <c r="C171" s="15" t="str">
        <f>'Exptl Setup'!C169</f>
        <v>f</v>
      </c>
      <c r="D171" s="15">
        <f>'Exptl Setup'!D169</f>
        <v>40</v>
      </c>
      <c r="E171" s="15" t="str">
        <f>'Exptl Setup'!E169</f>
        <v>+</v>
      </c>
      <c r="F171" s="15">
        <f>'Exptl Setup'!F169</f>
        <v>32.000999999999998</v>
      </c>
      <c r="G171" s="18">
        <f>'Exptl Setup'!G169</f>
        <v>25.003144583818834</v>
      </c>
      <c r="H171" s="22">
        <v>16</v>
      </c>
      <c r="I171" s="18"/>
      <c r="J171" s="18"/>
      <c r="K171" s="20">
        <v>6.3E-2</v>
      </c>
      <c r="L171" s="19">
        <v>2359.1039999999998</v>
      </c>
      <c r="M171" s="19"/>
      <c r="N171" s="19"/>
      <c r="O171" s="19"/>
      <c r="P171" s="19"/>
      <c r="Q171" s="311">
        <f t="shared" si="4"/>
        <v>1.760680656E-2</v>
      </c>
      <c r="R171">
        <f t="shared" si="5"/>
        <v>0.64072684373707933</v>
      </c>
      <c r="S171" s="188"/>
      <c r="T171" s="188"/>
      <c r="U171" s="188"/>
      <c r="V171" s="188"/>
      <c r="W171" s="75"/>
    </row>
    <row r="172" spans="1:23">
      <c r="A172" s="15">
        <f>'Exptl Setup'!A170</f>
        <v>163</v>
      </c>
      <c r="B172" s="15" t="str">
        <f>'Exptl Setup'!B170</f>
        <v>MTT No Till</v>
      </c>
      <c r="C172" s="15" t="str">
        <f>'Exptl Setup'!C170</f>
        <v>a</v>
      </c>
      <c r="D172" s="15">
        <f>'Exptl Setup'!D170</f>
        <v>40</v>
      </c>
      <c r="E172" s="15" t="str">
        <f>'Exptl Setup'!E170</f>
        <v>+</v>
      </c>
      <c r="F172" s="15">
        <f>'Exptl Setup'!F170</f>
        <v>32.01</v>
      </c>
      <c r="G172" s="18">
        <f>'Exptl Setup'!G170</f>
        <v>25.010176498485698</v>
      </c>
      <c r="H172" s="22">
        <v>20</v>
      </c>
      <c r="I172" s="18"/>
      <c r="J172" s="18"/>
      <c r="K172" s="20">
        <v>0.64700000000000002</v>
      </c>
      <c r="L172" s="19">
        <v>107.46299999999999</v>
      </c>
      <c r="M172" s="19"/>
      <c r="N172" s="19"/>
      <c r="O172" s="19"/>
      <c r="P172" s="19"/>
      <c r="Q172" s="311">
        <f t="shared" si="4"/>
        <v>0.18081910864</v>
      </c>
      <c r="R172">
        <f t="shared" si="5"/>
        <v>6.578312889821329</v>
      </c>
      <c r="S172" s="188"/>
      <c r="T172" s="188"/>
      <c r="U172" s="188"/>
      <c r="V172" s="188"/>
      <c r="W172" s="75"/>
    </row>
    <row r="173" spans="1:23">
      <c r="A173" s="15">
        <f>'Exptl Setup'!A171</f>
        <v>164</v>
      </c>
      <c r="B173" s="15" t="str">
        <f>'Exptl Setup'!B171</f>
        <v>MTT No Till</v>
      </c>
      <c r="C173" s="15" t="str">
        <f>'Exptl Setup'!C171</f>
        <v>b</v>
      </c>
      <c r="D173" s="15">
        <f>'Exptl Setup'!D171</f>
        <v>40</v>
      </c>
      <c r="E173" s="15" t="str">
        <f>'Exptl Setup'!E171</f>
        <v>+</v>
      </c>
      <c r="F173" s="15">
        <f>'Exptl Setup'!F171</f>
        <v>32.006</v>
      </c>
      <c r="G173" s="18">
        <f>'Exptl Setup'!G171</f>
        <v>25.007051203078206</v>
      </c>
      <c r="H173" s="22">
        <v>20</v>
      </c>
      <c r="I173" s="18"/>
      <c r="J173" s="18"/>
      <c r="K173" s="20">
        <v>0.65300000000000002</v>
      </c>
      <c r="L173" s="19">
        <v>158.65</v>
      </c>
      <c r="M173" s="19"/>
      <c r="N173" s="19"/>
      <c r="O173" s="19"/>
      <c r="P173" s="19"/>
      <c r="Q173" s="311">
        <f t="shared" si="4"/>
        <v>0.18249594735999999</v>
      </c>
      <c r="R173">
        <f t="shared" si="5"/>
        <v>6.6401470961094438</v>
      </c>
      <c r="S173" s="188"/>
      <c r="T173" s="188"/>
      <c r="U173" s="188"/>
      <c r="V173" s="188"/>
      <c r="W173" s="75"/>
    </row>
    <row r="174" spans="1:23">
      <c r="A174" s="15">
        <f>'Exptl Setup'!A172</f>
        <v>165</v>
      </c>
      <c r="B174" s="15" t="str">
        <f>'Exptl Setup'!B172</f>
        <v>MTT No Till</v>
      </c>
      <c r="C174" s="15" t="str">
        <f>'Exptl Setup'!C172</f>
        <v>c</v>
      </c>
      <c r="D174" s="15">
        <f>'Exptl Setup'!D172</f>
        <v>40</v>
      </c>
      <c r="E174" s="15" t="str">
        <f>'Exptl Setup'!E172</f>
        <v>+</v>
      </c>
      <c r="F174" s="15">
        <f>'Exptl Setup'!F172</f>
        <v>32</v>
      </c>
      <c r="G174" s="18">
        <f>'Exptl Setup'!G172</f>
        <v>25.002363259966963</v>
      </c>
      <c r="H174" s="22">
        <v>20</v>
      </c>
      <c r="I174" s="18"/>
      <c r="J174" s="23"/>
      <c r="K174" s="20">
        <v>1.5209999999999999</v>
      </c>
      <c r="L174" s="19">
        <v>151.58000000000001</v>
      </c>
      <c r="M174" s="19"/>
      <c r="N174" s="19"/>
      <c r="O174" s="19"/>
      <c r="P174" s="19"/>
      <c r="Q174" s="311">
        <f t="shared" si="4"/>
        <v>0.42507861551999998</v>
      </c>
      <c r="R174">
        <f t="shared" si="5"/>
        <v>15.469460061458552</v>
      </c>
      <c r="S174" s="188"/>
      <c r="T174" s="188"/>
      <c r="U174" s="188"/>
      <c r="V174" s="188"/>
      <c r="W174" s="75"/>
    </row>
    <row r="175" spans="1:23">
      <c r="A175" s="15">
        <f>'Exptl Setup'!A173</f>
        <v>166</v>
      </c>
      <c r="B175" s="15" t="str">
        <f>'Exptl Setup'!B173</f>
        <v>MTT No Till</v>
      </c>
      <c r="C175" s="15" t="str">
        <f>'Exptl Setup'!C173</f>
        <v>d</v>
      </c>
      <c r="D175" s="15">
        <f>'Exptl Setup'!D173</f>
        <v>40</v>
      </c>
      <c r="E175" s="15" t="str">
        <f>'Exptl Setup'!E173</f>
        <v>+</v>
      </c>
      <c r="F175" s="15">
        <f>'Exptl Setup'!F173</f>
        <v>32.000999999999998</v>
      </c>
      <c r="G175" s="18">
        <f>'Exptl Setup'!G173</f>
        <v>25.003144583818834</v>
      </c>
      <c r="H175" s="22">
        <v>20</v>
      </c>
      <c r="I175" s="18">
        <v>8.67</v>
      </c>
      <c r="J175" s="18">
        <v>6.36</v>
      </c>
      <c r="K175" s="20">
        <v>1.151</v>
      </c>
      <c r="L175" s="19">
        <v>91.061000000000007</v>
      </c>
      <c r="M175" s="19">
        <v>16.220000000000002</v>
      </c>
      <c r="N175" s="19">
        <v>36.299999999999997</v>
      </c>
      <c r="O175" s="19">
        <v>304.47999999999996</v>
      </c>
      <c r="P175" s="19">
        <v>6051</v>
      </c>
      <c r="Q175" s="311">
        <f t="shared" si="4"/>
        <v>0.32167356112000001</v>
      </c>
      <c r="R175">
        <f t="shared" si="5"/>
        <v>11.705977732402831</v>
      </c>
      <c r="S175" s="188"/>
      <c r="T175" s="188"/>
      <c r="U175" s="188"/>
      <c r="V175" s="188"/>
      <c r="W175" s="75"/>
    </row>
    <row r="176" spans="1:23">
      <c r="A176" s="15">
        <f>'Exptl Setup'!A174</f>
        <v>167</v>
      </c>
      <c r="B176" s="15" t="str">
        <f>'Exptl Setup'!B174</f>
        <v>MTT No Till</v>
      </c>
      <c r="C176" s="15" t="str">
        <f>'Exptl Setup'!C174</f>
        <v>e</v>
      </c>
      <c r="D176" s="15">
        <f>'Exptl Setup'!D174</f>
        <v>40</v>
      </c>
      <c r="E176" s="15" t="str">
        <f>'Exptl Setup'!E174</f>
        <v>+</v>
      </c>
      <c r="F176" s="15">
        <f>'Exptl Setup'!F174</f>
        <v>31.99</v>
      </c>
      <c r="G176" s="18">
        <f>'Exptl Setup'!G174</f>
        <v>24.994550021448219</v>
      </c>
      <c r="H176" s="22">
        <v>20</v>
      </c>
      <c r="I176" s="18">
        <v>8.76</v>
      </c>
      <c r="J176" s="18">
        <v>6.12</v>
      </c>
      <c r="K176" s="20">
        <v>1.0860000000000001</v>
      </c>
      <c r="L176" s="19">
        <v>95.302999999999997</v>
      </c>
      <c r="M176" s="19">
        <v>16.259999999999998</v>
      </c>
      <c r="N176" s="19">
        <v>35.43</v>
      </c>
      <c r="O176" s="19">
        <v>299.41000000000003</v>
      </c>
      <c r="P176" s="19">
        <v>6286</v>
      </c>
      <c r="Q176" s="311">
        <f t="shared" si="4"/>
        <v>0.30350780832000002</v>
      </c>
      <c r="R176">
        <f t="shared" si="5"/>
        <v>11.048708228713972</v>
      </c>
      <c r="S176" s="188"/>
      <c r="T176" s="188"/>
      <c r="U176" s="188"/>
      <c r="V176" s="188"/>
      <c r="W176" s="75"/>
    </row>
    <row r="177" spans="1:23">
      <c r="A177" s="15">
        <f>'Exptl Setup'!A175</f>
        <v>168</v>
      </c>
      <c r="B177" s="15" t="str">
        <f>'Exptl Setup'!B175</f>
        <v>MTT No Till</v>
      </c>
      <c r="C177" s="15" t="str">
        <f>'Exptl Setup'!C175</f>
        <v>f</v>
      </c>
      <c r="D177" s="15">
        <f>'Exptl Setup'!D175</f>
        <v>40</v>
      </c>
      <c r="E177" s="15" t="str">
        <f>'Exptl Setup'!E175</f>
        <v>+</v>
      </c>
      <c r="F177" s="15">
        <f>'Exptl Setup'!F175</f>
        <v>32.006999999999998</v>
      </c>
      <c r="G177" s="18">
        <f>'Exptl Setup'!G175</f>
        <v>25.007832526930077</v>
      </c>
      <c r="H177" s="22">
        <v>20</v>
      </c>
      <c r="I177" s="18"/>
      <c r="J177" s="18"/>
      <c r="K177" s="20">
        <v>1.004</v>
      </c>
      <c r="L177" s="19">
        <v>105.767</v>
      </c>
      <c r="M177" s="19"/>
      <c r="N177" s="19"/>
      <c r="O177" s="19"/>
      <c r="P177" s="19"/>
      <c r="Q177" s="311">
        <f t="shared" si="4"/>
        <v>0.28059101248000001</v>
      </c>
      <c r="R177">
        <f t="shared" si="5"/>
        <v>10.209034296235792</v>
      </c>
      <c r="S177" s="188"/>
      <c r="T177" s="188"/>
      <c r="U177" s="188"/>
      <c r="V177" s="188"/>
      <c r="W177" s="75"/>
    </row>
    <row r="178" spans="1:23">
      <c r="A178" s="15">
        <f>'Exptl Setup'!A176</f>
        <v>169</v>
      </c>
      <c r="B178" s="15" t="str">
        <f>'Exptl Setup'!B176</f>
        <v>MTT No Till</v>
      </c>
      <c r="C178" s="15" t="str">
        <f>'Exptl Setup'!C176</f>
        <v>a</v>
      </c>
      <c r="D178" s="15">
        <f>'Exptl Setup'!D176</f>
        <v>40</v>
      </c>
      <c r="E178" s="15" t="str">
        <f>'Exptl Setup'!E176</f>
        <v>-</v>
      </c>
      <c r="F178" s="15">
        <f>'Exptl Setup'!F176</f>
        <v>32.006</v>
      </c>
      <c r="G178" s="18">
        <f>'Exptl Setup'!G176</f>
        <v>25.007051203078206</v>
      </c>
      <c r="H178" s="22">
        <v>0</v>
      </c>
      <c r="I178" s="18"/>
      <c r="J178" s="18"/>
      <c r="K178" s="154">
        <v>544.66449999999998</v>
      </c>
      <c r="L178" s="19">
        <v>3240.587</v>
      </c>
      <c r="M178" s="19"/>
      <c r="N178" s="19"/>
      <c r="O178" s="19"/>
      <c r="P178" s="19"/>
      <c r="Q178" s="311">
        <f t="shared" si="4"/>
        <v>152.21908716823998</v>
      </c>
      <c r="R178">
        <f t="shared" si="5"/>
        <v>5538.5182205649344</v>
      </c>
      <c r="S178" s="188"/>
      <c r="T178" s="188"/>
      <c r="U178" s="188"/>
      <c r="V178" s="188"/>
      <c r="W178" s="75"/>
    </row>
    <row r="179" spans="1:23">
      <c r="A179" s="15">
        <f>'Exptl Setup'!A177</f>
        <v>170</v>
      </c>
      <c r="B179" s="15" t="str">
        <f>'Exptl Setup'!B177</f>
        <v>MTT No Till</v>
      </c>
      <c r="C179" s="15" t="str">
        <f>'Exptl Setup'!C177</f>
        <v>b</v>
      </c>
      <c r="D179" s="15">
        <f>'Exptl Setup'!D177</f>
        <v>40</v>
      </c>
      <c r="E179" s="15" t="str">
        <f>'Exptl Setup'!E177</f>
        <v>-</v>
      </c>
      <c r="F179" s="15">
        <f>'Exptl Setup'!F177</f>
        <v>31.998999999999999</v>
      </c>
      <c r="G179" s="18">
        <f>'Exptl Setup'!G177</f>
        <v>25.001581936115088</v>
      </c>
      <c r="H179" s="22">
        <v>0</v>
      </c>
      <c r="I179" s="18"/>
      <c r="J179" s="23"/>
      <c r="K179" s="154">
        <v>562.91769999999997</v>
      </c>
      <c r="L179" s="19">
        <v>3371.5230000000001</v>
      </c>
      <c r="M179" s="19"/>
      <c r="N179" s="19"/>
      <c r="O179" s="19"/>
      <c r="P179" s="19"/>
      <c r="Q179" s="311">
        <f t="shared" si="4"/>
        <v>157.32036592222397</v>
      </c>
      <c r="R179">
        <f t="shared" si="5"/>
        <v>5725.3813363377703</v>
      </c>
      <c r="S179" s="188"/>
      <c r="T179" s="188"/>
      <c r="U179" s="188"/>
      <c r="V179" s="188"/>
      <c r="W179" s="75"/>
    </row>
    <row r="180" spans="1:23">
      <c r="A180" s="15">
        <f>'Exptl Setup'!A178</f>
        <v>171</v>
      </c>
      <c r="B180" s="15" t="str">
        <f>'Exptl Setup'!B178</f>
        <v>MTT No Till</v>
      </c>
      <c r="C180" s="15" t="str">
        <f>'Exptl Setup'!C178</f>
        <v>c</v>
      </c>
      <c r="D180" s="15">
        <f>'Exptl Setup'!D178</f>
        <v>40</v>
      </c>
      <c r="E180" s="15" t="str">
        <f>'Exptl Setup'!E178</f>
        <v>-</v>
      </c>
      <c r="F180" s="15">
        <f>'Exptl Setup'!F178</f>
        <v>31.995999999999999</v>
      </c>
      <c r="G180" s="18">
        <f>'Exptl Setup'!G178</f>
        <v>24.999237964559462</v>
      </c>
      <c r="H180" s="22">
        <v>0</v>
      </c>
      <c r="I180" s="18"/>
      <c r="J180" s="23"/>
      <c r="K180" s="154">
        <v>570.7281999999999</v>
      </c>
      <c r="L180" s="19">
        <v>3366.4319999999998</v>
      </c>
      <c r="M180" s="19"/>
      <c r="N180" s="19"/>
      <c r="O180" s="19"/>
      <c r="P180" s="19"/>
      <c r="Q180" s="311">
        <f t="shared" si="4"/>
        <v>159.50319072598396</v>
      </c>
      <c r="R180">
        <f t="shared" si="5"/>
        <v>5805.3654444137055</v>
      </c>
      <c r="S180" s="188"/>
      <c r="T180" s="188"/>
      <c r="U180" s="188"/>
      <c r="V180" s="188"/>
      <c r="W180" s="75"/>
    </row>
    <row r="181" spans="1:23">
      <c r="A181" s="15">
        <f>'Exptl Setup'!A179</f>
        <v>172</v>
      </c>
      <c r="B181" s="15" t="str">
        <f>'Exptl Setup'!B179</f>
        <v>MTT No Till</v>
      </c>
      <c r="C181" s="15" t="str">
        <f>'Exptl Setup'!C179</f>
        <v>d</v>
      </c>
      <c r="D181" s="15">
        <f>'Exptl Setup'!D179</f>
        <v>40</v>
      </c>
      <c r="E181" s="15" t="str">
        <f>'Exptl Setup'!E179</f>
        <v>-</v>
      </c>
      <c r="F181" s="15">
        <f>'Exptl Setup'!F179</f>
        <v>32</v>
      </c>
      <c r="G181" s="18">
        <f>'Exptl Setup'!G179</f>
        <v>25.002363259966963</v>
      </c>
      <c r="H181" s="22">
        <v>0</v>
      </c>
      <c r="I181" s="18">
        <v>4.6100000000000003</v>
      </c>
      <c r="J181" s="18">
        <v>6.36</v>
      </c>
      <c r="K181" s="154">
        <v>3.0954999999999999</v>
      </c>
      <c r="L181" s="19">
        <v>2844.386</v>
      </c>
      <c r="M181" s="19">
        <v>1.1865000000000001</v>
      </c>
      <c r="N181" s="19">
        <v>3.532</v>
      </c>
      <c r="O181" s="19">
        <v>7.7115000000000009</v>
      </c>
      <c r="P181" s="19">
        <v>55.29</v>
      </c>
      <c r="Q181" s="311">
        <f t="shared" si="4"/>
        <v>0.86510904296000002</v>
      </c>
      <c r="R181">
        <f t="shared" si="5"/>
        <v>31.483046430141325</v>
      </c>
      <c r="S181" s="188"/>
      <c r="T181" s="188"/>
      <c r="U181" s="188"/>
      <c r="V181" s="188"/>
      <c r="W181" s="75"/>
    </row>
    <row r="182" spans="1:23">
      <c r="A182" s="15">
        <f>'Exptl Setup'!A180</f>
        <v>173</v>
      </c>
      <c r="B182" s="15" t="str">
        <f>'Exptl Setup'!B180</f>
        <v>MTT No Till</v>
      </c>
      <c r="C182" s="15" t="str">
        <f>'Exptl Setup'!C180</f>
        <v>e</v>
      </c>
      <c r="D182" s="15">
        <f>'Exptl Setup'!D180</f>
        <v>40</v>
      </c>
      <c r="E182" s="15" t="str">
        <f>'Exptl Setup'!E180</f>
        <v>-</v>
      </c>
      <c r="F182" s="15">
        <f>'Exptl Setup'!F180</f>
        <v>32</v>
      </c>
      <c r="G182" s="18">
        <f>'Exptl Setup'!G180</f>
        <v>25.002363259966963</v>
      </c>
      <c r="H182" s="22">
        <v>0</v>
      </c>
      <c r="I182" s="18">
        <v>4.58</v>
      </c>
      <c r="J182" s="18">
        <v>6.42</v>
      </c>
      <c r="K182" s="154">
        <v>555.19330000000002</v>
      </c>
      <c r="L182" s="19">
        <v>3150.94</v>
      </c>
      <c r="M182" s="19">
        <v>0.54300000000000004</v>
      </c>
      <c r="N182" s="19">
        <v>3.4449999999999998</v>
      </c>
      <c r="O182" s="19">
        <v>7.4769999999999994</v>
      </c>
      <c r="P182" s="19">
        <v>51.989999999999995</v>
      </c>
      <c r="Q182" s="311">
        <f t="shared" si="4"/>
        <v>155.16160375409601</v>
      </c>
      <c r="R182">
        <f t="shared" si="5"/>
        <v>5646.6407499930156</v>
      </c>
      <c r="S182" s="188"/>
      <c r="T182" s="188"/>
      <c r="U182" s="188"/>
      <c r="V182" s="188"/>
      <c r="W182" s="75"/>
    </row>
    <row r="183" spans="1:23">
      <c r="A183" s="15">
        <f>'Exptl Setup'!A181</f>
        <v>174</v>
      </c>
      <c r="B183" s="15" t="str">
        <f>'Exptl Setup'!B181</f>
        <v>MTT No Till</v>
      </c>
      <c r="C183" s="15" t="str">
        <f>'Exptl Setup'!C181</f>
        <v>f</v>
      </c>
      <c r="D183" s="15">
        <f>'Exptl Setup'!D181</f>
        <v>40</v>
      </c>
      <c r="E183" s="15" t="str">
        <f>'Exptl Setup'!E181</f>
        <v>-</v>
      </c>
      <c r="F183" s="15">
        <f>'Exptl Setup'!F181</f>
        <v>32.003999999999998</v>
      </c>
      <c r="G183" s="18">
        <f>'Exptl Setup'!G181</f>
        <v>25.005488555374455</v>
      </c>
      <c r="H183" s="22">
        <v>0</v>
      </c>
      <c r="I183" s="18"/>
      <c r="J183" s="18"/>
      <c r="K183" s="154">
        <v>616.50675000000001</v>
      </c>
      <c r="L183" s="19">
        <v>4120.09</v>
      </c>
      <c r="M183" s="19"/>
      <c r="N183" s="19"/>
      <c r="O183" s="19"/>
      <c r="P183" s="19"/>
      <c r="Q183" s="311">
        <f t="shared" si="4"/>
        <v>172.29706492356001</v>
      </c>
      <c r="R183">
        <f t="shared" si="5"/>
        <v>6269.4507346638302</v>
      </c>
      <c r="S183" s="188"/>
      <c r="T183" s="188"/>
      <c r="U183" s="188"/>
      <c r="V183" s="188"/>
      <c r="W183" s="75"/>
    </row>
    <row r="184" spans="1:23">
      <c r="A184" s="15">
        <f>'Exptl Setup'!A182</f>
        <v>175</v>
      </c>
      <c r="B184" s="15" t="str">
        <f>'Exptl Setup'!B182</f>
        <v>MTT No Till</v>
      </c>
      <c r="C184" s="15" t="str">
        <f>'Exptl Setup'!C182</f>
        <v>a</v>
      </c>
      <c r="D184" s="15">
        <f>'Exptl Setup'!D182</f>
        <v>40</v>
      </c>
      <c r="E184" s="15" t="str">
        <f>'Exptl Setup'!E182</f>
        <v>-</v>
      </c>
      <c r="F184" s="15">
        <f>'Exptl Setup'!F182</f>
        <v>32.012999999999998</v>
      </c>
      <c r="G184" s="18">
        <f>'Exptl Setup'!G182</f>
        <v>25.01252047004132</v>
      </c>
      <c r="H184" s="22">
        <v>6</v>
      </c>
      <c r="I184" s="18"/>
      <c r="J184" s="23"/>
      <c r="K184" s="20">
        <v>2.8690000000000002</v>
      </c>
      <c r="L184" s="19">
        <v>5589.5110000000004</v>
      </c>
      <c r="M184" s="19"/>
      <c r="N184" s="19"/>
      <c r="O184" s="19"/>
      <c r="P184" s="19"/>
      <c r="Q184" s="311">
        <f t="shared" si="4"/>
        <v>0.80180838128000009</v>
      </c>
      <c r="R184">
        <f t="shared" si="5"/>
        <v>29.167559565399003</v>
      </c>
      <c r="S184" s="188"/>
      <c r="T184" s="188"/>
      <c r="U184" s="188"/>
      <c r="V184" s="188"/>
      <c r="W184" s="75"/>
    </row>
    <row r="185" spans="1:23">
      <c r="A185" s="15">
        <f>'Exptl Setup'!A183</f>
        <v>176</v>
      </c>
      <c r="B185" s="15" t="str">
        <f>'Exptl Setup'!B183</f>
        <v>MTT No Till</v>
      </c>
      <c r="C185" s="15" t="str">
        <f>'Exptl Setup'!C183</f>
        <v>b</v>
      </c>
      <c r="D185" s="15">
        <f>'Exptl Setup'!D183</f>
        <v>40</v>
      </c>
      <c r="E185" s="15" t="str">
        <f>'Exptl Setup'!E183</f>
        <v>-</v>
      </c>
      <c r="F185" s="15">
        <f>'Exptl Setup'!F183</f>
        <v>31.992999999999999</v>
      </c>
      <c r="G185" s="18">
        <f>'Exptl Setup'!G183</f>
        <v>24.996893993003841</v>
      </c>
      <c r="H185" s="22">
        <v>6</v>
      </c>
      <c r="I185" s="18"/>
      <c r="J185" s="23"/>
      <c r="K185" s="20">
        <v>386.86900000000003</v>
      </c>
      <c r="L185" s="19">
        <v>11126.138000000001</v>
      </c>
      <c r="M185" s="19"/>
      <c r="N185" s="19"/>
      <c r="O185" s="19"/>
      <c r="P185" s="19"/>
      <c r="Q185" s="311">
        <f t="shared" si="4"/>
        <v>108.11948646128</v>
      </c>
      <c r="R185">
        <f t="shared" si="5"/>
        <v>3935.5450191556547</v>
      </c>
      <c r="S185" s="188"/>
      <c r="T185" s="188"/>
      <c r="U185" s="188"/>
      <c r="V185" s="188"/>
      <c r="W185" s="75"/>
    </row>
    <row r="186" spans="1:23">
      <c r="A186" s="15">
        <f>'Exptl Setup'!A184</f>
        <v>177</v>
      </c>
      <c r="B186" s="15" t="str">
        <f>'Exptl Setup'!B184</f>
        <v>MTT No Till</v>
      </c>
      <c r="C186" s="15" t="str">
        <f>'Exptl Setup'!C184</f>
        <v>c</v>
      </c>
      <c r="D186" s="15">
        <f>'Exptl Setup'!D184</f>
        <v>40</v>
      </c>
      <c r="E186" s="15" t="str">
        <f>'Exptl Setup'!E184</f>
        <v>-</v>
      </c>
      <c r="F186" s="15">
        <f>'Exptl Setup'!F184</f>
        <v>32.000999999999998</v>
      </c>
      <c r="G186" s="18">
        <f>'Exptl Setup'!G184</f>
        <v>25.003144583818834</v>
      </c>
      <c r="H186" s="22">
        <v>6</v>
      </c>
      <c r="I186" s="18"/>
      <c r="J186" s="18"/>
      <c r="K186" s="20">
        <v>2.0529999999999999</v>
      </c>
      <c r="L186" s="19">
        <v>8166.6530000000002</v>
      </c>
      <c r="M186" s="19"/>
      <c r="N186" s="19"/>
      <c r="O186" s="19"/>
      <c r="P186" s="19"/>
      <c r="Q186" s="311">
        <f t="shared" si="4"/>
        <v>0.57375831535999999</v>
      </c>
      <c r="R186">
        <f t="shared" si="5"/>
        <v>20.879558891940061</v>
      </c>
      <c r="S186" s="188"/>
      <c r="T186" s="188"/>
      <c r="U186" s="188"/>
      <c r="V186" s="188"/>
      <c r="W186" s="75"/>
    </row>
    <row r="187" spans="1:23">
      <c r="A187" s="15">
        <f>'Exptl Setup'!A185</f>
        <v>178</v>
      </c>
      <c r="B187" s="15" t="str">
        <f>'Exptl Setup'!B185</f>
        <v>MTT No Till</v>
      </c>
      <c r="C187" s="15" t="str">
        <f>'Exptl Setup'!C185</f>
        <v>d</v>
      </c>
      <c r="D187" s="15">
        <f>'Exptl Setup'!D185</f>
        <v>40</v>
      </c>
      <c r="E187" s="15" t="str">
        <f>'Exptl Setup'!E185</f>
        <v>-</v>
      </c>
      <c r="F187" s="15">
        <f>'Exptl Setup'!F185</f>
        <v>31.995000000000001</v>
      </c>
      <c r="G187" s="18">
        <f>'Exptl Setup'!G185</f>
        <v>24.998456640707591</v>
      </c>
      <c r="H187" s="22">
        <v>6</v>
      </c>
      <c r="I187" s="18">
        <v>6.63</v>
      </c>
      <c r="J187" s="18">
        <v>5.66</v>
      </c>
      <c r="K187" s="20">
        <v>0.33600000000000002</v>
      </c>
      <c r="L187" s="19">
        <v>8063.4309999999996</v>
      </c>
      <c r="M187" s="19">
        <v>0.29830000000000001</v>
      </c>
      <c r="N187" s="19">
        <v>11.67</v>
      </c>
      <c r="O187" s="19">
        <v>17.988031877729266</v>
      </c>
      <c r="P187" s="19">
        <v>252.60000000000002</v>
      </c>
      <c r="Q187" s="311">
        <f t="shared" si="4"/>
        <v>9.3902968320000002E-2</v>
      </c>
      <c r="R187">
        <f t="shared" si="5"/>
        <v>3.4178506602373746</v>
      </c>
      <c r="S187" s="188"/>
      <c r="T187" s="188"/>
      <c r="U187" s="188"/>
      <c r="V187" s="188"/>
      <c r="W187" s="75"/>
    </row>
    <row r="188" spans="1:23">
      <c r="A188" s="15">
        <f>'Exptl Setup'!A186</f>
        <v>179</v>
      </c>
      <c r="B188" s="15" t="str">
        <f>'Exptl Setup'!B186</f>
        <v>MTT No Till</v>
      </c>
      <c r="C188" s="15" t="str">
        <f>'Exptl Setup'!C186</f>
        <v>e</v>
      </c>
      <c r="D188" s="15">
        <f>'Exptl Setup'!D186</f>
        <v>40</v>
      </c>
      <c r="E188" s="15" t="str">
        <f>'Exptl Setup'!E186</f>
        <v>-</v>
      </c>
      <c r="F188" s="15">
        <f>'Exptl Setup'!F186</f>
        <v>31.989000000000001</v>
      </c>
      <c r="G188" s="18">
        <f>'Exptl Setup'!G186</f>
        <v>24.993768697596348</v>
      </c>
      <c r="H188" s="22">
        <v>6</v>
      </c>
      <c r="I188" s="18">
        <v>6.73</v>
      </c>
      <c r="J188" s="18">
        <v>5.74</v>
      </c>
      <c r="K188" s="20">
        <v>0.11899999999999999</v>
      </c>
      <c r="L188" s="19">
        <v>7694.0969999999998</v>
      </c>
      <c r="M188" s="19">
        <v>0.34675</v>
      </c>
      <c r="N188" s="19">
        <v>11.719999999999999</v>
      </c>
      <c r="O188" s="19">
        <v>16.457267467248908</v>
      </c>
      <c r="P188" s="19">
        <v>255</v>
      </c>
      <c r="Q188" s="311">
        <f t="shared" si="4"/>
        <v>3.3257301279999998E-2</v>
      </c>
      <c r="R188">
        <f t="shared" si="5"/>
        <v>1.2107158201927559</v>
      </c>
      <c r="S188" s="188"/>
      <c r="T188" s="188"/>
      <c r="U188" s="188"/>
      <c r="V188" s="188"/>
      <c r="W188" s="75"/>
    </row>
    <row r="189" spans="1:23">
      <c r="A189" s="15">
        <f>'Exptl Setup'!A187</f>
        <v>180</v>
      </c>
      <c r="B189" s="15" t="str">
        <f>'Exptl Setup'!B187</f>
        <v>MTT No Till</v>
      </c>
      <c r="C189" s="15" t="str">
        <f>'Exptl Setup'!C187</f>
        <v>f</v>
      </c>
      <c r="D189" s="15">
        <f>'Exptl Setup'!D187</f>
        <v>40</v>
      </c>
      <c r="E189" s="15" t="str">
        <f>'Exptl Setup'!E187</f>
        <v>-</v>
      </c>
      <c r="F189" s="15">
        <f>'Exptl Setup'!F187</f>
        <v>32.008000000000003</v>
      </c>
      <c r="G189" s="18">
        <f>'Exptl Setup'!G187</f>
        <v>25.008613850781956</v>
      </c>
      <c r="H189" s="22">
        <v>6</v>
      </c>
      <c r="I189" s="18"/>
      <c r="J189" s="23"/>
      <c r="K189" s="20">
        <v>9.9000000000000005E-2</v>
      </c>
      <c r="L189" s="19">
        <v>10259.644</v>
      </c>
      <c r="M189" s="19"/>
      <c r="N189" s="19"/>
      <c r="O189" s="19"/>
      <c r="P189" s="19"/>
      <c r="Q189" s="311">
        <f t="shared" si="4"/>
        <v>2.7667838880000004E-2</v>
      </c>
      <c r="R189">
        <f t="shared" si="5"/>
        <v>1.0066362739258625</v>
      </c>
      <c r="S189" s="188"/>
      <c r="T189" s="188"/>
      <c r="U189" s="188"/>
      <c r="V189" s="188"/>
      <c r="W189" s="75"/>
    </row>
    <row r="190" spans="1:23">
      <c r="A190" s="15">
        <f>'Exptl Setup'!A188</f>
        <v>181</v>
      </c>
      <c r="B190" s="15" t="str">
        <f>'Exptl Setup'!B188</f>
        <v>MTT No Till</v>
      </c>
      <c r="C190" s="15" t="str">
        <f>'Exptl Setup'!C188</f>
        <v>a</v>
      </c>
      <c r="D190" s="15">
        <f>'Exptl Setup'!D188</f>
        <v>40</v>
      </c>
      <c r="E190" s="15" t="str">
        <f>'Exptl Setup'!E188</f>
        <v>-</v>
      </c>
      <c r="F190" s="15">
        <f>'Exptl Setup'!F188</f>
        <v>32.003</v>
      </c>
      <c r="G190" s="18">
        <f>'Exptl Setup'!G188</f>
        <v>25.004707231522584</v>
      </c>
      <c r="H190" s="22">
        <v>16</v>
      </c>
      <c r="I190" s="18"/>
      <c r="J190" s="23"/>
      <c r="K190" s="20">
        <v>0.41799999999999998</v>
      </c>
      <c r="L190" s="19">
        <v>2889.069</v>
      </c>
      <c r="M190" s="19"/>
      <c r="N190" s="19"/>
      <c r="O190" s="19"/>
      <c r="P190" s="19"/>
      <c r="Q190" s="311">
        <f t="shared" si="4"/>
        <v>0.11681976415999999</v>
      </c>
      <c r="R190">
        <f t="shared" si="5"/>
        <v>4.2509060835307872</v>
      </c>
      <c r="S190" s="188"/>
      <c r="T190" s="188"/>
      <c r="U190" s="188"/>
      <c r="V190" s="188"/>
      <c r="W190" s="75"/>
    </row>
    <row r="191" spans="1:23">
      <c r="A191" s="15">
        <f>'Exptl Setup'!A189</f>
        <v>182</v>
      </c>
      <c r="B191" s="15" t="str">
        <f>'Exptl Setup'!B189</f>
        <v>MTT No Till</v>
      </c>
      <c r="C191" s="15" t="str">
        <f>'Exptl Setup'!C189</f>
        <v>b</v>
      </c>
      <c r="D191" s="15">
        <f>'Exptl Setup'!D189</f>
        <v>40</v>
      </c>
      <c r="E191" s="15" t="str">
        <f>'Exptl Setup'!E189</f>
        <v>-</v>
      </c>
      <c r="F191" s="15">
        <f>'Exptl Setup'!F189</f>
        <v>31.995000000000001</v>
      </c>
      <c r="G191" s="18">
        <f>'Exptl Setup'!G189</f>
        <v>24.998456640707591</v>
      </c>
      <c r="H191" s="22">
        <v>16</v>
      </c>
      <c r="I191" s="18"/>
      <c r="J191" s="18"/>
      <c r="K191" s="20">
        <v>9.4E-2</v>
      </c>
      <c r="L191" s="19">
        <v>2147.288</v>
      </c>
      <c r="M191" s="19"/>
      <c r="N191" s="19"/>
      <c r="O191" s="19"/>
      <c r="P191" s="19"/>
      <c r="Q191" s="311">
        <f t="shared" si="4"/>
        <v>2.6270473280000001E-2</v>
      </c>
      <c r="R191">
        <f t="shared" si="5"/>
        <v>0.9561844108997416</v>
      </c>
      <c r="S191" s="188"/>
      <c r="T191" s="188"/>
      <c r="U191" s="188"/>
      <c r="V191" s="188"/>
      <c r="W191" s="75"/>
    </row>
    <row r="192" spans="1:23">
      <c r="A192" s="15">
        <f>'Exptl Setup'!A190</f>
        <v>183</v>
      </c>
      <c r="B192" s="15" t="str">
        <f>'Exptl Setup'!B190</f>
        <v>MTT No Till</v>
      </c>
      <c r="C192" s="15" t="str">
        <f>'Exptl Setup'!C190</f>
        <v>c</v>
      </c>
      <c r="D192" s="15">
        <f>'Exptl Setup'!D190</f>
        <v>40</v>
      </c>
      <c r="E192" s="15" t="str">
        <f>'Exptl Setup'!E190</f>
        <v>-</v>
      </c>
      <c r="F192" s="15">
        <f>'Exptl Setup'!F190</f>
        <v>31.991</v>
      </c>
      <c r="G192" s="18">
        <f>'Exptl Setup'!G190</f>
        <v>24.995331345300094</v>
      </c>
      <c r="H192" s="22">
        <v>16</v>
      </c>
      <c r="I192" s="18"/>
      <c r="J192" s="18"/>
      <c r="K192" s="20">
        <v>5.2999999999999999E-2</v>
      </c>
      <c r="L192" s="19">
        <v>2440.5500000000002</v>
      </c>
      <c r="M192" s="19"/>
      <c r="N192" s="19"/>
      <c r="O192" s="19"/>
      <c r="P192" s="19"/>
      <c r="Q192" s="311">
        <f t="shared" si="4"/>
        <v>1.4812075359999999E-2</v>
      </c>
      <c r="R192">
        <f t="shared" si="5"/>
        <v>0.53919266256968323</v>
      </c>
      <c r="S192" s="188"/>
      <c r="T192" s="188"/>
      <c r="U192" s="188"/>
      <c r="V192" s="188"/>
      <c r="W192" s="75"/>
    </row>
    <row r="193" spans="1:23">
      <c r="A193" s="15">
        <f>'Exptl Setup'!A191</f>
        <v>184</v>
      </c>
      <c r="B193" s="15" t="str">
        <f>'Exptl Setup'!B191</f>
        <v>MTT No Till</v>
      </c>
      <c r="C193" s="15" t="str">
        <f>'Exptl Setup'!C191</f>
        <v>d</v>
      </c>
      <c r="D193" s="15">
        <f>'Exptl Setup'!D191</f>
        <v>40</v>
      </c>
      <c r="E193" s="15" t="str">
        <f>'Exptl Setup'!E191</f>
        <v>-</v>
      </c>
      <c r="F193" s="15">
        <f>'Exptl Setup'!F191</f>
        <v>32.015000000000001</v>
      </c>
      <c r="G193" s="18">
        <f>'Exptl Setup'!G191</f>
        <v>25.01408311774507</v>
      </c>
      <c r="H193" s="22">
        <v>16</v>
      </c>
      <c r="I193" s="18">
        <v>8.3800000000000008</v>
      </c>
      <c r="J193" s="18">
        <v>6.22</v>
      </c>
      <c r="K193" s="20">
        <v>2E-3</v>
      </c>
      <c r="L193" s="19">
        <v>2058.4899999999998</v>
      </c>
      <c r="M193" s="19">
        <v>5.21</v>
      </c>
      <c r="N193" s="19">
        <v>43.28</v>
      </c>
      <c r="O193" s="19">
        <v>367.91</v>
      </c>
      <c r="P193" s="19">
        <v>4780</v>
      </c>
      <c r="Q193" s="311">
        <f t="shared" si="4"/>
        <v>5.5894624000000007E-4</v>
      </c>
      <c r="R193">
        <f t="shared" si="5"/>
        <v>2.0331639907315544E-2</v>
      </c>
      <c r="S193" s="188"/>
      <c r="T193" s="188"/>
      <c r="U193" s="188"/>
      <c r="V193" s="188"/>
      <c r="W193" s="75"/>
    </row>
    <row r="194" spans="1:23">
      <c r="A194" s="15">
        <f>'Exptl Setup'!A192</f>
        <v>185</v>
      </c>
      <c r="B194" s="15" t="str">
        <f>'Exptl Setup'!B192</f>
        <v>MTT No Till</v>
      </c>
      <c r="C194" s="15" t="str">
        <f>'Exptl Setup'!C192</f>
        <v>e</v>
      </c>
      <c r="D194" s="15">
        <f>'Exptl Setup'!D192</f>
        <v>40</v>
      </c>
      <c r="E194" s="15" t="str">
        <f>'Exptl Setup'!E192</f>
        <v>-</v>
      </c>
      <c r="F194" s="15">
        <f>'Exptl Setup'!F192</f>
        <v>32.008000000000003</v>
      </c>
      <c r="G194" s="18">
        <f>'Exptl Setup'!G192</f>
        <v>25.008613850781956</v>
      </c>
      <c r="H194" s="22">
        <v>16</v>
      </c>
      <c r="I194" s="18">
        <v>8.25</v>
      </c>
      <c r="J194" s="18">
        <v>6.24</v>
      </c>
      <c r="K194" s="20">
        <v>1E-3</v>
      </c>
      <c r="L194" s="19">
        <v>2284.7289999999998</v>
      </c>
      <c r="M194" s="19">
        <v>5.0579999999999998</v>
      </c>
      <c r="N194" s="19">
        <v>43.37</v>
      </c>
      <c r="O194" s="19">
        <v>392.47199999999998</v>
      </c>
      <c r="P194" s="19">
        <v>4231</v>
      </c>
      <c r="Q194" s="311">
        <f t="shared" si="4"/>
        <v>2.7947312000000003E-4</v>
      </c>
      <c r="R194">
        <f t="shared" si="5"/>
        <v>1.0168043170968305E-2</v>
      </c>
      <c r="S194" s="188"/>
      <c r="T194" s="188"/>
      <c r="U194" s="188"/>
      <c r="V194" s="188"/>
      <c r="W194" s="75"/>
    </row>
    <row r="195" spans="1:23">
      <c r="A195" s="15">
        <f>'Exptl Setup'!A193</f>
        <v>186</v>
      </c>
      <c r="B195" s="15" t="str">
        <f>'Exptl Setup'!B193</f>
        <v>MTT No Till</v>
      </c>
      <c r="C195" s="15" t="str">
        <f>'Exptl Setup'!C193</f>
        <v>f</v>
      </c>
      <c r="D195" s="15">
        <f>'Exptl Setup'!D193</f>
        <v>40</v>
      </c>
      <c r="E195" s="15" t="str">
        <f>'Exptl Setup'!E193</f>
        <v>-</v>
      </c>
      <c r="F195" s="15">
        <f>'Exptl Setup'!F193</f>
        <v>32.009</v>
      </c>
      <c r="G195" s="18">
        <f>'Exptl Setup'!G193</f>
        <v>25.009395174633827</v>
      </c>
      <c r="H195" s="22">
        <v>16</v>
      </c>
      <c r="I195" s="18"/>
      <c r="J195" s="23"/>
      <c r="K195" s="20">
        <v>6.4000000000000001E-2</v>
      </c>
      <c r="L195" s="19">
        <v>2245.9850000000001</v>
      </c>
      <c r="M195" s="19"/>
      <c r="N195" s="19"/>
      <c r="O195" s="19"/>
      <c r="P195" s="19"/>
      <c r="Q195" s="311">
        <f t="shared" si="4"/>
        <v>1.7886279680000002E-2</v>
      </c>
      <c r="R195">
        <f t="shared" si="5"/>
        <v>0.6507344325735458</v>
      </c>
      <c r="S195" s="188"/>
      <c r="T195" s="188"/>
      <c r="U195" s="188"/>
      <c r="V195" s="188"/>
      <c r="W195" s="75"/>
    </row>
    <row r="196" spans="1:23">
      <c r="A196" s="15">
        <f>'Exptl Setup'!A194</f>
        <v>187</v>
      </c>
      <c r="B196" s="15" t="str">
        <f>'Exptl Setup'!B194</f>
        <v>MTT No Till</v>
      </c>
      <c r="C196" s="15" t="str">
        <f>'Exptl Setup'!C194</f>
        <v>a</v>
      </c>
      <c r="D196" s="15">
        <f>'Exptl Setup'!D194</f>
        <v>40</v>
      </c>
      <c r="E196" s="15" t="str">
        <f>'Exptl Setup'!E194</f>
        <v>-</v>
      </c>
      <c r="F196" s="15">
        <f>'Exptl Setup'!F194</f>
        <v>31.992999999999999</v>
      </c>
      <c r="G196" s="18">
        <f>'Exptl Setup'!G194</f>
        <v>24.996893993003841</v>
      </c>
      <c r="H196" s="22">
        <v>20</v>
      </c>
      <c r="I196" s="18"/>
      <c r="J196" s="18"/>
      <c r="K196" s="20">
        <v>0.92100000000000004</v>
      </c>
      <c r="L196" s="19">
        <v>105.48399999999999</v>
      </c>
      <c r="M196" s="19"/>
      <c r="N196" s="19"/>
      <c r="O196" s="19"/>
      <c r="P196" s="19"/>
      <c r="Q196" s="311">
        <f t="shared" si="4"/>
        <v>0.25739474352000002</v>
      </c>
      <c r="R196">
        <f t="shared" si="5"/>
        <v>9.3691584558141354</v>
      </c>
      <c r="S196" s="188"/>
      <c r="T196" s="188"/>
      <c r="U196" s="188"/>
      <c r="V196" s="188"/>
      <c r="W196" s="75"/>
    </row>
    <row r="197" spans="1:23">
      <c r="A197" s="15">
        <f>'Exptl Setup'!A195</f>
        <v>188</v>
      </c>
      <c r="B197" s="15" t="str">
        <f>'Exptl Setup'!B195</f>
        <v>MTT No Till</v>
      </c>
      <c r="C197" s="15" t="str">
        <f>'Exptl Setup'!C195</f>
        <v>b</v>
      </c>
      <c r="D197" s="15">
        <f>'Exptl Setup'!D195</f>
        <v>40</v>
      </c>
      <c r="E197" s="15" t="str">
        <f>'Exptl Setup'!E195</f>
        <v>-</v>
      </c>
      <c r="F197" s="15">
        <f>'Exptl Setup'!F195</f>
        <v>32.006999999999998</v>
      </c>
      <c r="G197" s="18">
        <f>'Exptl Setup'!G195</f>
        <v>25.007832526930077</v>
      </c>
      <c r="H197" s="22">
        <v>20</v>
      </c>
      <c r="I197" s="18"/>
      <c r="J197" s="18"/>
      <c r="K197" s="20">
        <v>0.73799999999999999</v>
      </c>
      <c r="L197" s="19">
        <v>70.134</v>
      </c>
      <c r="M197" s="19"/>
      <c r="N197" s="19"/>
      <c r="O197" s="19"/>
      <c r="P197" s="19"/>
      <c r="Q197" s="311">
        <f t="shared" si="4"/>
        <v>0.20625116255999998</v>
      </c>
      <c r="R197">
        <f t="shared" si="5"/>
        <v>7.5042503093844743</v>
      </c>
      <c r="S197" s="188"/>
      <c r="T197" s="188"/>
      <c r="U197" s="188"/>
      <c r="V197" s="188"/>
      <c r="W197" s="75"/>
    </row>
    <row r="198" spans="1:23">
      <c r="A198" s="15">
        <f>'Exptl Setup'!A196</f>
        <v>189</v>
      </c>
      <c r="B198" s="15" t="str">
        <f>'Exptl Setup'!B196</f>
        <v>MTT No Till</v>
      </c>
      <c r="C198" s="15" t="str">
        <f>'Exptl Setup'!C196</f>
        <v>c</v>
      </c>
      <c r="D198" s="15">
        <f>'Exptl Setup'!D196</f>
        <v>40</v>
      </c>
      <c r="E198" s="15" t="str">
        <f>'Exptl Setup'!E196</f>
        <v>-</v>
      </c>
      <c r="F198" s="15">
        <f>'Exptl Setup'!F196</f>
        <v>32.003999999999998</v>
      </c>
      <c r="G198" s="18">
        <f>'Exptl Setup'!G196</f>
        <v>25.005488555374455</v>
      </c>
      <c r="H198" s="22">
        <v>20</v>
      </c>
      <c r="I198" s="18"/>
      <c r="J198" s="18"/>
      <c r="K198" s="20">
        <v>1.129</v>
      </c>
      <c r="L198" s="19">
        <v>119.907</v>
      </c>
      <c r="M198" s="19"/>
      <c r="N198" s="19"/>
      <c r="O198" s="19"/>
      <c r="P198" s="19"/>
      <c r="Q198" s="311">
        <f t="shared" si="4"/>
        <v>0.31552515247999996</v>
      </c>
      <c r="R198">
        <f t="shared" si="5"/>
        <v>11.4811555257675</v>
      </c>
      <c r="S198" s="188"/>
      <c r="T198" s="188"/>
      <c r="U198" s="188"/>
      <c r="V198" s="188"/>
      <c r="W198" s="75"/>
    </row>
    <row r="199" spans="1:23">
      <c r="A199" s="15">
        <f>'Exptl Setup'!A197</f>
        <v>190</v>
      </c>
      <c r="B199" s="15" t="str">
        <f>'Exptl Setup'!B197</f>
        <v>MTT No Till</v>
      </c>
      <c r="C199" s="15" t="str">
        <f>'Exptl Setup'!C197</f>
        <v>d</v>
      </c>
      <c r="D199" s="15">
        <f>'Exptl Setup'!D197</f>
        <v>40</v>
      </c>
      <c r="E199" s="15" t="str">
        <f>'Exptl Setup'!E197</f>
        <v>-</v>
      </c>
      <c r="F199" s="15">
        <f>'Exptl Setup'!F197</f>
        <v>32.006</v>
      </c>
      <c r="G199" s="18">
        <f>'Exptl Setup'!G197</f>
        <v>25.007051203078206</v>
      </c>
      <c r="H199" s="22">
        <v>20</v>
      </c>
      <c r="I199" s="18">
        <v>8.86</v>
      </c>
      <c r="J199" s="18">
        <v>6.1</v>
      </c>
      <c r="K199" s="20">
        <v>0.76500000000000001</v>
      </c>
      <c r="L199" s="19">
        <v>77.486999999999995</v>
      </c>
      <c r="M199" s="19">
        <v>16.37</v>
      </c>
      <c r="N199" s="19">
        <v>34.5</v>
      </c>
      <c r="O199" s="19">
        <v>631.83000000000004</v>
      </c>
      <c r="P199" s="19">
        <v>4521</v>
      </c>
      <c r="Q199" s="311">
        <f t="shared" si="4"/>
        <v>0.2137969368</v>
      </c>
      <c r="R199">
        <f t="shared" si="5"/>
        <v>7.7790390942170378</v>
      </c>
      <c r="S199" s="188"/>
      <c r="T199" s="188"/>
      <c r="U199" s="188"/>
      <c r="V199" s="188"/>
      <c r="W199" s="75"/>
    </row>
    <row r="200" spans="1:23">
      <c r="A200" s="15">
        <f>'Exptl Setup'!A198</f>
        <v>191</v>
      </c>
      <c r="B200" s="15" t="str">
        <f>'Exptl Setup'!B198</f>
        <v>MTT No Till</v>
      </c>
      <c r="C200" s="15" t="str">
        <f>'Exptl Setup'!C198</f>
        <v>e</v>
      </c>
      <c r="D200" s="15">
        <f>'Exptl Setup'!D198</f>
        <v>40</v>
      </c>
      <c r="E200" s="15" t="str">
        <f>'Exptl Setup'!E198</f>
        <v>-</v>
      </c>
      <c r="F200" s="15">
        <f>'Exptl Setup'!F198</f>
        <v>31.997</v>
      </c>
      <c r="G200" s="18">
        <f>'Exptl Setup'!G198</f>
        <v>25.000019288411337</v>
      </c>
      <c r="H200" s="22">
        <v>20</v>
      </c>
      <c r="I200" s="18">
        <v>8.75</v>
      </c>
      <c r="J200" s="18">
        <v>6</v>
      </c>
      <c r="K200" s="20">
        <v>0.83499999999999996</v>
      </c>
      <c r="L200" s="19">
        <v>102.09</v>
      </c>
      <c r="M200" s="19">
        <v>16.919999999999998</v>
      </c>
      <c r="N200" s="19">
        <v>34.46</v>
      </c>
      <c r="O200" s="19">
        <v>615.32000000000005</v>
      </c>
      <c r="P200" s="19">
        <v>5472</v>
      </c>
      <c r="Q200" s="311">
        <f t="shared" si="4"/>
        <v>0.23336005519999997</v>
      </c>
      <c r="R200">
        <f t="shared" si="5"/>
        <v>8.4932348675393055</v>
      </c>
      <c r="S200" s="188"/>
      <c r="T200" s="188"/>
      <c r="U200" s="188"/>
      <c r="V200" s="188"/>
      <c r="W200" s="75"/>
    </row>
    <row r="201" spans="1:23">
      <c r="A201" s="15">
        <f>'Exptl Setup'!A199</f>
        <v>192</v>
      </c>
      <c r="B201" s="15" t="str">
        <f>'Exptl Setup'!B199</f>
        <v>MTT No Till</v>
      </c>
      <c r="C201" s="15" t="str">
        <f>'Exptl Setup'!C199</f>
        <v>f</v>
      </c>
      <c r="D201" s="15">
        <f>'Exptl Setup'!D199</f>
        <v>40</v>
      </c>
      <c r="E201" s="15" t="str">
        <f>'Exptl Setup'!E199</f>
        <v>-</v>
      </c>
      <c r="F201" s="15">
        <f>'Exptl Setup'!F199</f>
        <v>31.997</v>
      </c>
      <c r="G201" s="18">
        <f>'Exptl Setup'!G199</f>
        <v>25.000019288411337</v>
      </c>
      <c r="H201" s="22">
        <v>20</v>
      </c>
      <c r="I201" s="18"/>
      <c r="J201" s="18"/>
      <c r="K201" s="20">
        <v>0.82899999999999996</v>
      </c>
      <c r="L201" s="19">
        <v>99.828000000000003</v>
      </c>
      <c r="M201" s="19"/>
      <c r="N201" s="19"/>
      <c r="O201" s="19"/>
      <c r="P201" s="19"/>
      <c r="Q201" s="311">
        <f t="shared" si="4"/>
        <v>0.23168321647999998</v>
      </c>
      <c r="R201">
        <f t="shared" si="5"/>
        <v>8.4322056349581853</v>
      </c>
      <c r="S201" s="188"/>
      <c r="T201" s="188"/>
      <c r="U201" s="188"/>
      <c r="V201" s="188"/>
      <c r="W201" s="75"/>
    </row>
    <row r="202" spans="1:23">
      <c r="A202" s="15">
        <f>'Exptl Setup'!A200</f>
        <v>193</v>
      </c>
      <c r="B202" s="15" t="str">
        <f>'Exptl Setup'!B200</f>
        <v>MTT No Till</v>
      </c>
      <c r="C202" s="15" t="str">
        <f>'Exptl Setup'!C200</f>
        <v>a</v>
      </c>
      <c r="D202" s="15">
        <f>'Exptl Setup'!D200</f>
        <v>48</v>
      </c>
      <c r="E202" s="15" t="str">
        <f>'Exptl Setup'!E200</f>
        <v>+</v>
      </c>
      <c r="F202" s="15">
        <f>'Exptl Setup'!F200</f>
        <v>31.995000000000001</v>
      </c>
      <c r="G202" s="18">
        <f>'Exptl Setup'!G200</f>
        <v>24.998456640707591</v>
      </c>
      <c r="H202" s="22">
        <v>0</v>
      </c>
      <c r="I202" s="18"/>
      <c r="J202" s="18"/>
      <c r="K202" s="154">
        <v>650.55243000000007</v>
      </c>
      <c r="L202" s="19">
        <v>3858.0990000000002</v>
      </c>
      <c r="M202" s="19"/>
      <c r="N202" s="19"/>
      <c r="O202" s="19"/>
      <c r="P202" s="19"/>
      <c r="Q202" s="311">
        <f t="shared" si="4"/>
        <v>181.81191733568161</v>
      </c>
      <c r="R202">
        <f t="shared" si="5"/>
        <v>6617.5328940313348</v>
      </c>
      <c r="S202" s="188"/>
      <c r="T202" s="188"/>
      <c r="U202" s="188"/>
      <c r="V202" s="188"/>
      <c r="W202" s="75"/>
    </row>
    <row r="203" spans="1:23">
      <c r="A203" s="15">
        <f>'Exptl Setup'!A201</f>
        <v>194</v>
      </c>
      <c r="B203" s="15" t="str">
        <f>'Exptl Setup'!B201</f>
        <v>MTT No Till</v>
      </c>
      <c r="C203" s="15" t="str">
        <f>'Exptl Setup'!C201</f>
        <v>b</v>
      </c>
      <c r="D203" s="15">
        <f>'Exptl Setup'!D201</f>
        <v>48</v>
      </c>
      <c r="E203" s="15" t="str">
        <f>'Exptl Setup'!E201</f>
        <v>+</v>
      </c>
      <c r="F203" s="15">
        <f>'Exptl Setup'!F201</f>
        <v>32.002000000000002</v>
      </c>
      <c r="G203" s="18">
        <f>'Exptl Setup'!G201</f>
        <v>25.003925907670713</v>
      </c>
      <c r="H203" s="22">
        <v>0</v>
      </c>
      <c r="I203" s="18"/>
      <c r="J203" s="18"/>
      <c r="K203" s="154">
        <v>697.17340000000002</v>
      </c>
      <c r="L203" s="19">
        <v>4048.558</v>
      </c>
      <c r="M203" s="19"/>
      <c r="N203" s="19"/>
      <c r="O203" s="19"/>
      <c r="P203" s="19"/>
      <c r="Q203" s="311">
        <f t="shared" ref="Q203:Q249" si="6">K203*(260.57+(29.91*$H$2))*(1/1000)</f>
        <v>194.841225279008</v>
      </c>
      <c r="R203">
        <f t="shared" ref="R203:R249" si="7">((Q203*$H$3*$H$4)/($H$5*$H$6*$F203))*1000</f>
        <v>7090.2183125134352</v>
      </c>
      <c r="S203" s="188"/>
      <c r="T203" s="188"/>
      <c r="U203" s="188"/>
      <c r="V203" s="188"/>
      <c r="W203" s="75"/>
    </row>
    <row r="204" spans="1:23">
      <c r="A204" s="15">
        <f>'Exptl Setup'!A202</f>
        <v>195</v>
      </c>
      <c r="B204" s="15" t="str">
        <f>'Exptl Setup'!B202</f>
        <v>MTT No Till</v>
      </c>
      <c r="C204" s="15" t="str">
        <f>'Exptl Setup'!C202</f>
        <v>c</v>
      </c>
      <c r="D204" s="15">
        <f>'Exptl Setup'!D202</f>
        <v>48</v>
      </c>
      <c r="E204" s="15" t="str">
        <f>'Exptl Setup'!E202</f>
        <v>+</v>
      </c>
      <c r="F204" s="15">
        <f>'Exptl Setup'!F202</f>
        <v>32.003</v>
      </c>
      <c r="G204" s="18">
        <f>'Exptl Setup'!G202</f>
        <v>25.004707231522584</v>
      </c>
      <c r="H204" s="22">
        <v>0</v>
      </c>
      <c r="I204" s="18"/>
      <c r="J204" s="23"/>
      <c r="K204" s="154">
        <v>670.0378300000001</v>
      </c>
      <c r="L204" s="19">
        <v>3903.433</v>
      </c>
      <c r="M204" s="19"/>
      <c r="N204" s="19"/>
      <c r="O204" s="19"/>
      <c r="P204" s="19"/>
      <c r="Q204" s="311">
        <f t="shared" si="6"/>
        <v>187.25756286812964</v>
      </c>
      <c r="R204">
        <f t="shared" si="7"/>
        <v>6814.0380089539894</v>
      </c>
      <c r="S204" s="188"/>
      <c r="T204" s="188"/>
      <c r="U204" s="188"/>
      <c r="V204" s="188"/>
      <c r="W204" s="75"/>
    </row>
    <row r="205" spans="1:23">
      <c r="A205" s="15">
        <f>'Exptl Setup'!A203</f>
        <v>196</v>
      </c>
      <c r="B205" s="15" t="str">
        <f>'Exptl Setup'!B203</f>
        <v>MTT No Till</v>
      </c>
      <c r="C205" s="15" t="str">
        <f>'Exptl Setup'!C203</f>
        <v>d</v>
      </c>
      <c r="D205" s="15">
        <f>'Exptl Setup'!D203</f>
        <v>48</v>
      </c>
      <c r="E205" s="15" t="str">
        <f>'Exptl Setup'!E203</f>
        <v>+</v>
      </c>
      <c r="F205" s="15">
        <f>'Exptl Setup'!F203</f>
        <v>31.995999999999999</v>
      </c>
      <c r="G205" s="18">
        <f>'Exptl Setup'!G203</f>
        <v>24.999237964559462</v>
      </c>
      <c r="H205" s="22">
        <v>0</v>
      </c>
      <c r="I205" s="18">
        <v>4.3899999999999997</v>
      </c>
      <c r="J205" s="18">
        <v>6.32</v>
      </c>
      <c r="K205" s="154">
        <v>720.38384000000008</v>
      </c>
      <c r="L205" s="19">
        <v>4955.5169999999998</v>
      </c>
      <c r="M205" s="19">
        <v>0.31015000000000004</v>
      </c>
      <c r="N205" s="19">
        <v>4.4390000000000001</v>
      </c>
      <c r="O205" s="19">
        <v>8.2808499999999992</v>
      </c>
      <c r="P205" s="19">
        <v>63.81</v>
      </c>
      <c r="Q205" s="311">
        <f t="shared" si="6"/>
        <v>201.32791936238081</v>
      </c>
      <c r="R205">
        <f t="shared" si="7"/>
        <v>7327.6411634295509</v>
      </c>
      <c r="S205" s="188"/>
      <c r="T205" s="188"/>
      <c r="U205" s="188"/>
      <c r="V205" s="188"/>
      <c r="W205" s="75"/>
    </row>
    <row r="206" spans="1:23">
      <c r="A206" s="15">
        <f>'Exptl Setup'!A204</f>
        <v>197</v>
      </c>
      <c r="B206" s="15" t="str">
        <f>'Exptl Setup'!B204</f>
        <v>MTT No Till</v>
      </c>
      <c r="C206" s="15" t="str">
        <f>'Exptl Setup'!C204</f>
        <v>e</v>
      </c>
      <c r="D206" s="15">
        <f>'Exptl Setup'!D204</f>
        <v>48</v>
      </c>
      <c r="E206" s="15" t="str">
        <f>'Exptl Setup'!E204</f>
        <v>+</v>
      </c>
      <c r="F206" s="15">
        <f>'Exptl Setup'!F204</f>
        <v>32.002000000000002</v>
      </c>
      <c r="G206" s="18">
        <f>'Exptl Setup'!G204</f>
        <v>25.003925907670713</v>
      </c>
      <c r="H206" s="22">
        <v>0</v>
      </c>
      <c r="I206" s="18">
        <v>4.43</v>
      </c>
      <c r="J206" s="18">
        <v>6.4</v>
      </c>
      <c r="K206" s="154">
        <v>657.97820000000002</v>
      </c>
      <c r="L206" s="19">
        <v>3818.0169999999998</v>
      </c>
      <c r="M206" s="19">
        <v>3.5130000000000002E-2</v>
      </c>
      <c r="N206" s="19">
        <v>4.548</v>
      </c>
      <c r="O206" s="19">
        <v>7.5368699999999995</v>
      </c>
      <c r="P206" s="19">
        <v>57</v>
      </c>
      <c r="Q206" s="311">
        <f t="shared" si="6"/>
        <v>183.88722044598401</v>
      </c>
      <c r="R206">
        <f t="shared" si="7"/>
        <v>6691.6051055227117</v>
      </c>
      <c r="S206" s="188"/>
      <c r="T206" s="188"/>
      <c r="U206" s="188"/>
      <c r="V206" s="188"/>
      <c r="W206" s="75"/>
    </row>
    <row r="207" spans="1:23">
      <c r="A207" s="15">
        <f>'Exptl Setup'!A205</f>
        <v>198</v>
      </c>
      <c r="B207" s="15" t="str">
        <f>'Exptl Setup'!B205</f>
        <v>MTT No Till</v>
      </c>
      <c r="C207" s="15" t="str">
        <f>'Exptl Setup'!C205</f>
        <v>f</v>
      </c>
      <c r="D207" s="15">
        <f>'Exptl Setup'!D205</f>
        <v>48</v>
      </c>
      <c r="E207" s="15" t="str">
        <f>'Exptl Setup'!E205</f>
        <v>+</v>
      </c>
      <c r="F207" s="15">
        <f>'Exptl Setup'!F205</f>
        <v>31.998000000000001</v>
      </c>
      <c r="G207" s="18">
        <f>'Exptl Setup'!G205</f>
        <v>25.000800612263212</v>
      </c>
      <c r="H207" s="22">
        <v>0</v>
      </c>
      <c r="I207" s="18"/>
      <c r="J207" s="18"/>
      <c r="K207" s="154">
        <v>631.40737000000001</v>
      </c>
      <c r="L207" s="19">
        <v>3734.5360000000001</v>
      </c>
      <c r="M207" s="19"/>
      <c r="N207" s="19"/>
      <c r="O207" s="19"/>
      <c r="P207" s="19"/>
      <c r="Q207" s="311">
        <f t="shared" si="6"/>
        <v>176.46138768489442</v>
      </c>
      <c r="R207">
        <f t="shared" si="7"/>
        <v>6422.1838274659322</v>
      </c>
      <c r="S207" s="188"/>
      <c r="T207" s="188"/>
      <c r="U207" s="188"/>
      <c r="V207" s="188"/>
      <c r="W207" s="75"/>
    </row>
    <row r="208" spans="1:23">
      <c r="A208" s="15">
        <f>'Exptl Setup'!A206</f>
        <v>199</v>
      </c>
      <c r="B208" s="15" t="str">
        <f>'Exptl Setup'!B206</f>
        <v>MTT No Till</v>
      </c>
      <c r="C208" s="15" t="str">
        <f>'Exptl Setup'!C206</f>
        <v>a</v>
      </c>
      <c r="D208" s="15">
        <f>'Exptl Setup'!D206</f>
        <v>48</v>
      </c>
      <c r="E208" s="15" t="str">
        <f>'Exptl Setup'!E206</f>
        <v>+</v>
      </c>
      <c r="F208" s="15">
        <f>'Exptl Setup'!F206</f>
        <v>32.002000000000002</v>
      </c>
      <c r="G208" s="18">
        <f>'Exptl Setup'!G206</f>
        <v>25.003925907670713</v>
      </c>
      <c r="H208" s="22">
        <v>6</v>
      </c>
      <c r="I208" s="18"/>
      <c r="J208" s="18"/>
      <c r="K208" s="20">
        <v>3.5369999999999999</v>
      </c>
      <c r="L208" s="19">
        <v>10274.812</v>
      </c>
      <c r="M208" s="19"/>
      <c r="N208" s="19"/>
      <c r="O208" s="19"/>
      <c r="P208" s="19"/>
      <c r="Q208" s="311">
        <f t="shared" si="6"/>
        <v>0.98849642543999994</v>
      </c>
      <c r="R208">
        <f t="shared" si="7"/>
        <v>35.971111593414236</v>
      </c>
      <c r="S208" s="188"/>
      <c r="T208" s="188"/>
      <c r="U208" s="188"/>
      <c r="V208" s="188"/>
      <c r="W208" s="75"/>
    </row>
    <row r="209" spans="1:23">
      <c r="A209" s="15">
        <f>'Exptl Setup'!A207</f>
        <v>200</v>
      </c>
      <c r="B209" s="15" t="str">
        <f>'Exptl Setup'!B207</f>
        <v>MTT No Till</v>
      </c>
      <c r="C209" s="15" t="str">
        <f>'Exptl Setup'!C207</f>
        <v>b</v>
      </c>
      <c r="D209" s="15">
        <f>'Exptl Setup'!D207</f>
        <v>48</v>
      </c>
      <c r="E209" s="15" t="str">
        <f>'Exptl Setup'!E207</f>
        <v>+</v>
      </c>
      <c r="F209" s="15">
        <f>'Exptl Setup'!F207</f>
        <v>31.995999999999999</v>
      </c>
      <c r="G209" s="18">
        <f>'Exptl Setup'!G207</f>
        <v>24.999237964559462</v>
      </c>
      <c r="H209" s="22">
        <v>6</v>
      </c>
      <c r="I209" s="18"/>
      <c r="J209" s="23"/>
      <c r="K209" s="20">
        <v>0.24399999999999999</v>
      </c>
      <c r="L209" s="19">
        <v>10483.237999999999</v>
      </c>
      <c r="M209" s="19"/>
      <c r="N209" s="19"/>
      <c r="O209" s="19"/>
      <c r="P209" s="19"/>
      <c r="Q209" s="311">
        <f t="shared" si="6"/>
        <v>6.8191441279999987E-2</v>
      </c>
      <c r="R209">
        <f t="shared" si="7"/>
        <v>2.4819330259779426</v>
      </c>
      <c r="S209" s="188"/>
      <c r="T209" s="188"/>
      <c r="U209" s="188"/>
      <c r="V209" s="188"/>
      <c r="W209" s="75"/>
    </row>
    <row r="210" spans="1:23">
      <c r="A210" s="15">
        <f>'Exptl Setup'!A208</f>
        <v>201</v>
      </c>
      <c r="B210" s="15" t="str">
        <f>'Exptl Setup'!B208</f>
        <v>MTT No Till</v>
      </c>
      <c r="C210" s="15" t="str">
        <f>'Exptl Setup'!C208</f>
        <v>c</v>
      </c>
      <c r="D210" s="15">
        <f>'Exptl Setup'!D208</f>
        <v>48</v>
      </c>
      <c r="E210" s="15" t="str">
        <f>'Exptl Setup'!E208</f>
        <v>+</v>
      </c>
      <c r="F210" s="15">
        <f>'Exptl Setup'!F208</f>
        <v>31.998999999999999</v>
      </c>
      <c r="G210" s="18">
        <f>'Exptl Setup'!G208</f>
        <v>25.001581936115088</v>
      </c>
      <c r="H210" s="22">
        <v>6</v>
      </c>
      <c r="I210" s="18"/>
      <c r="J210" s="23"/>
      <c r="K210" s="20">
        <v>369.56400000000002</v>
      </c>
      <c r="L210" s="19">
        <v>20236.432000000001</v>
      </c>
      <c r="M210" s="19"/>
      <c r="N210" s="19"/>
      <c r="O210" s="19"/>
      <c r="P210" s="19"/>
      <c r="Q210" s="311">
        <f t="shared" si="6"/>
        <v>103.28320411967999</v>
      </c>
      <c r="R210">
        <f t="shared" si="7"/>
        <v>3758.7996045999835</v>
      </c>
      <c r="S210" s="188"/>
      <c r="T210" s="188"/>
      <c r="U210" s="188"/>
      <c r="V210" s="188"/>
      <c r="W210" s="75"/>
    </row>
    <row r="211" spans="1:23">
      <c r="A211" s="15">
        <f>'Exptl Setup'!A209</f>
        <v>202</v>
      </c>
      <c r="B211" s="15" t="str">
        <f>'Exptl Setup'!B209</f>
        <v>MTT No Till</v>
      </c>
      <c r="C211" s="15" t="str">
        <f>'Exptl Setup'!C209</f>
        <v>d</v>
      </c>
      <c r="D211" s="15">
        <f>'Exptl Setup'!D209</f>
        <v>48</v>
      </c>
      <c r="E211" s="15" t="str">
        <f>'Exptl Setup'!E209</f>
        <v>+</v>
      </c>
      <c r="F211" s="15">
        <f>'Exptl Setup'!F209</f>
        <v>31.994</v>
      </c>
      <c r="G211" s="18">
        <f>'Exptl Setup'!G209</f>
        <v>24.997675316855716</v>
      </c>
      <c r="H211" s="22">
        <v>6</v>
      </c>
      <c r="I211" s="18">
        <v>6.7</v>
      </c>
      <c r="J211" s="18">
        <v>5.74</v>
      </c>
      <c r="K211" s="20">
        <v>1.99</v>
      </c>
      <c r="L211" s="19">
        <v>9901.9110000000001</v>
      </c>
      <c r="M211" s="19">
        <v>0.28594999999999998</v>
      </c>
      <c r="N211" s="19">
        <v>13.81</v>
      </c>
      <c r="O211" s="19">
        <v>20.16605873362446</v>
      </c>
      <c r="P211" s="19">
        <v>303.8</v>
      </c>
      <c r="Q211" s="311">
        <f t="shared" si="6"/>
        <v>0.55615150879999997</v>
      </c>
      <c r="R211">
        <f t="shared" si="7"/>
        <v>20.243260122977539</v>
      </c>
      <c r="S211" s="188"/>
      <c r="T211" s="188"/>
      <c r="U211" s="188"/>
      <c r="V211" s="188"/>
      <c r="W211" s="75"/>
    </row>
    <row r="212" spans="1:23">
      <c r="A212" s="15">
        <f>'Exptl Setup'!A210</f>
        <v>203</v>
      </c>
      <c r="B212" s="15" t="str">
        <f>'Exptl Setup'!B210</f>
        <v>MTT No Till</v>
      </c>
      <c r="C212" s="15" t="str">
        <f>'Exptl Setup'!C210</f>
        <v>e</v>
      </c>
      <c r="D212" s="15">
        <f>'Exptl Setup'!D210</f>
        <v>48</v>
      </c>
      <c r="E212" s="15" t="str">
        <f>'Exptl Setup'!E210</f>
        <v>+</v>
      </c>
      <c r="F212" s="15">
        <f>'Exptl Setup'!F210</f>
        <v>31.991</v>
      </c>
      <c r="G212" s="18">
        <f>'Exptl Setup'!G210</f>
        <v>24.995331345300094</v>
      </c>
      <c r="H212" s="22">
        <v>6</v>
      </c>
      <c r="I212" s="18">
        <v>6.74</v>
      </c>
      <c r="J212" s="18">
        <v>5.86</v>
      </c>
      <c r="K212" s="20">
        <v>0.22900000000000001</v>
      </c>
      <c r="L212" s="19">
        <v>9862.1049999999996</v>
      </c>
      <c r="M212" s="19">
        <v>0.25940000000000002</v>
      </c>
      <c r="N212" s="19">
        <v>13.64</v>
      </c>
      <c r="O212" s="19">
        <v>19.122434061135372</v>
      </c>
      <c r="P212" s="19">
        <v>295.89999999999998</v>
      </c>
      <c r="Q212" s="311">
        <f t="shared" si="6"/>
        <v>6.3999344479999998E-2</v>
      </c>
      <c r="R212">
        <f t="shared" si="7"/>
        <v>2.3297192401595752</v>
      </c>
      <c r="S212" s="188"/>
      <c r="T212" s="188"/>
      <c r="U212" s="188"/>
      <c r="V212" s="188"/>
      <c r="W212" s="75"/>
    </row>
    <row r="213" spans="1:23">
      <c r="A213" s="15">
        <f>'Exptl Setup'!A211</f>
        <v>204</v>
      </c>
      <c r="B213" s="15" t="str">
        <f>'Exptl Setup'!B211</f>
        <v>MTT No Till</v>
      </c>
      <c r="C213" s="15" t="str">
        <f>'Exptl Setup'!C211</f>
        <v>f</v>
      </c>
      <c r="D213" s="15">
        <f>'Exptl Setup'!D211</f>
        <v>48</v>
      </c>
      <c r="E213" s="15" t="str">
        <f>'Exptl Setup'!E211</f>
        <v>+</v>
      </c>
      <c r="F213" s="15">
        <f>'Exptl Setup'!F211</f>
        <v>32.011000000000003</v>
      </c>
      <c r="G213" s="18">
        <f>'Exptl Setup'!G211</f>
        <v>25.010957822337577</v>
      </c>
      <c r="H213" s="22">
        <v>6</v>
      </c>
      <c r="I213" s="18"/>
      <c r="J213" s="18"/>
      <c r="K213" s="20">
        <v>2.4620000000000002</v>
      </c>
      <c r="L213" s="19">
        <v>8277.0689999999995</v>
      </c>
      <c r="M213" s="19"/>
      <c r="N213" s="19"/>
      <c r="O213" s="19"/>
      <c r="P213" s="19"/>
      <c r="Q213" s="311">
        <f t="shared" si="6"/>
        <v>0.68806282143999997</v>
      </c>
      <c r="R213">
        <f t="shared" si="7"/>
        <v>25.031376181933155</v>
      </c>
      <c r="S213" s="188"/>
      <c r="T213" s="188"/>
      <c r="U213" s="188"/>
      <c r="V213" s="188"/>
      <c r="W213" s="75"/>
    </row>
    <row r="214" spans="1:23">
      <c r="A214" s="15">
        <f>'Exptl Setup'!A212</f>
        <v>205</v>
      </c>
      <c r="B214" s="15" t="str">
        <f>'Exptl Setup'!B212</f>
        <v>MTT No Till</v>
      </c>
      <c r="C214" s="15" t="str">
        <f>'Exptl Setup'!C212</f>
        <v>a</v>
      </c>
      <c r="D214" s="15">
        <f>'Exptl Setup'!D212</f>
        <v>48</v>
      </c>
      <c r="E214" s="15" t="str">
        <f>'Exptl Setup'!E212</f>
        <v>+</v>
      </c>
      <c r="F214" s="15">
        <f>'Exptl Setup'!F212</f>
        <v>31.995999999999999</v>
      </c>
      <c r="G214" s="18">
        <f>'Exptl Setup'!G212</f>
        <v>24.999237964559462</v>
      </c>
      <c r="H214" s="22">
        <v>16</v>
      </c>
      <c r="I214" s="18"/>
      <c r="J214" s="23"/>
      <c r="K214" s="20">
        <v>0.153</v>
      </c>
      <c r="L214" s="19">
        <v>4399.6210000000001</v>
      </c>
      <c r="M214" s="19"/>
      <c r="N214" s="19"/>
      <c r="O214" s="19"/>
      <c r="P214" s="19"/>
      <c r="Q214" s="311">
        <f t="shared" si="6"/>
        <v>4.2759387359999998E-2</v>
      </c>
      <c r="R214">
        <f t="shared" si="7"/>
        <v>1.5562940695681362</v>
      </c>
      <c r="S214" s="188"/>
      <c r="T214" s="188"/>
      <c r="U214" s="188"/>
      <c r="V214" s="188"/>
      <c r="W214" s="75"/>
    </row>
    <row r="215" spans="1:23">
      <c r="A215" s="15">
        <f>'Exptl Setup'!A213</f>
        <v>206</v>
      </c>
      <c r="B215" s="15" t="str">
        <f>'Exptl Setup'!B213</f>
        <v>MTT No Till</v>
      </c>
      <c r="C215" s="15" t="str">
        <f>'Exptl Setup'!C213</f>
        <v>b</v>
      </c>
      <c r="D215" s="15">
        <f>'Exptl Setup'!D213</f>
        <v>48</v>
      </c>
      <c r="E215" s="15" t="str">
        <f>'Exptl Setup'!E213</f>
        <v>+</v>
      </c>
      <c r="F215" s="15">
        <f>'Exptl Setup'!F213</f>
        <v>32</v>
      </c>
      <c r="G215" s="18">
        <f>'Exptl Setup'!G213</f>
        <v>25.002363259966963</v>
      </c>
      <c r="H215" s="22">
        <v>16</v>
      </c>
      <c r="I215" s="18"/>
      <c r="J215" s="23"/>
      <c r="K215" s="20">
        <v>9.2999999999999999E-2</v>
      </c>
      <c r="L215" s="19">
        <v>3958.1660000000002</v>
      </c>
      <c r="M215" s="19"/>
      <c r="N215" s="19"/>
      <c r="O215" s="19"/>
      <c r="P215" s="19"/>
      <c r="Q215" s="311">
        <f t="shared" si="6"/>
        <v>2.599100016E-2</v>
      </c>
      <c r="R215">
        <f t="shared" si="7"/>
        <v>0.9458644219037774</v>
      </c>
      <c r="S215" s="188"/>
      <c r="T215" s="188"/>
      <c r="U215" s="188"/>
      <c r="V215" s="188"/>
      <c r="W215" s="75"/>
    </row>
    <row r="216" spans="1:23">
      <c r="A216" s="15">
        <f>'Exptl Setup'!A214</f>
        <v>207</v>
      </c>
      <c r="B216" s="15" t="str">
        <f>'Exptl Setup'!B214</f>
        <v>MTT No Till</v>
      </c>
      <c r="C216" s="15" t="str">
        <f>'Exptl Setup'!C214</f>
        <v>c</v>
      </c>
      <c r="D216" s="15">
        <f>'Exptl Setup'!D214</f>
        <v>48</v>
      </c>
      <c r="E216" s="15" t="str">
        <f>'Exptl Setup'!E214</f>
        <v>+</v>
      </c>
      <c r="F216" s="15">
        <f>'Exptl Setup'!F214</f>
        <v>32.003</v>
      </c>
      <c r="G216" s="18">
        <f>'Exptl Setup'!G214</f>
        <v>25.004707231522584</v>
      </c>
      <c r="H216" s="22">
        <v>16</v>
      </c>
      <c r="I216" s="18"/>
      <c r="J216" s="23"/>
      <c r="K216" s="20">
        <v>0.106</v>
      </c>
      <c r="L216" s="19">
        <v>3924.7179999999998</v>
      </c>
      <c r="M216" s="19"/>
      <c r="N216" s="19"/>
      <c r="O216" s="19"/>
      <c r="P216" s="19"/>
      <c r="Q216" s="311">
        <f t="shared" si="6"/>
        <v>2.9624150719999999E-2</v>
      </c>
      <c r="R216">
        <f t="shared" si="7"/>
        <v>1.0779809685508694</v>
      </c>
      <c r="S216" s="188"/>
      <c r="T216" s="188"/>
      <c r="U216" s="188"/>
      <c r="V216" s="188"/>
      <c r="W216" s="75"/>
    </row>
    <row r="217" spans="1:23">
      <c r="A217" s="15">
        <f>'Exptl Setup'!A215</f>
        <v>208</v>
      </c>
      <c r="B217" s="15" t="str">
        <f>'Exptl Setup'!B215</f>
        <v>MTT No Till</v>
      </c>
      <c r="C217" s="15" t="str">
        <f>'Exptl Setup'!C215</f>
        <v>d</v>
      </c>
      <c r="D217" s="15">
        <f>'Exptl Setup'!D215</f>
        <v>48</v>
      </c>
      <c r="E217" s="15" t="str">
        <f>'Exptl Setup'!E215</f>
        <v>+</v>
      </c>
      <c r="F217" s="15">
        <f>'Exptl Setup'!F215</f>
        <v>31.995000000000001</v>
      </c>
      <c r="G217" s="18">
        <f>'Exptl Setup'!G215</f>
        <v>24.998456640707591</v>
      </c>
      <c r="H217" s="22">
        <v>16</v>
      </c>
      <c r="I217" s="18">
        <v>8.42</v>
      </c>
      <c r="J217" s="18">
        <v>6.18</v>
      </c>
      <c r="K217" s="20">
        <v>5.8000000000000003E-2</v>
      </c>
      <c r="L217" s="19">
        <v>4250.9030000000002</v>
      </c>
      <c r="M217" s="19">
        <v>4.8979999999999997</v>
      </c>
      <c r="N217" s="19">
        <v>45.77</v>
      </c>
      <c r="O217" s="19">
        <v>352.33199999999999</v>
      </c>
      <c r="P217" s="19">
        <v>4867</v>
      </c>
      <c r="Q217" s="311">
        <f t="shared" si="6"/>
        <v>1.6209440960000002E-2</v>
      </c>
      <c r="R217">
        <f t="shared" si="7"/>
        <v>0.58998612587430876</v>
      </c>
      <c r="S217" s="188"/>
      <c r="T217" s="188"/>
      <c r="U217" s="188"/>
      <c r="V217" s="188"/>
      <c r="W217" s="75"/>
    </row>
    <row r="218" spans="1:23">
      <c r="A218" s="15">
        <f>'Exptl Setup'!A216</f>
        <v>209</v>
      </c>
      <c r="B218" s="15" t="str">
        <f>'Exptl Setup'!B216</f>
        <v>MTT No Till</v>
      </c>
      <c r="C218" s="15" t="str">
        <f>'Exptl Setup'!C216</f>
        <v>e</v>
      </c>
      <c r="D218" s="15">
        <f>'Exptl Setup'!D216</f>
        <v>48</v>
      </c>
      <c r="E218" s="15" t="str">
        <f>'Exptl Setup'!E216</f>
        <v>+</v>
      </c>
      <c r="F218" s="15">
        <f>'Exptl Setup'!F216</f>
        <v>31.995999999999999</v>
      </c>
      <c r="G218" s="18">
        <f>'Exptl Setup'!G216</f>
        <v>24.999237964559462</v>
      </c>
      <c r="H218" s="22">
        <v>16</v>
      </c>
      <c r="I218" s="18">
        <v>8.48</v>
      </c>
      <c r="J218" s="18">
        <v>6.42</v>
      </c>
      <c r="K218" s="20">
        <v>3.5999999999999997E-2</v>
      </c>
      <c r="L218" s="19">
        <v>4392.4340000000002</v>
      </c>
      <c r="M218" s="19">
        <v>5.258</v>
      </c>
      <c r="N218" s="19">
        <v>49</v>
      </c>
      <c r="O218" s="19">
        <v>313.34200000000004</v>
      </c>
      <c r="P218" s="19">
        <v>4997</v>
      </c>
      <c r="Q218" s="311">
        <f t="shared" si="6"/>
        <v>1.006103232E-2</v>
      </c>
      <c r="R218">
        <f t="shared" si="7"/>
        <v>0.36618683989838502</v>
      </c>
      <c r="S218" s="188"/>
      <c r="T218" s="188"/>
      <c r="U218" s="188"/>
      <c r="V218" s="188"/>
      <c r="W218" s="75"/>
    </row>
    <row r="219" spans="1:23">
      <c r="A219" s="15">
        <f>'Exptl Setup'!A217</f>
        <v>210</v>
      </c>
      <c r="B219" s="15" t="str">
        <f>'Exptl Setup'!B217</f>
        <v>MTT No Till</v>
      </c>
      <c r="C219" s="15" t="str">
        <f>'Exptl Setup'!C217</f>
        <v>f</v>
      </c>
      <c r="D219" s="15">
        <f>'Exptl Setup'!D217</f>
        <v>48</v>
      </c>
      <c r="E219" s="15" t="str">
        <f>'Exptl Setup'!E217</f>
        <v>+</v>
      </c>
      <c r="F219" s="15">
        <f>'Exptl Setup'!F217</f>
        <v>31.995000000000001</v>
      </c>
      <c r="G219" s="18">
        <f>'Exptl Setup'!G217</f>
        <v>24.998456640707591</v>
      </c>
      <c r="H219" s="22">
        <v>16</v>
      </c>
      <c r="I219" s="18"/>
      <c r="J219" s="23"/>
      <c r="K219" s="20">
        <v>8.2000000000000003E-2</v>
      </c>
      <c r="L219" s="19">
        <v>2426.2049999999999</v>
      </c>
      <c r="M219" s="19"/>
      <c r="N219" s="19"/>
      <c r="O219" s="19"/>
      <c r="P219" s="19"/>
      <c r="Q219" s="311">
        <f t="shared" si="6"/>
        <v>2.291679584E-2</v>
      </c>
      <c r="R219">
        <f t="shared" si="7"/>
        <v>0.83411831589126406</v>
      </c>
      <c r="S219" s="188"/>
      <c r="T219" s="188"/>
      <c r="U219" s="188"/>
      <c r="V219" s="188"/>
      <c r="W219" s="75"/>
    </row>
    <row r="220" spans="1:23">
      <c r="A220" s="15">
        <f>'Exptl Setup'!A218</f>
        <v>211</v>
      </c>
      <c r="B220" s="15" t="str">
        <f>'Exptl Setup'!B218</f>
        <v>MTT No Till</v>
      </c>
      <c r="C220" s="15" t="str">
        <f>'Exptl Setup'!C218</f>
        <v>a</v>
      </c>
      <c r="D220" s="15">
        <f>'Exptl Setup'!D218</f>
        <v>48</v>
      </c>
      <c r="E220" s="15" t="str">
        <f>'Exptl Setup'!E218</f>
        <v>+</v>
      </c>
      <c r="F220" s="15">
        <f>'Exptl Setup'!F218</f>
        <v>32.008000000000003</v>
      </c>
      <c r="G220" s="18">
        <f>'Exptl Setup'!G218</f>
        <v>25.008613850781956</v>
      </c>
      <c r="H220" s="22">
        <v>20</v>
      </c>
      <c r="I220" s="18"/>
      <c r="J220" s="23"/>
      <c r="K220" s="20">
        <v>2.0979999999999999</v>
      </c>
      <c r="L220" s="19">
        <v>272.28100000000001</v>
      </c>
      <c r="M220" s="19"/>
      <c r="N220" s="19"/>
      <c r="O220" s="19"/>
      <c r="P220" s="19"/>
      <c r="Q220" s="311">
        <f t="shared" si="6"/>
        <v>0.58633460575999996</v>
      </c>
      <c r="R220">
        <f t="shared" si="7"/>
        <v>21.332554572691503</v>
      </c>
      <c r="S220" s="188"/>
      <c r="T220" s="188"/>
      <c r="U220" s="188"/>
      <c r="V220" s="188"/>
      <c r="W220" s="75"/>
    </row>
    <row r="221" spans="1:23">
      <c r="A221" s="15">
        <f>'Exptl Setup'!A219</f>
        <v>212</v>
      </c>
      <c r="B221" s="15" t="str">
        <f>'Exptl Setup'!B219</f>
        <v>MTT No Till</v>
      </c>
      <c r="C221" s="15" t="str">
        <f>'Exptl Setup'!C219</f>
        <v>b</v>
      </c>
      <c r="D221" s="15">
        <f>'Exptl Setup'!D219</f>
        <v>48</v>
      </c>
      <c r="E221" s="15" t="str">
        <f>'Exptl Setup'!E219</f>
        <v>+</v>
      </c>
      <c r="F221" s="15">
        <f>'Exptl Setup'!F219</f>
        <v>31.997</v>
      </c>
      <c r="G221" s="18">
        <f>'Exptl Setup'!G219</f>
        <v>25.000019288411337</v>
      </c>
      <c r="H221" s="22">
        <v>20</v>
      </c>
      <c r="I221" s="18"/>
      <c r="J221" s="23"/>
      <c r="K221" s="20">
        <v>1.0329999999999999</v>
      </c>
      <c r="L221" s="19">
        <v>131.85599999999999</v>
      </c>
      <c r="M221" s="19"/>
      <c r="N221" s="19"/>
      <c r="O221" s="19"/>
      <c r="P221" s="19"/>
      <c r="Q221" s="311">
        <f t="shared" si="6"/>
        <v>0.28869573296000001</v>
      </c>
      <c r="R221">
        <f t="shared" si="7"/>
        <v>10.507199542716291</v>
      </c>
      <c r="S221" s="188"/>
      <c r="T221" s="188"/>
      <c r="U221" s="188"/>
      <c r="V221" s="188"/>
      <c r="W221" s="75"/>
    </row>
    <row r="222" spans="1:23">
      <c r="A222" s="15">
        <f>'Exptl Setup'!A220</f>
        <v>213</v>
      </c>
      <c r="B222" s="15" t="str">
        <f>'Exptl Setup'!B220</f>
        <v>MTT No Till</v>
      </c>
      <c r="C222" s="15" t="str">
        <f>'Exptl Setup'!C220</f>
        <v>c</v>
      </c>
      <c r="D222" s="15">
        <f>'Exptl Setup'!D220</f>
        <v>48</v>
      </c>
      <c r="E222" s="15" t="str">
        <f>'Exptl Setup'!E220</f>
        <v>+</v>
      </c>
      <c r="F222" s="15">
        <f>'Exptl Setup'!F220</f>
        <v>32.006999999999998</v>
      </c>
      <c r="G222" s="18">
        <f>'Exptl Setup'!G220</f>
        <v>25.007832526930077</v>
      </c>
      <c r="H222" s="22">
        <v>20</v>
      </c>
      <c r="I222" s="18"/>
      <c r="J222" s="23"/>
      <c r="K222" s="20">
        <v>2.9319999999999999</v>
      </c>
      <c r="L222" s="19">
        <v>247.126</v>
      </c>
      <c r="M222" s="19"/>
      <c r="N222" s="19"/>
      <c r="O222" s="19"/>
      <c r="P222" s="19"/>
      <c r="Q222" s="311">
        <f t="shared" si="6"/>
        <v>0.81941518783999989</v>
      </c>
      <c r="R222">
        <f t="shared" si="7"/>
        <v>29.813634020481409</v>
      </c>
      <c r="S222" s="188"/>
      <c r="T222" s="188"/>
      <c r="U222" s="188"/>
      <c r="V222" s="188"/>
      <c r="W222" s="75"/>
    </row>
    <row r="223" spans="1:23">
      <c r="A223" s="15">
        <f>'Exptl Setup'!A221</f>
        <v>214</v>
      </c>
      <c r="B223" s="15" t="str">
        <f>'Exptl Setup'!B221</f>
        <v>MTT No Till</v>
      </c>
      <c r="C223" s="15" t="str">
        <f>'Exptl Setup'!C221</f>
        <v>d</v>
      </c>
      <c r="D223" s="15">
        <f>'Exptl Setup'!D221</f>
        <v>48</v>
      </c>
      <c r="E223" s="15" t="str">
        <f>'Exptl Setup'!E221</f>
        <v>+</v>
      </c>
      <c r="F223" s="15">
        <f>'Exptl Setup'!F221</f>
        <v>31.995999999999999</v>
      </c>
      <c r="G223" s="18">
        <f>'Exptl Setup'!G221</f>
        <v>24.999237964559462</v>
      </c>
      <c r="H223" s="22">
        <v>20</v>
      </c>
      <c r="I223" s="18">
        <v>8.69</v>
      </c>
      <c r="J223" s="18">
        <v>6.38</v>
      </c>
      <c r="K223" s="20">
        <v>0.79</v>
      </c>
      <c r="L223" s="19">
        <v>246.02099999999999</v>
      </c>
      <c r="M223" s="19">
        <v>7.1499999999999995</v>
      </c>
      <c r="N223" s="19">
        <v>51.11</v>
      </c>
      <c r="O223" s="19">
        <v>575.94000000000005</v>
      </c>
      <c r="P223" s="19">
        <v>6141</v>
      </c>
      <c r="Q223" s="311">
        <f t="shared" si="6"/>
        <v>0.2207837648</v>
      </c>
      <c r="R223">
        <f t="shared" si="7"/>
        <v>8.0357667644367829</v>
      </c>
      <c r="S223" s="188"/>
      <c r="T223" s="188"/>
      <c r="U223" s="188"/>
      <c r="V223" s="188"/>
      <c r="W223" s="75"/>
    </row>
    <row r="224" spans="1:23">
      <c r="A224" s="15">
        <f>'Exptl Setup'!A222</f>
        <v>215</v>
      </c>
      <c r="B224" s="15" t="str">
        <f>'Exptl Setup'!B222</f>
        <v>MTT No Till</v>
      </c>
      <c r="C224" s="15" t="str">
        <f>'Exptl Setup'!C222</f>
        <v>e</v>
      </c>
      <c r="D224" s="15">
        <f>'Exptl Setup'!D222</f>
        <v>48</v>
      </c>
      <c r="E224" s="15" t="str">
        <f>'Exptl Setup'!E222</f>
        <v>+</v>
      </c>
      <c r="F224" s="15">
        <f>'Exptl Setup'!F222</f>
        <v>32.003</v>
      </c>
      <c r="G224" s="18">
        <f>'Exptl Setup'!G222</f>
        <v>25.004707231522584</v>
      </c>
      <c r="H224" s="22">
        <v>20</v>
      </c>
      <c r="I224" s="18">
        <v>8.7899999999999991</v>
      </c>
      <c r="J224" s="18">
        <v>6.32</v>
      </c>
      <c r="K224" s="20">
        <v>5.5380000000000003</v>
      </c>
      <c r="L224" s="19">
        <v>265.64699999999999</v>
      </c>
      <c r="M224" s="19">
        <v>8.9139999999999997</v>
      </c>
      <c r="N224" s="19">
        <v>50.55</v>
      </c>
      <c r="O224" s="19">
        <v>587.63600000000008</v>
      </c>
      <c r="P224" s="19">
        <v>6494</v>
      </c>
      <c r="Q224" s="311">
        <f t="shared" si="6"/>
        <v>1.5477221385600002</v>
      </c>
      <c r="R224">
        <f t="shared" si="7"/>
        <v>56.319420790893538</v>
      </c>
      <c r="S224" s="188"/>
      <c r="T224" s="188"/>
      <c r="U224" s="188"/>
      <c r="V224" s="188"/>
      <c r="W224" s="75"/>
    </row>
    <row r="225" spans="1:23">
      <c r="A225" s="15">
        <f>'Exptl Setup'!A223</f>
        <v>216</v>
      </c>
      <c r="B225" s="15" t="str">
        <f>'Exptl Setup'!B223</f>
        <v>MTT No Till</v>
      </c>
      <c r="C225" s="15" t="str">
        <f>'Exptl Setup'!C223</f>
        <v>f</v>
      </c>
      <c r="D225" s="15">
        <f>'Exptl Setup'!D223</f>
        <v>48</v>
      </c>
      <c r="E225" s="15" t="str">
        <f>'Exptl Setup'!E223</f>
        <v>+</v>
      </c>
      <c r="F225" s="15">
        <f>'Exptl Setup'!F223</f>
        <v>31.998999999999999</v>
      </c>
      <c r="G225" s="18">
        <f>'Exptl Setup'!G223</f>
        <v>25.001581936115088</v>
      </c>
      <c r="H225" s="22">
        <v>20</v>
      </c>
      <c r="I225" s="18"/>
      <c r="J225" s="23"/>
      <c r="K225" s="20">
        <v>6.0999999999999999E-2</v>
      </c>
      <c r="L225" s="19">
        <v>474.62599999999998</v>
      </c>
      <c r="M225" s="19"/>
      <c r="N225" s="19"/>
      <c r="O225" s="19"/>
      <c r="P225" s="19"/>
      <c r="Q225" s="311">
        <f t="shared" si="6"/>
        <v>1.7047860319999997E-2</v>
      </c>
      <c r="R225">
        <f t="shared" si="7"/>
        <v>0.6204250843713105</v>
      </c>
      <c r="S225" s="188"/>
      <c r="T225" s="188"/>
      <c r="U225" s="188"/>
      <c r="V225" s="188"/>
      <c r="W225" s="75"/>
    </row>
    <row r="226" spans="1:23">
      <c r="A226" s="15">
        <f>'Exptl Setup'!A224</f>
        <v>217</v>
      </c>
      <c r="B226" s="15" t="str">
        <f>'Exptl Setup'!B224</f>
        <v>MTT No Till</v>
      </c>
      <c r="C226" s="15" t="str">
        <f>'Exptl Setup'!C224</f>
        <v>a</v>
      </c>
      <c r="D226" s="15">
        <f>'Exptl Setup'!D224</f>
        <v>48</v>
      </c>
      <c r="E226" s="15" t="str">
        <f>'Exptl Setup'!E224</f>
        <v>-</v>
      </c>
      <c r="F226" s="15">
        <f>'Exptl Setup'!F224</f>
        <v>32.009</v>
      </c>
      <c r="G226" s="18">
        <f>'Exptl Setup'!G224</f>
        <v>25.009395174633827</v>
      </c>
      <c r="H226" s="22">
        <v>0</v>
      </c>
      <c r="I226" s="18"/>
      <c r="J226" s="23"/>
      <c r="K226" s="154">
        <v>659.59948999999995</v>
      </c>
      <c r="L226" s="19">
        <v>3965.9059999999999</v>
      </c>
      <c r="M226" s="19"/>
      <c r="N226" s="19"/>
      <c r="O226" s="19"/>
      <c r="P226" s="19"/>
      <c r="Q226" s="311">
        <f t="shared" si="6"/>
        <v>184.34032742070877</v>
      </c>
      <c r="R226">
        <f t="shared" si="7"/>
        <v>6706.6265601710948</v>
      </c>
      <c r="S226" s="188"/>
      <c r="T226" s="188"/>
      <c r="U226" s="188"/>
      <c r="V226" s="188"/>
      <c r="W226" s="75"/>
    </row>
    <row r="227" spans="1:23">
      <c r="A227" s="15">
        <f>'Exptl Setup'!A225</f>
        <v>218</v>
      </c>
      <c r="B227" s="15" t="str">
        <f>'Exptl Setup'!B225</f>
        <v>MTT No Till</v>
      </c>
      <c r="C227" s="15" t="str">
        <f>'Exptl Setup'!C225</f>
        <v>b</v>
      </c>
      <c r="D227" s="15">
        <f>'Exptl Setup'!D225</f>
        <v>48</v>
      </c>
      <c r="E227" s="15" t="str">
        <f>'Exptl Setup'!E225</f>
        <v>-</v>
      </c>
      <c r="F227" s="15">
        <f>'Exptl Setup'!F225</f>
        <v>32</v>
      </c>
      <c r="G227" s="18">
        <f>'Exptl Setup'!G225</f>
        <v>25.002363259966963</v>
      </c>
      <c r="H227" s="22">
        <v>0</v>
      </c>
      <c r="I227" s="18"/>
      <c r="J227" s="23"/>
      <c r="K227" s="154">
        <v>539.54923000000008</v>
      </c>
      <c r="L227" s="19">
        <v>4156.3639999999996</v>
      </c>
      <c r="M227" s="19"/>
      <c r="N227" s="19"/>
      <c r="O227" s="19"/>
      <c r="P227" s="19"/>
      <c r="Q227" s="311">
        <f t="shared" si="6"/>
        <v>150.78950670169763</v>
      </c>
      <c r="R227">
        <f t="shared" si="7"/>
        <v>5487.5314034685844</v>
      </c>
      <c r="S227" s="188"/>
      <c r="T227" s="188"/>
      <c r="U227" s="188"/>
      <c r="V227" s="188"/>
      <c r="W227" s="75"/>
    </row>
    <row r="228" spans="1:23">
      <c r="A228" s="15">
        <f>'Exptl Setup'!A226</f>
        <v>219</v>
      </c>
      <c r="B228" s="15" t="str">
        <f>'Exptl Setup'!B226</f>
        <v>MTT No Till</v>
      </c>
      <c r="C228" s="15" t="str">
        <f>'Exptl Setup'!C226</f>
        <v>c</v>
      </c>
      <c r="D228" s="15">
        <f>'Exptl Setup'!D226</f>
        <v>48</v>
      </c>
      <c r="E228" s="15" t="str">
        <f>'Exptl Setup'!E226</f>
        <v>-</v>
      </c>
      <c r="F228" s="15">
        <f>'Exptl Setup'!F226</f>
        <v>32.008000000000003</v>
      </c>
      <c r="G228" s="18">
        <f>'Exptl Setup'!G226</f>
        <v>25.008613850781956</v>
      </c>
      <c r="H228" s="22">
        <v>0</v>
      </c>
      <c r="I228" s="18"/>
      <c r="J228" s="23"/>
      <c r="K228" s="154">
        <v>710.31015000000014</v>
      </c>
      <c r="L228" s="19">
        <v>4610.5349999999999</v>
      </c>
      <c r="M228" s="19"/>
      <c r="N228" s="19"/>
      <c r="O228" s="19"/>
      <c r="P228" s="19"/>
      <c r="Q228" s="311">
        <f t="shared" si="6"/>
        <v>198.51259378816806</v>
      </c>
      <c r="R228">
        <f t="shared" si="7"/>
        <v>7222.4642699769747</v>
      </c>
      <c r="S228" s="188"/>
      <c r="T228" s="188"/>
      <c r="U228" s="188"/>
      <c r="V228" s="188"/>
      <c r="W228" s="75"/>
    </row>
    <row r="229" spans="1:23">
      <c r="A229" s="15">
        <f>'Exptl Setup'!A227</f>
        <v>220</v>
      </c>
      <c r="B229" s="15" t="str">
        <f>'Exptl Setup'!B227</f>
        <v>MTT No Till</v>
      </c>
      <c r="C229" s="15" t="str">
        <f>'Exptl Setup'!C227</f>
        <v>d</v>
      </c>
      <c r="D229" s="15">
        <f>'Exptl Setup'!D227</f>
        <v>48</v>
      </c>
      <c r="E229" s="15" t="str">
        <f>'Exptl Setup'!E227</f>
        <v>-</v>
      </c>
      <c r="F229" s="15">
        <f>'Exptl Setup'!F227</f>
        <v>31.997</v>
      </c>
      <c r="G229" s="18">
        <f>'Exptl Setup'!G227</f>
        <v>25.000019288411337</v>
      </c>
      <c r="H229" s="22">
        <v>0</v>
      </c>
      <c r="I229" s="18">
        <v>4.6399999999999997</v>
      </c>
      <c r="J229" s="18">
        <v>6.28</v>
      </c>
      <c r="K229" s="154">
        <v>694.80411000000004</v>
      </c>
      <c r="L229" s="19">
        <v>4144.7539999999999</v>
      </c>
      <c r="M229" s="19">
        <v>0.32655000000000001</v>
      </c>
      <c r="N229" s="19">
        <v>5.67</v>
      </c>
      <c r="O229" s="19">
        <v>5.883449999999999</v>
      </c>
      <c r="P229" s="19">
        <v>64</v>
      </c>
      <c r="Q229" s="311">
        <f t="shared" si="6"/>
        <v>194.17907241052319</v>
      </c>
      <c r="R229">
        <f t="shared" si="7"/>
        <v>7067.2269379181016</v>
      </c>
      <c r="S229" s="188"/>
      <c r="T229" s="188"/>
      <c r="U229" s="188"/>
      <c r="V229" s="188"/>
      <c r="W229" s="75"/>
    </row>
    <row r="230" spans="1:23">
      <c r="A230" s="15">
        <f>'Exptl Setup'!A228</f>
        <v>221</v>
      </c>
      <c r="B230" s="15" t="str">
        <f>'Exptl Setup'!B228</f>
        <v>MTT No Till</v>
      </c>
      <c r="C230" s="15" t="str">
        <f>'Exptl Setup'!C228</f>
        <v>e</v>
      </c>
      <c r="D230" s="15">
        <f>'Exptl Setup'!D228</f>
        <v>48</v>
      </c>
      <c r="E230" s="15" t="str">
        <f>'Exptl Setup'!E228</f>
        <v>-</v>
      </c>
      <c r="F230" s="15">
        <f>'Exptl Setup'!F228</f>
        <v>31.997</v>
      </c>
      <c r="G230" s="18">
        <f>'Exptl Setup'!G228</f>
        <v>25.000019288411337</v>
      </c>
      <c r="H230" s="22">
        <v>0</v>
      </c>
      <c r="I230" s="18">
        <v>4.4800000000000004</v>
      </c>
      <c r="J230" s="18">
        <v>6.46</v>
      </c>
      <c r="K230" s="154">
        <v>714.15487000000007</v>
      </c>
      <c r="L230" s="19">
        <v>4202.5280000000002</v>
      </c>
      <c r="M230" s="19">
        <v>0.22055000000000002</v>
      </c>
      <c r="N230" s="19">
        <v>5.1649999999999991</v>
      </c>
      <c r="O230" s="19">
        <v>7.9694499999999993</v>
      </c>
      <c r="P230" s="19">
        <v>66.740000000000009</v>
      </c>
      <c r="Q230" s="311">
        <f t="shared" si="6"/>
        <v>199.58708968209442</v>
      </c>
      <c r="R230">
        <f t="shared" si="7"/>
        <v>7264.0539433616786</v>
      </c>
      <c r="S230" s="188"/>
      <c r="T230" s="188"/>
      <c r="U230" s="188"/>
      <c r="V230" s="188"/>
      <c r="W230" s="75"/>
    </row>
    <row r="231" spans="1:23">
      <c r="A231" s="15">
        <f>'Exptl Setup'!A229</f>
        <v>222</v>
      </c>
      <c r="B231" s="15" t="str">
        <f>'Exptl Setup'!B229</f>
        <v>MTT No Till</v>
      </c>
      <c r="C231" s="15" t="str">
        <f>'Exptl Setup'!C229</f>
        <v>f</v>
      </c>
      <c r="D231" s="15">
        <f>'Exptl Setup'!D229</f>
        <v>48</v>
      </c>
      <c r="E231" s="15" t="str">
        <f>'Exptl Setup'!E229</f>
        <v>-</v>
      </c>
      <c r="F231" s="15">
        <f>'Exptl Setup'!F229</f>
        <v>31.998000000000001</v>
      </c>
      <c r="G231" s="18">
        <f>'Exptl Setup'!G229</f>
        <v>25.000800612263212</v>
      </c>
      <c r="H231" s="22">
        <v>0</v>
      </c>
      <c r="I231" s="18"/>
      <c r="J231" s="23"/>
      <c r="K231" s="154">
        <v>688.72847999999999</v>
      </c>
      <c r="L231" s="19">
        <v>4294.3019999999997</v>
      </c>
      <c r="M231" s="19"/>
      <c r="N231" s="19"/>
      <c r="O231" s="19"/>
      <c r="P231" s="19"/>
      <c r="Q231" s="311">
        <f t="shared" si="6"/>
        <v>192.48109713845759</v>
      </c>
      <c r="R231">
        <f t="shared" si="7"/>
        <v>7005.2094985384683</v>
      </c>
      <c r="S231" s="188"/>
      <c r="T231" s="188"/>
      <c r="U231" s="188"/>
      <c r="V231" s="188"/>
      <c r="W231" s="75"/>
    </row>
    <row r="232" spans="1:23">
      <c r="A232" s="15">
        <f>'Exptl Setup'!A230</f>
        <v>223</v>
      </c>
      <c r="B232" s="15" t="str">
        <f>'Exptl Setup'!B230</f>
        <v>MTT No Till</v>
      </c>
      <c r="C232" s="15" t="str">
        <f>'Exptl Setup'!C230</f>
        <v>a</v>
      </c>
      <c r="D232" s="15">
        <f>'Exptl Setup'!D230</f>
        <v>48</v>
      </c>
      <c r="E232" s="15" t="str">
        <f>'Exptl Setup'!E230</f>
        <v>-</v>
      </c>
      <c r="F232" s="15">
        <f>'Exptl Setup'!F230</f>
        <v>31.997</v>
      </c>
      <c r="G232" s="18">
        <f>'Exptl Setup'!G230</f>
        <v>25.000019288411337</v>
      </c>
      <c r="H232" s="22">
        <v>6</v>
      </c>
      <c r="I232" s="18"/>
      <c r="J232" s="23"/>
      <c r="K232" s="20">
        <v>3.39</v>
      </c>
      <c r="L232" s="19">
        <v>10314.894</v>
      </c>
      <c r="M232" s="19"/>
      <c r="N232" s="19"/>
      <c r="O232" s="19"/>
      <c r="P232" s="19"/>
      <c r="Q232" s="311">
        <f t="shared" si="6"/>
        <v>0.9474138768</v>
      </c>
      <c r="R232">
        <f t="shared" si="7"/>
        <v>34.481516408333235</v>
      </c>
      <c r="S232" s="188"/>
      <c r="T232" s="188"/>
      <c r="U232" s="188"/>
      <c r="V232" s="188"/>
      <c r="W232" s="75"/>
    </row>
    <row r="233" spans="1:23">
      <c r="A233" s="15">
        <f>'Exptl Setup'!A231</f>
        <v>224</v>
      </c>
      <c r="B233" s="15" t="str">
        <f>'Exptl Setup'!B231</f>
        <v>MTT No Till</v>
      </c>
      <c r="C233" s="15" t="str">
        <f>'Exptl Setup'!C231</f>
        <v>b</v>
      </c>
      <c r="D233" s="15">
        <f>'Exptl Setup'!D231</f>
        <v>48</v>
      </c>
      <c r="E233" s="15" t="str">
        <f>'Exptl Setup'!E231</f>
        <v>-</v>
      </c>
      <c r="F233" s="15">
        <f>'Exptl Setup'!F231</f>
        <v>31.998999999999999</v>
      </c>
      <c r="G233" s="18">
        <f>'Exptl Setup'!G231</f>
        <v>25.001581936115088</v>
      </c>
      <c r="H233" s="22">
        <v>6</v>
      </c>
      <c r="I233" s="18"/>
      <c r="J233" s="23"/>
      <c r="K233" s="20">
        <v>0.22800000000000001</v>
      </c>
      <c r="L233" s="19">
        <v>7011.8609999999999</v>
      </c>
      <c r="M233" s="19"/>
      <c r="N233" s="19"/>
      <c r="O233" s="19"/>
      <c r="P233" s="19"/>
      <c r="Q233" s="311">
        <f t="shared" si="6"/>
        <v>6.3719871359999999E-2</v>
      </c>
      <c r="R233">
        <f t="shared" si="7"/>
        <v>2.318965889125554</v>
      </c>
      <c r="S233" s="188"/>
      <c r="T233" s="188"/>
      <c r="U233" s="188"/>
      <c r="V233" s="188"/>
      <c r="W233" s="75"/>
    </row>
    <row r="234" spans="1:23">
      <c r="A234" s="15">
        <f>'Exptl Setup'!A232</f>
        <v>225</v>
      </c>
      <c r="B234" s="15" t="str">
        <f>'Exptl Setup'!B232</f>
        <v>MTT No Till</v>
      </c>
      <c r="C234" s="15" t="str">
        <f>'Exptl Setup'!C232</f>
        <v>c</v>
      </c>
      <c r="D234" s="15">
        <f>'Exptl Setup'!D232</f>
        <v>48</v>
      </c>
      <c r="E234" s="15" t="str">
        <f>'Exptl Setup'!E232</f>
        <v>-</v>
      </c>
      <c r="F234" s="15">
        <f>'Exptl Setup'!F232</f>
        <v>32.01</v>
      </c>
      <c r="G234" s="18">
        <f>'Exptl Setup'!G232</f>
        <v>25.010176498485698</v>
      </c>
      <c r="H234" s="22">
        <v>6</v>
      </c>
      <c r="I234" s="18"/>
      <c r="J234" s="23"/>
      <c r="K234" s="20">
        <v>0.20499999999999999</v>
      </c>
      <c r="L234" s="19">
        <v>9710.3469999999998</v>
      </c>
      <c r="M234" s="19"/>
      <c r="N234" s="19"/>
      <c r="O234" s="19"/>
      <c r="P234" s="19"/>
      <c r="Q234" s="311">
        <f t="shared" si="6"/>
        <v>5.7291989599999996E-2</v>
      </c>
      <c r="R234">
        <f t="shared" si="7"/>
        <v>2.0843186126945477</v>
      </c>
      <c r="S234" s="188"/>
      <c r="T234" s="188"/>
      <c r="U234" s="188"/>
      <c r="V234" s="188"/>
      <c r="W234" s="75"/>
    </row>
    <row r="235" spans="1:23">
      <c r="A235" s="15">
        <f>'Exptl Setup'!A233</f>
        <v>226</v>
      </c>
      <c r="B235" s="15" t="str">
        <f>'Exptl Setup'!B233</f>
        <v>MTT No Till</v>
      </c>
      <c r="C235" s="15" t="str">
        <f>'Exptl Setup'!C233</f>
        <v>d</v>
      </c>
      <c r="D235" s="15">
        <f>'Exptl Setup'!D233</f>
        <v>48</v>
      </c>
      <c r="E235" s="15" t="str">
        <f>'Exptl Setup'!E233</f>
        <v>-</v>
      </c>
      <c r="F235" s="15">
        <f>'Exptl Setup'!F233</f>
        <v>32.003999999999998</v>
      </c>
      <c r="G235" s="18">
        <f>'Exptl Setup'!G233</f>
        <v>25.005488555374455</v>
      </c>
      <c r="H235" s="22">
        <v>6</v>
      </c>
      <c r="I235" s="18">
        <v>6.73</v>
      </c>
      <c r="J235" s="18">
        <v>5.7</v>
      </c>
      <c r="K235" s="20">
        <v>0.13</v>
      </c>
      <c r="L235" s="19">
        <v>10549.027</v>
      </c>
      <c r="M235" s="19">
        <v>0.34470000000000001</v>
      </c>
      <c r="N235" s="19">
        <v>14.66</v>
      </c>
      <c r="O235" s="19">
        <v>23.955998689956338</v>
      </c>
      <c r="P235" s="19">
        <v>289.20000000000005</v>
      </c>
      <c r="Q235" s="311">
        <f t="shared" si="6"/>
        <v>3.6331505600000001E-2</v>
      </c>
      <c r="R235">
        <f t="shared" si="7"/>
        <v>1.3220108222761517</v>
      </c>
      <c r="S235" s="188"/>
      <c r="T235" s="188"/>
      <c r="U235" s="188"/>
      <c r="V235" s="188"/>
      <c r="W235" s="75"/>
    </row>
    <row r="236" spans="1:23">
      <c r="A236" s="15">
        <f>'Exptl Setup'!A234</f>
        <v>227</v>
      </c>
      <c r="B236" s="15" t="str">
        <f>'Exptl Setup'!B234</f>
        <v>MTT No Till</v>
      </c>
      <c r="C236" s="15" t="str">
        <f>'Exptl Setup'!C234</f>
        <v>e</v>
      </c>
      <c r="D236" s="15">
        <f>'Exptl Setup'!D234</f>
        <v>48</v>
      </c>
      <c r="E236" s="15" t="str">
        <f>'Exptl Setup'!E234</f>
        <v>-</v>
      </c>
      <c r="F236" s="15">
        <f>'Exptl Setup'!F234</f>
        <v>31.995999999999999</v>
      </c>
      <c r="G236" s="18">
        <f>'Exptl Setup'!G234</f>
        <v>24.999237964559462</v>
      </c>
      <c r="H236" s="22">
        <v>6</v>
      </c>
      <c r="I236" s="18">
        <v>6.73</v>
      </c>
      <c r="J236" s="18">
        <v>5.64</v>
      </c>
      <c r="K236" s="20">
        <v>0.36099999999999999</v>
      </c>
      <c r="L236" s="19">
        <v>10285.868</v>
      </c>
      <c r="M236" s="19">
        <v>0.23375000000000001</v>
      </c>
      <c r="N236" s="19">
        <v>15.545</v>
      </c>
      <c r="O236" s="19">
        <v>22.592429039301315</v>
      </c>
      <c r="P236" s="19">
        <v>318.2</v>
      </c>
      <c r="Q236" s="311">
        <f t="shared" si="6"/>
        <v>0.10088979631999999</v>
      </c>
      <c r="R236">
        <f t="shared" si="7"/>
        <v>3.6720402556476932</v>
      </c>
      <c r="S236" s="188"/>
      <c r="T236" s="188"/>
      <c r="U236" s="188"/>
      <c r="V236" s="188"/>
      <c r="W236" s="75"/>
    </row>
    <row r="237" spans="1:23">
      <c r="A237" s="15">
        <f>'Exptl Setup'!A235</f>
        <v>228</v>
      </c>
      <c r="B237" s="15" t="str">
        <f>'Exptl Setup'!B235</f>
        <v>MTT No Till</v>
      </c>
      <c r="C237" s="15" t="str">
        <f>'Exptl Setup'!C235</f>
        <v>f</v>
      </c>
      <c r="D237" s="15">
        <f>'Exptl Setup'!D235</f>
        <v>48</v>
      </c>
      <c r="E237" s="15" t="str">
        <f>'Exptl Setup'!E235</f>
        <v>-</v>
      </c>
      <c r="F237" s="15">
        <f>'Exptl Setup'!F235</f>
        <v>31.997</v>
      </c>
      <c r="G237" s="18">
        <f>'Exptl Setup'!G235</f>
        <v>25.000019288411337</v>
      </c>
      <c r="H237" s="22">
        <v>6</v>
      </c>
      <c r="I237" s="18"/>
      <c r="J237" s="23"/>
      <c r="K237" s="20">
        <v>0.17499999999999999</v>
      </c>
      <c r="L237" s="19">
        <v>8375.4779999999992</v>
      </c>
      <c r="M237" s="19"/>
      <c r="N237" s="19"/>
      <c r="O237" s="19"/>
      <c r="P237" s="19"/>
      <c r="Q237" s="311">
        <f t="shared" si="6"/>
        <v>4.8907795999999996E-2</v>
      </c>
      <c r="R237">
        <f t="shared" si="7"/>
        <v>1.7800192836160222</v>
      </c>
      <c r="S237" s="188"/>
      <c r="T237" s="188"/>
      <c r="U237" s="188"/>
      <c r="V237" s="188"/>
      <c r="W237" s="75"/>
    </row>
    <row r="238" spans="1:23">
      <c r="A238" s="15">
        <f>'Exptl Setup'!A236</f>
        <v>229</v>
      </c>
      <c r="B238" s="15" t="str">
        <f>'Exptl Setup'!B236</f>
        <v>MTT No Till</v>
      </c>
      <c r="C238" s="15" t="str">
        <f>'Exptl Setup'!C236</f>
        <v>a</v>
      </c>
      <c r="D238" s="15">
        <f>'Exptl Setup'!D236</f>
        <v>48</v>
      </c>
      <c r="E238" s="15" t="str">
        <f>'Exptl Setup'!E236</f>
        <v>-</v>
      </c>
      <c r="F238" s="15">
        <f>'Exptl Setup'!F236</f>
        <v>31.994</v>
      </c>
      <c r="G238" s="18">
        <f>'Exptl Setup'!G236</f>
        <v>24.997675316855716</v>
      </c>
      <c r="H238" s="22">
        <v>16</v>
      </c>
      <c r="I238" s="18"/>
      <c r="J238" s="23"/>
      <c r="K238" s="20">
        <v>0.06</v>
      </c>
      <c r="L238" s="19">
        <v>4745.1549999999997</v>
      </c>
      <c r="M238" s="19"/>
      <c r="N238" s="19"/>
      <c r="O238" s="19"/>
      <c r="P238" s="19"/>
      <c r="Q238" s="311">
        <f t="shared" si="6"/>
        <v>1.6768387199999998E-2</v>
      </c>
      <c r="R238">
        <f t="shared" si="7"/>
        <v>0.610349551446559</v>
      </c>
      <c r="S238" s="188"/>
      <c r="T238" s="188"/>
      <c r="U238" s="188"/>
      <c r="V238" s="188"/>
      <c r="W238" s="75"/>
    </row>
    <row r="239" spans="1:23">
      <c r="A239" s="15">
        <f>'Exptl Setup'!A237</f>
        <v>230</v>
      </c>
      <c r="B239" s="15" t="str">
        <f>'Exptl Setup'!B237</f>
        <v>MTT No Till</v>
      </c>
      <c r="C239" s="15" t="str">
        <f>'Exptl Setup'!C237</f>
        <v>b</v>
      </c>
      <c r="D239" s="15">
        <f>'Exptl Setup'!D237</f>
        <v>48</v>
      </c>
      <c r="E239" s="15" t="str">
        <f>'Exptl Setup'!E237</f>
        <v>-</v>
      </c>
      <c r="F239" s="15">
        <f>'Exptl Setup'!F237</f>
        <v>31.995999999999999</v>
      </c>
      <c r="G239" s="18">
        <f>'Exptl Setup'!G237</f>
        <v>24.999237964559462</v>
      </c>
      <c r="H239" s="22">
        <v>16</v>
      </c>
      <c r="I239" s="18"/>
      <c r="J239" s="23"/>
      <c r="K239" s="20">
        <v>2.306</v>
      </c>
      <c r="L239" s="19">
        <v>2630.761</v>
      </c>
      <c r="M239" s="19"/>
      <c r="N239" s="19"/>
      <c r="O239" s="19"/>
      <c r="P239" s="19"/>
      <c r="Q239" s="311">
        <f t="shared" si="6"/>
        <v>0.64446501472000006</v>
      </c>
      <c r="R239">
        <f t="shared" si="7"/>
        <v>23.456301466824332</v>
      </c>
      <c r="S239" s="188"/>
      <c r="T239" s="188"/>
      <c r="U239" s="188"/>
      <c r="V239" s="188"/>
      <c r="W239" s="75"/>
    </row>
    <row r="240" spans="1:23">
      <c r="A240" s="15">
        <f>'Exptl Setup'!A238</f>
        <v>231</v>
      </c>
      <c r="B240" s="15" t="str">
        <f>'Exptl Setup'!B238</f>
        <v>MTT No Till</v>
      </c>
      <c r="C240" s="15" t="str">
        <f>'Exptl Setup'!C238</f>
        <v>c</v>
      </c>
      <c r="D240" s="15">
        <f>'Exptl Setup'!D238</f>
        <v>48</v>
      </c>
      <c r="E240" s="15" t="str">
        <f>'Exptl Setup'!E238</f>
        <v>-</v>
      </c>
      <c r="F240" s="15">
        <f>'Exptl Setup'!F238</f>
        <v>31.997</v>
      </c>
      <c r="G240" s="18">
        <f>'Exptl Setup'!G238</f>
        <v>25.000019288411337</v>
      </c>
      <c r="H240" s="22">
        <v>16</v>
      </c>
      <c r="I240" s="18"/>
      <c r="J240" s="23"/>
      <c r="K240" s="20">
        <v>7.2999999999999995E-2</v>
      </c>
      <c r="L240" s="19">
        <v>4603.8999999999996</v>
      </c>
      <c r="M240" s="19"/>
      <c r="N240" s="19"/>
      <c r="O240" s="19"/>
      <c r="P240" s="19"/>
      <c r="Q240" s="311">
        <f t="shared" si="6"/>
        <v>2.0401537760000001E-2</v>
      </c>
      <c r="R240">
        <f t="shared" si="7"/>
        <v>0.74252232973696941</v>
      </c>
      <c r="S240" s="188"/>
      <c r="T240" s="188"/>
      <c r="U240" s="188"/>
      <c r="V240" s="188"/>
      <c r="W240" s="75"/>
    </row>
    <row r="241" spans="1:23">
      <c r="A241" s="15">
        <f>'Exptl Setup'!A239</f>
        <v>232</v>
      </c>
      <c r="B241" s="15" t="str">
        <f>'Exptl Setup'!B239</f>
        <v>MTT No Till</v>
      </c>
      <c r="C241" s="15" t="str">
        <f>'Exptl Setup'!C239</f>
        <v>d</v>
      </c>
      <c r="D241" s="15">
        <f>'Exptl Setup'!D239</f>
        <v>48</v>
      </c>
      <c r="E241" s="15" t="str">
        <f>'Exptl Setup'!E239</f>
        <v>-</v>
      </c>
      <c r="F241" s="15">
        <f>'Exptl Setup'!F239</f>
        <v>32.003</v>
      </c>
      <c r="G241" s="18">
        <f>'Exptl Setup'!G239</f>
        <v>25.004707231522584</v>
      </c>
      <c r="H241" s="22">
        <v>16</v>
      </c>
      <c r="I241" s="18">
        <v>8.35</v>
      </c>
      <c r="J241" s="18">
        <v>6.7</v>
      </c>
      <c r="K241" s="20">
        <v>4.4999999999999998E-2</v>
      </c>
      <c r="L241" s="19">
        <v>5281.701</v>
      </c>
      <c r="M241" s="19">
        <v>4.8570000000000002</v>
      </c>
      <c r="N241" s="19">
        <v>44.19</v>
      </c>
      <c r="O241" s="19">
        <v>363.25299999999999</v>
      </c>
      <c r="P241" s="19">
        <v>5184</v>
      </c>
      <c r="Q241" s="311">
        <f t="shared" si="6"/>
        <v>1.2576290400000001E-2</v>
      </c>
      <c r="R241">
        <f t="shared" si="7"/>
        <v>0.45763343004518042</v>
      </c>
      <c r="S241" s="188"/>
      <c r="T241" s="188"/>
      <c r="U241" s="188"/>
      <c r="V241" s="188"/>
      <c r="W241" s="75"/>
    </row>
    <row r="242" spans="1:23">
      <c r="A242" s="15">
        <f>'Exptl Setup'!A240</f>
        <v>233</v>
      </c>
      <c r="B242" s="15" t="str">
        <f>'Exptl Setup'!B240</f>
        <v>MTT No Till</v>
      </c>
      <c r="C242" s="15" t="str">
        <f>'Exptl Setup'!C240</f>
        <v>e</v>
      </c>
      <c r="D242" s="15">
        <f>'Exptl Setup'!D240</f>
        <v>48</v>
      </c>
      <c r="E242" s="15" t="str">
        <f>'Exptl Setup'!E240</f>
        <v>-</v>
      </c>
      <c r="F242" s="15">
        <f>'Exptl Setup'!F240</f>
        <v>31.995000000000001</v>
      </c>
      <c r="G242" s="18">
        <f>'Exptl Setup'!G240</f>
        <v>24.998456640707591</v>
      </c>
      <c r="H242" s="22">
        <v>16</v>
      </c>
      <c r="I242" s="18">
        <v>8.4</v>
      </c>
      <c r="J242" s="18">
        <v>6.48</v>
      </c>
      <c r="K242" s="20">
        <v>4.4999999999999998E-2</v>
      </c>
      <c r="L242" s="19">
        <v>4888.0680000000002</v>
      </c>
      <c r="M242" s="19">
        <v>4.2050000000000001</v>
      </c>
      <c r="N242" s="19">
        <v>41.83</v>
      </c>
      <c r="O242" s="19">
        <v>312.66500000000002</v>
      </c>
      <c r="P242" s="19">
        <v>4885</v>
      </c>
      <c r="Q242" s="311">
        <f t="shared" si="6"/>
        <v>1.2576290400000001E-2</v>
      </c>
      <c r="R242">
        <f t="shared" si="7"/>
        <v>0.45774785628179121</v>
      </c>
      <c r="S242" s="188"/>
      <c r="T242" s="188"/>
      <c r="U242" s="188"/>
      <c r="V242" s="188"/>
      <c r="W242" s="75"/>
    </row>
    <row r="243" spans="1:23">
      <c r="A243" s="15">
        <f>'Exptl Setup'!A241</f>
        <v>234</v>
      </c>
      <c r="B243" s="15" t="str">
        <f>'Exptl Setup'!B241</f>
        <v>MTT No Till</v>
      </c>
      <c r="C243" s="15" t="str">
        <f>'Exptl Setup'!C241</f>
        <v>f</v>
      </c>
      <c r="D243" s="15">
        <f>'Exptl Setup'!D241</f>
        <v>48</v>
      </c>
      <c r="E243" s="15" t="str">
        <f>'Exptl Setup'!E241</f>
        <v>-</v>
      </c>
      <c r="F243" s="15">
        <f>'Exptl Setup'!F241</f>
        <v>32.000999999999998</v>
      </c>
      <c r="G243" s="18">
        <f>'Exptl Setup'!G241</f>
        <v>25.003144583818834</v>
      </c>
      <c r="H243" s="22">
        <v>16</v>
      </c>
      <c r="I243" s="18"/>
      <c r="J243" s="23"/>
      <c r="K243" s="20">
        <v>4.8000000000000001E-2</v>
      </c>
      <c r="L243" s="19">
        <v>2793.8530000000001</v>
      </c>
      <c r="M243" s="19"/>
      <c r="N243" s="19"/>
      <c r="O243" s="19"/>
      <c r="P243" s="19"/>
      <c r="Q243" s="311">
        <f t="shared" si="6"/>
        <v>1.3414709759999999E-2</v>
      </c>
      <c r="R243">
        <f t="shared" si="7"/>
        <v>0.48817283332348899</v>
      </c>
      <c r="S243" s="188"/>
      <c r="T243" s="188"/>
      <c r="U243" s="188"/>
      <c r="V243" s="188"/>
      <c r="W243" s="75"/>
    </row>
    <row r="244" spans="1:23">
      <c r="A244" s="15">
        <f>'Exptl Setup'!A242</f>
        <v>235</v>
      </c>
      <c r="B244" s="15" t="str">
        <f>'Exptl Setup'!B242</f>
        <v>MTT No Till</v>
      </c>
      <c r="C244" s="15" t="str">
        <f>'Exptl Setup'!C242</f>
        <v>a</v>
      </c>
      <c r="D244" s="15">
        <f>'Exptl Setup'!D242</f>
        <v>48</v>
      </c>
      <c r="E244" s="15" t="str">
        <f>'Exptl Setup'!E242</f>
        <v>-</v>
      </c>
      <c r="F244" s="15">
        <f>'Exptl Setup'!F242</f>
        <v>32.003</v>
      </c>
      <c r="G244" s="18">
        <f>'Exptl Setup'!G242</f>
        <v>25.004707231522584</v>
      </c>
      <c r="H244" s="22">
        <v>20</v>
      </c>
      <c r="I244" s="18"/>
      <c r="J244" s="23"/>
      <c r="K244" s="20">
        <v>0.14099999999999999</v>
      </c>
      <c r="L244" s="19">
        <v>344.98200000000003</v>
      </c>
      <c r="M244" s="19"/>
      <c r="N244" s="19"/>
      <c r="O244" s="19"/>
      <c r="P244" s="19"/>
      <c r="Q244" s="311">
        <f t="shared" si="6"/>
        <v>3.940570991999999E-2</v>
      </c>
      <c r="R244">
        <f t="shared" si="7"/>
        <v>1.4339180808082317</v>
      </c>
      <c r="S244" s="188"/>
      <c r="T244" s="188"/>
      <c r="U244" s="188"/>
      <c r="V244" s="188"/>
      <c r="W244" s="75"/>
    </row>
    <row r="245" spans="1:23">
      <c r="A245" s="15">
        <f>'Exptl Setup'!A243</f>
        <v>236</v>
      </c>
      <c r="B245" s="15" t="str">
        <f>'Exptl Setup'!B243</f>
        <v>MTT No Till</v>
      </c>
      <c r="C245" s="15" t="str">
        <f>'Exptl Setup'!C243</f>
        <v>b</v>
      </c>
      <c r="D245" s="15">
        <f>'Exptl Setup'!D243</f>
        <v>48</v>
      </c>
      <c r="E245" s="15" t="str">
        <f>'Exptl Setup'!E243</f>
        <v>-</v>
      </c>
      <c r="F245" s="15">
        <f>'Exptl Setup'!F243</f>
        <v>32.01</v>
      </c>
      <c r="G245" s="18">
        <f>'Exptl Setup'!G243</f>
        <v>25.010176498485698</v>
      </c>
      <c r="H245" s="22">
        <v>20</v>
      </c>
      <c r="I245" s="18"/>
      <c r="J245" s="23"/>
      <c r="K245" s="20">
        <v>2.157</v>
      </c>
      <c r="L245" s="19">
        <v>281.40300000000002</v>
      </c>
      <c r="M245" s="19"/>
      <c r="N245" s="19"/>
      <c r="O245" s="19"/>
      <c r="P245" s="19"/>
      <c r="Q245" s="311">
        <f t="shared" si="6"/>
        <v>0.60282351984000004</v>
      </c>
      <c r="R245">
        <f t="shared" si="7"/>
        <v>21.931098768693367</v>
      </c>
      <c r="S245" s="188"/>
      <c r="T245" s="188"/>
      <c r="U245" s="188"/>
      <c r="V245" s="188"/>
      <c r="W245" s="75"/>
    </row>
    <row r="246" spans="1:23">
      <c r="A246" s="15">
        <f>'Exptl Setup'!A244</f>
        <v>237</v>
      </c>
      <c r="B246" s="15" t="str">
        <f>'Exptl Setup'!B244</f>
        <v>MTT No Till</v>
      </c>
      <c r="C246" s="15" t="str">
        <f>'Exptl Setup'!C244</f>
        <v>c</v>
      </c>
      <c r="D246" s="15">
        <f>'Exptl Setup'!D244</f>
        <v>48</v>
      </c>
      <c r="E246" s="15" t="str">
        <f>'Exptl Setup'!E244</f>
        <v>-</v>
      </c>
      <c r="F246" s="15">
        <f>'Exptl Setup'!F244</f>
        <v>31.998000000000001</v>
      </c>
      <c r="G246" s="18">
        <f>'Exptl Setup'!G244</f>
        <v>25.000800612263212</v>
      </c>
      <c r="H246" s="22">
        <v>20</v>
      </c>
      <c r="I246" s="18"/>
      <c r="J246" s="23"/>
      <c r="K246" s="20">
        <v>0.06</v>
      </c>
      <c r="L246" s="19">
        <v>566.67600000000004</v>
      </c>
      <c r="M246" s="19"/>
      <c r="N246" s="19"/>
      <c r="O246" s="19"/>
      <c r="P246" s="19"/>
      <c r="Q246" s="311">
        <f t="shared" si="6"/>
        <v>1.6768387199999998E-2</v>
      </c>
      <c r="R246">
        <f t="shared" si="7"/>
        <v>0.61027325298397428</v>
      </c>
      <c r="S246" s="188"/>
      <c r="T246" s="188"/>
      <c r="U246" s="188"/>
      <c r="V246" s="188"/>
      <c r="W246" s="75"/>
    </row>
    <row r="247" spans="1:23">
      <c r="A247" s="15">
        <f>'Exptl Setup'!A245</f>
        <v>238</v>
      </c>
      <c r="B247" s="15" t="str">
        <f>'Exptl Setup'!B245</f>
        <v>MTT No Till</v>
      </c>
      <c r="C247" s="15" t="str">
        <f>'Exptl Setup'!C245</f>
        <v>d</v>
      </c>
      <c r="D247" s="15">
        <f>'Exptl Setup'!D245</f>
        <v>48</v>
      </c>
      <c r="E247" s="15" t="str">
        <f>'Exptl Setup'!E245</f>
        <v>-</v>
      </c>
      <c r="F247" s="15">
        <f>'Exptl Setup'!F245</f>
        <v>32.006999999999998</v>
      </c>
      <c r="G247" s="18">
        <f>'Exptl Setup'!G245</f>
        <v>25.007832526930077</v>
      </c>
      <c r="H247" s="22">
        <v>20</v>
      </c>
      <c r="I247" s="18">
        <v>8.7100000000000009</v>
      </c>
      <c r="J247" s="18">
        <v>6.44</v>
      </c>
      <c r="K247" s="20">
        <v>9.2999999999999999E-2</v>
      </c>
      <c r="L247" s="19">
        <v>463.56900000000002</v>
      </c>
      <c r="M247" s="19">
        <v>6.3260000000000005</v>
      </c>
      <c r="N247" s="19">
        <v>50.87</v>
      </c>
      <c r="O247" s="19">
        <v>591.10399999999993</v>
      </c>
      <c r="P247" s="19">
        <v>6140</v>
      </c>
      <c r="Q247" s="311">
        <f t="shared" si="6"/>
        <v>2.599100016E-2</v>
      </c>
      <c r="R247">
        <f t="shared" si="7"/>
        <v>0.9456575593126777</v>
      </c>
      <c r="S247" s="188"/>
      <c r="T247" s="188"/>
      <c r="U247" s="188"/>
      <c r="V247" s="188"/>
      <c r="W247" s="75"/>
    </row>
    <row r="248" spans="1:23">
      <c r="A248" s="15">
        <f>'Exptl Setup'!A246</f>
        <v>239</v>
      </c>
      <c r="B248" s="15" t="str">
        <f>'Exptl Setup'!B246</f>
        <v>MTT No Till</v>
      </c>
      <c r="C248" s="15" t="str">
        <f>'Exptl Setup'!C246</f>
        <v>e</v>
      </c>
      <c r="D248" s="15">
        <f>'Exptl Setup'!D246</f>
        <v>48</v>
      </c>
      <c r="E248" s="15" t="str">
        <f>'Exptl Setup'!E246</f>
        <v>-</v>
      </c>
      <c r="F248" s="15">
        <f>'Exptl Setup'!F246</f>
        <v>31.989000000000001</v>
      </c>
      <c r="G248" s="18">
        <f>'Exptl Setup'!G246</f>
        <v>24.993768697596348</v>
      </c>
      <c r="H248" s="22">
        <v>20</v>
      </c>
      <c r="I248" s="18">
        <v>8.73</v>
      </c>
      <c r="J248" s="18">
        <v>6.36</v>
      </c>
      <c r="K248" s="20">
        <v>2.8000000000000001E-2</v>
      </c>
      <c r="L248" s="19">
        <v>348.02199999999999</v>
      </c>
      <c r="M248" s="19">
        <v>7.306</v>
      </c>
      <c r="N248" s="19">
        <v>48.879999999999995</v>
      </c>
      <c r="O248" s="19">
        <v>390.11400000000003</v>
      </c>
      <c r="P248" s="19">
        <v>7198</v>
      </c>
      <c r="Q248" s="311">
        <f t="shared" si="6"/>
        <v>7.825247359999999E-3</v>
      </c>
      <c r="R248">
        <f t="shared" si="7"/>
        <v>0.28487431063358959</v>
      </c>
      <c r="S248" s="188"/>
      <c r="T248" s="188"/>
      <c r="U248" s="188"/>
      <c r="V248" s="188"/>
      <c r="W248" s="75"/>
    </row>
    <row r="249" spans="1:23">
      <c r="A249" s="15">
        <f>'Exptl Setup'!A247</f>
        <v>240</v>
      </c>
      <c r="B249" s="15" t="str">
        <f>'Exptl Setup'!B247</f>
        <v>MTT No Till</v>
      </c>
      <c r="C249" s="15" t="str">
        <f>'Exptl Setup'!C247</f>
        <v>f</v>
      </c>
      <c r="D249" s="15">
        <f>'Exptl Setup'!D247</f>
        <v>48</v>
      </c>
      <c r="E249" s="15" t="str">
        <f>'Exptl Setup'!E247</f>
        <v>-</v>
      </c>
      <c r="F249" s="15">
        <f>'Exptl Setup'!F247</f>
        <v>31.995000000000001</v>
      </c>
      <c r="G249" s="18">
        <f>'Exptl Setup'!G247</f>
        <v>24.998456640707591</v>
      </c>
      <c r="H249" s="22">
        <v>20</v>
      </c>
      <c r="I249" s="18"/>
      <c r="J249" s="23"/>
      <c r="K249" s="20">
        <v>1.6419999999999999</v>
      </c>
      <c r="L249" s="19">
        <v>115.547</v>
      </c>
      <c r="M249" s="19"/>
      <c r="N249" s="19"/>
      <c r="O249" s="19"/>
      <c r="P249" s="19"/>
      <c r="Q249" s="311">
        <f t="shared" si="6"/>
        <v>0.45889486303999999</v>
      </c>
      <c r="R249">
        <f t="shared" si="7"/>
        <v>16.702710666993354</v>
      </c>
      <c r="S249" s="188"/>
      <c r="T249" s="188"/>
      <c r="U249" s="188"/>
      <c r="V249" s="188"/>
      <c r="W249" s="75"/>
    </row>
  </sheetData>
  <autoFilter ref="C8:H249"/>
  <mergeCells count="6">
    <mergeCell ref="A6:G6"/>
    <mergeCell ref="A1:G1"/>
    <mergeCell ref="A2:G2"/>
    <mergeCell ref="A3:G3"/>
    <mergeCell ref="A4:G4"/>
    <mergeCell ref="A5:G5"/>
  </mergeCells>
  <phoneticPr fontId="46" type="noConversion"/>
  <pageMargins left="0.7" right="0.7" top="0.75" bottom="0.75" header="0.3" footer="0.3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C199"/>
  <sheetViews>
    <sheetView topLeftCell="L1" workbookViewId="0">
      <pane ySplit="7" topLeftCell="A8" activePane="bottomLeft" state="frozen"/>
      <selection pane="bottomLeft" activeCell="AD14" sqref="AD14"/>
    </sheetView>
  </sheetViews>
  <sheetFormatPr defaultColWidth="8.85546875" defaultRowHeight="12.75"/>
  <cols>
    <col min="1" max="1" width="6" style="3" bestFit="1" customWidth="1"/>
    <col min="2" max="2" width="6" style="3" customWidth="1"/>
    <col min="3" max="3" width="9.85546875" style="3" bestFit="1" customWidth="1"/>
    <col min="4" max="4" width="8.85546875" style="3" bestFit="1" customWidth="1"/>
    <col min="5" max="5" width="14" style="3" bestFit="1" customWidth="1"/>
    <col min="6" max="6" width="10.85546875" style="118" bestFit="1" customWidth="1"/>
    <col min="7" max="9" width="8.85546875" style="118"/>
    <col min="10" max="10" width="9.42578125" style="118" bestFit="1" customWidth="1"/>
    <col min="11" max="11" width="12" style="118" bestFit="1" customWidth="1"/>
    <col min="12" max="12" width="13.42578125" style="118" bestFit="1" customWidth="1"/>
    <col min="13" max="14" width="13.42578125" style="118" customWidth="1"/>
    <col min="15" max="15" width="6.42578125" style="3" bestFit="1" customWidth="1"/>
    <col min="16" max="16" width="6" style="3" bestFit="1" customWidth="1"/>
    <col min="17" max="17" width="6.42578125" style="3" bestFit="1" customWidth="1"/>
    <col min="18" max="18" width="8" style="3" bestFit="1" customWidth="1"/>
    <col min="19" max="19" width="7.42578125" style="3" bestFit="1" customWidth="1"/>
    <col min="20" max="20" width="8.85546875" style="3"/>
    <col min="21" max="21" width="13.140625" style="3" bestFit="1" customWidth="1"/>
    <col min="22" max="22" width="9.7109375" style="3" bestFit="1" customWidth="1"/>
    <col min="23" max="23" width="9.7109375" style="3" customWidth="1"/>
    <col min="24" max="24" width="8.42578125" style="3" customWidth="1"/>
    <col min="25" max="25" width="9" style="3" customWidth="1"/>
    <col min="26" max="26" width="12" style="3" bestFit="1" customWidth="1"/>
    <col min="27" max="30" width="8.85546875" style="3"/>
    <col min="31" max="31" width="8.85546875" style="30"/>
    <col min="32" max="32" width="13.140625" style="30" customWidth="1"/>
    <col min="33" max="33" width="16.28515625" style="30" customWidth="1"/>
    <col min="34" max="36" width="12" style="30" customWidth="1"/>
    <col min="37" max="37" width="17" style="30" customWidth="1"/>
    <col min="38" max="38" width="14.5703125" style="30" customWidth="1"/>
    <col min="39" max="40" width="12" style="30" customWidth="1"/>
    <col min="41" max="57" width="12" style="3" customWidth="1"/>
    <col min="58" max="58" width="11" style="3" customWidth="1"/>
    <col min="59" max="63" width="12" style="3" customWidth="1"/>
    <col min="64" max="64" width="11" style="3" customWidth="1"/>
    <col min="65" max="72" width="12" style="3" customWidth="1"/>
    <col min="73" max="73" width="11" style="3" customWidth="1"/>
    <col min="74" max="91" width="12" style="3" customWidth="1"/>
    <col min="92" max="93" width="11" style="3" customWidth="1"/>
    <col min="94" max="95" width="12" style="3" customWidth="1"/>
    <col min="96" max="96" width="10" style="3" customWidth="1"/>
    <col min="97" max="101" width="12" style="3" customWidth="1"/>
    <col min="102" max="102" width="11" style="3" customWidth="1"/>
    <col min="103" max="104" width="12" style="3" customWidth="1"/>
    <col min="105" max="105" width="11" style="3" customWidth="1"/>
    <col min="106" max="111" width="12" style="3" customWidth="1"/>
    <col min="112" max="112" width="11" style="3" customWidth="1"/>
    <col min="113" max="118" width="12" style="3" customWidth="1"/>
    <col min="119" max="119" width="11" style="3" customWidth="1"/>
    <col min="120" max="125" width="12" style="3" customWidth="1"/>
    <col min="126" max="131" width="16.28515625" style="3" bestFit="1" customWidth="1"/>
    <col min="132" max="133" width="17" style="3" bestFit="1" customWidth="1"/>
    <col min="134" max="16384" width="8.85546875" style="3"/>
  </cols>
  <sheetData>
    <row r="1" spans="1:133">
      <c r="A1" s="76" t="s">
        <v>106</v>
      </c>
      <c r="B1" s="76"/>
      <c r="C1" s="76"/>
      <c r="D1" s="291"/>
      <c r="E1" s="44">
        <v>2.65</v>
      </c>
    </row>
    <row r="2" spans="1:133">
      <c r="A2" s="76" t="s">
        <v>20</v>
      </c>
      <c r="B2" s="76"/>
      <c r="C2" s="76"/>
      <c r="D2" s="291"/>
      <c r="E2" s="78">
        <v>0.75900000000000001</v>
      </c>
      <c r="H2" s="174" t="s">
        <v>119</v>
      </c>
      <c r="I2" s="174"/>
      <c r="J2" s="174" t="s">
        <v>120</v>
      </c>
      <c r="K2" s="174">
        <v>8.3140000000000001</v>
      </c>
      <c r="N2" s="3">
        <v>5</v>
      </c>
      <c r="P2" s="3" t="s">
        <v>153</v>
      </c>
    </row>
    <row r="3" spans="1:133">
      <c r="A3" s="76" t="s">
        <v>108</v>
      </c>
      <c r="B3" s="76"/>
      <c r="C3" s="76"/>
      <c r="D3" s="291"/>
      <c r="E3" s="44">
        <v>101.325</v>
      </c>
      <c r="H3" s="174" t="s">
        <v>121</v>
      </c>
      <c r="I3" s="174"/>
      <c r="J3" s="174" t="s">
        <v>122</v>
      </c>
      <c r="K3" s="174">
        <v>293</v>
      </c>
      <c r="N3" s="3">
        <v>2</v>
      </c>
      <c r="P3" s="3" t="s">
        <v>154</v>
      </c>
    </row>
    <row r="4" spans="1:133">
      <c r="A4" s="76" t="s">
        <v>138</v>
      </c>
      <c r="B4" s="76"/>
      <c r="C4" s="76"/>
      <c r="D4" s="291"/>
      <c r="E4" s="80">
        <v>44.009639999999997</v>
      </c>
      <c r="H4" s="174"/>
      <c r="I4" s="174"/>
      <c r="J4" s="174" t="s">
        <v>123</v>
      </c>
      <c r="K4" s="174">
        <v>101.33</v>
      </c>
      <c r="N4" s="3">
        <v>67.349999999999994</v>
      </c>
      <c r="P4" s="3" t="s">
        <v>155</v>
      </c>
    </row>
    <row r="5" spans="1:133">
      <c r="A5" s="76" t="s">
        <v>110</v>
      </c>
      <c r="B5" s="76"/>
      <c r="C5" s="76"/>
      <c r="D5" s="291"/>
      <c r="E5" s="44">
        <v>8.3145100000000003</v>
      </c>
      <c r="H5" s="174"/>
      <c r="I5" s="174"/>
      <c r="J5" s="175" t="s">
        <v>124</v>
      </c>
      <c r="K5" s="175">
        <f>K2*K3/K4</f>
        <v>24.040284219875655</v>
      </c>
    </row>
    <row r="6" spans="1:133">
      <c r="A6" s="76" t="s">
        <v>0</v>
      </c>
      <c r="B6" s="76"/>
      <c r="C6" s="76"/>
      <c r="D6" s="291"/>
      <c r="E6" s="44">
        <v>293.14999999999998</v>
      </c>
      <c r="M6" s="3" t="s">
        <v>49</v>
      </c>
      <c r="N6" s="3" t="s">
        <v>51</v>
      </c>
      <c r="AA6" s="30"/>
      <c r="AB6" s="30"/>
      <c r="AC6" s="30"/>
    </row>
    <row r="7" spans="1:133" ht="39.75" thickBot="1">
      <c r="A7" s="9" t="s">
        <v>59</v>
      </c>
      <c r="B7" s="9" t="s">
        <v>61</v>
      </c>
      <c r="C7" s="10" t="s">
        <v>79</v>
      </c>
      <c r="D7" s="10" t="s">
        <v>80</v>
      </c>
      <c r="E7" s="10" t="s">
        <v>67</v>
      </c>
      <c r="F7" s="119" t="s">
        <v>156</v>
      </c>
      <c r="G7" s="120" t="s">
        <v>157</v>
      </c>
      <c r="H7" s="120" t="s">
        <v>158</v>
      </c>
      <c r="I7" s="120" t="s">
        <v>159</v>
      </c>
      <c r="J7" s="121" t="s">
        <v>160</v>
      </c>
      <c r="K7" s="122" t="s">
        <v>161</v>
      </c>
      <c r="L7" s="119" t="s">
        <v>162</v>
      </c>
      <c r="M7" s="10" t="s">
        <v>48</v>
      </c>
      <c r="N7" s="173" t="s">
        <v>50</v>
      </c>
      <c r="O7" s="33" t="s">
        <v>163</v>
      </c>
      <c r="P7" s="4" t="s">
        <v>156</v>
      </c>
      <c r="Q7" s="40" t="s">
        <v>157</v>
      </c>
      <c r="R7" s="3" t="s">
        <v>158</v>
      </c>
      <c r="S7" s="3" t="s">
        <v>159</v>
      </c>
      <c r="T7" s="10" t="s">
        <v>62</v>
      </c>
      <c r="U7" s="84" t="s">
        <v>147</v>
      </c>
      <c r="V7" s="84" t="s">
        <v>150</v>
      </c>
      <c r="W7" s="197" t="s">
        <v>127</v>
      </c>
      <c r="X7" s="304" t="s">
        <v>201</v>
      </c>
      <c r="Y7" s="174" t="s">
        <v>200</v>
      </c>
      <c r="Z7" s="174" t="s">
        <v>202</v>
      </c>
      <c r="AA7" s="306"/>
      <c r="AB7" s="306"/>
      <c r="AC7" s="306"/>
    </row>
    <row r="8" spans="1:133" ht="13.5" thickTop="1">
      <c r="A8" s="15">
        <f>'Exptl Setup'!A11</f>
        <v>4</v>
      </c>
      <c r="B8" s="15" t="str">
        <f>'Exptl Setup'!C11</f>
        <v>d</v>
      </c>
      <c r="C8" s="15">
        <f>'Exptl Setup'!D11</f>
        <v>16</v>
      </c>
      <c r="D8" s="15" t="str">
        <f>'Exptl Setup'!E11</f>
        <v>+</v>
      </c>
      <c r="E8" s="22">
        <f>'Exptl Setup'!K11</f>
        <v>0</v>
      </c>
      <c r="F8" s="91">
        <v>63.5</v>
      </c>
      <c r="G8" s="91">
        <v>63.51</v>
      </c>
      <c r="H8" s="91">
        <v>63.23</v>
      </c>
      <c r="I8" s="91">
        <f>AVERAGE(F8:H8)</f>
        <v>63.413333333333327</v>
      </c>
      <c r="J8" s="123">
        <f t="shared" ref="J8:J39" si="0">$N$4-$N$3-$N$2</f>
        <v>60.349999999999994</v>
      </c>
      <c r="K8" s="123">
        <f>((I8-$S$8)*$S$14)+$S$13</f>
        <v>612.01322776272741</v>
      </c>
      <c r="L8" s="91">
        <f>((K8/1000000)*J8)*((101.3*273)/(101.3*(273+22)))*(44/22.4)</f>
        <v>6.714031469814058E-2</v>
      </c>
      <c r="M8" s="177">
        <f>(((J8/1000)/$K$5)*(K8/1000000))*44*1000000</f>
        <v>67.600695155573007</v>
      </c>
      <c r="N8" s="178">
        <f>(((J8/1000)/$K$5)*(K8/1000000))*12*1000000000/5</f>
        <v>3687.3106448494354</v>
      </c>
      <c r="O8" s="92" t="s">
        <v>164</v>
      </c>
      <c r="P8" s="4">
        <v>28.85</v>
      </c>
      <c r="Q8" s="40">
        <v>28.81</v>
      </c>
      <c r="R8" s="3">
        <v>28.85</v>
      </c>
      <c r="S8" s="75">
        <f>AVERAGE(P8:R8)</f>
        <v>28.836666666666662</v>
      </c>
      <c r="T8" s="15">
        <v>31.997</v>
      </c>
      <c r="U8" s="19">
        <v>1003.3819999999999</v>
      </c>
      <c r="V8" s="3">
        <f>U8*260.57*10^-3</f>
        <v>261.45124773999999</v>
      </c>
      <c r="W8" s="3">
        <f>(((V8*$E$3*$E$4)/($E$5*$E$6*T8))*1000)*12/44</f>
        <v>4077.0674557729285</v>
      </c>
      <c r="X8" s="75">
        <f>N8</f>
        <v>3687.3106448494354</v>
      </c>
      <c r="Y8" s="75">
        <f>W8+X8</f>
        <v>7764.3781006223635</v>
      </c>
      <c r="Z8" s="3">
        <f>Y8/1000</f>
        <v>7.7643781006223636</v>
      </c>
      <c r="AA8" s="307"/>
      <c r="AB8" s="307"/>
      <c r="AC8" s="308"/>
    </row>
    <row r="9" spans="1:133">
      <c r="A9" s="15">
        <f>'Exptl Setup'!A12</f>
        <v>5</v>
      </c>
      <c r="B9" s="15" t="str">
        <f>'Exptl Setup'!C12</f>
        <v>e</v>
      </c>
      <c r="C9" s="15">
        <f>'Exptl Setup'!D12</f>
        <v>16</v>
      </c>
      <c r="D9" s="15" t="str">
        <f>'Exptl Setup'!E12</f>
        <v>+</v>
      </c>
      <c r="E9" s="22">
        <f>'Exptl Setup'!K12</f>
        <v>0</v>
      </c>
      <c r="F9" s="91">
        <v>59.62</v>
      </c>
      <c r="G9" s="91">
        <v>59.56</v>
      </c>
      <c r="H9" s="91">
        <v>59.48</v>
      </c>
      <c r="I9" s="91">
        <f t="shared" ref="I9:I30" si="1">AVERAGE(F9:H9)</f>
        <v>59.553333333333335</v>
      </c>
      <c r="J9" s="123">
        <f t="shared" si="0"/>
        <v>60.349999999999994</v>
      </c>
      <c r="K9" s="123">
        <f t="shared" ref="K9:K31" si="2">((I9-$S$8)*$S$14)+$S$13</f>
        <v>545.26608786557927</v>
      </c>
      <c r="L9" s="91">
        <f t="shared" ref="L9:L55" si="3">((K9/1000000)*J9)*((101.3*273)/(101.3*(273+22)))*(44/22.4)</f>
        <v>5.9817884765902649E-2</v>
      </c>
      <c r="M9" s="177">
        <f t="shared" ref="M9:M72" si="4">(((J9/1000)/$K$5)*(K9/1000000))*44*1000000</f>
        <v>60.228055395500988</v>
      </c>
      <c r="N9" s="178">
        <f t="shared" ref="N9:N72" si="5">(((J9/1000)/$K$5)*(K9/1000000))*12*1000000000/5</f>
        <v>3285.1666579364173</v>
      </c>
      <c r="O9" s="29">
        <v>357</v>
      </c>
      <c r="P9" s="4">
        <v>21.67</v>
      </c>
      <c r="Q9" s="40">
        <v>21.84</v>
      </c>
      <c r="R9" s="3">
        <v>21.94</v>
      </c>
      <c r="S9" s="75">
        <f>AVERAGE(P9:R9)</f>
        <v>21.816666666666666</v>
      </c>
      <c r="T9" s="15">
        <v>32.008000000000003</v>
      </c>
      <c r="U9" s="19">
        <v>925.07799999999997</v>
      </c>
      <c r="V9" s="3">
        <f t="shared" ref="V9:V72" si="6">U9*260.57*10^-3</f>
        <v>241.04757445999999</v>
      </c>
      <c r="W9" s="3">
        <f t="shared" ref="W9:W72" si="7">(((V9*$E$3*$E$4)/($E$5*$E$6*T9))*1000)*12/44</f>
        <v>3757.6010358307103</v>
      </c>
      <c r="X9" s="75">
        <f t="shared" ref="X9:X72" si="8">N9</f>
        <v>3285.1666579364173</v>
      </c>
      <c r="Y9" s="75">
        <f t="shared" ref="Y9:Y72" si="9">W9+X9</f>
        <v>7042.7676937671276</v>
      </c>
      <c r="Z9" s="3">
        <f t="shared" ref="Z9:Z72" si="10">Y9/1000</f>
        <v>7.0427676937671277</v>
      </c>
      <c r="AA9" s="307"/>
      <c r="AB9" s="307"/>
      <c r="AC9" s="308"/>
    </row>
    <row r="10" spans="1:133" ht="15">
      <c r="A10" s="15">
        <f>'Exptl Setup'!A13</f>
        <v>6</v>
      </c>
      <c r="B10" s="15" t="str">
        <f>'Exptl Setup'!C13</f>
        <v>f</v>
      </c>
      <c r="C10" s="15">
        <f>'Exptl Setup'!D13</f>
        <v>16</v>
      </c>
      <c r="D10" s="15" t="str">
        <f>'Exptl Setup'!E13</f>
        <v>+</v>
      </c>
      <c r="E10" s="22">
        <f>'Exptl Setup'!K13</f>
        <v>0</v>
      </c>
      <c r="F10" s="91">
        <v>65.38</v>
      </c>
      <c r="G10" s="91">
        <v>65.12</v>
      </c>
      <c r="H10" s="91">
        <v>65.17</v>
      </c>
      <c r="I10" s="91">
        <f t="shared" si="1"/>
        <v>65.223333333333343</v>
      </c>
      <c r="J10" s="123">
        <f t="shared" si="0"/>
        <v>60.349999999999994</v>
      </c>
      <c r="K10" s="123">
        <f t="shared" si="2"/>
        <v>643.31175709273748</v>
      </c>
      <c r="L10" s="91">
        <f t="shared" si="3"/>
        <v>7.0573889355485322E-2</v>
      </c>
      <c r="M10" s="177">
        <f t="shared" si="4"/>
        <v>71.057813799544618</v>
      </c>
      <c r="N10" s="178">
        <f t="shared" si="5"/>
        <v>3875.8807527024328</v>
      </c>
      <c r="O10" s="93">
        <v>10000</v>
      </c>
      <c r="P10" s="4">
        <v>635.79999999999995</v>
      </c>
      <c r="Q10" s="40">
        <v>635.6</v>
      </c>
      <c r="R10" s="3">
        <v>634.70000000000005</v>
      </c>
      <c r="S10" s="75">
        <f t="shared" ref="S10:S11" si="11">AVERAGE(P10:R10)</f>
        <v>635.36666666666667</v>
      </c>
      <c r="T10" s="15">
        <v>31.997</v>
      </c>
      <c r="U10" s="19">
        <v>1091.9749999999999</v>
      </c>
      <c r="V10" s="3">
        <f t="shared" si="6"/>
        <v>284.53592574999999</v>
      </c>
      <c r="W10" s="3">
        <f t="shared" si="7"/>
        <v>4437.0496331583017</v>
      </c>
      <c r="X10" s="75">
        <f t="shared" si="8"/>
        <v>3875.8807527024328</v>
      </c>
      <c r="Y10" s="75">
        <f t="shared" si="9"/>
        <v>8312.9303858607345</v>
      </c>
      <c r="Z10" s="3">
        <f t="shared" si="10"/>
        <v>8.3129303858607351</v>
      </c>
      <c r="AA10" s="307"/>
      <c r="AB10" s="307"/>
      <c r="AC10" s="308"/>
      <c r="AF10" s="230"/>
      <c r="AG10" s="230"/>
      <c r="AH10" s="230"/>
      <c r="AI10" s="230"/>
      <c r="AJ10" s="230"/>
      <c r="AK10" s="230"/>
      <c r="AL10" s="230"/>
      <c r="AM10" s="230"/>
      <c r="AN10" s="23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ht="15">
      <c r="A11" s="15">
        <f>'Exptl Setup'!A17</f>
        <v>10</v>
      </c>
      <c r="B11" s="15" t="str">
        <f>'Exptl Setup'!C17</f>
        <v>d</v>
      </c>
      <c r="C11" s="15">
        <f>'Exptl Setup'!D17</f>
        <v>16</v>
      </c>
      <c r="D11" s="15" t="str">
        <f>'Exptl Setup'!E17</f>
        <v>+</v>
      </c>
      <c r="E11" s="22">
        <f>'Exptl Setup'!K17</f>
        <v>5.9996203593550685</v>
      </c>
      <c r="F11" s="91">
        <v>110</v>
      </c>
      <c r="G11" s="91">
        <v>110</v>
      </c>
      <c r="H11" s="91">
        <v>110</v>
      </c>
      <c r="I11" s="91">
        <f t="shared" si="1"/>
        <v>110</v>
      </c>
      <c r="J11" s="123">
        <f t="shared" si="0"/>
        <v>60.349999999999994</v>
      </c>
      <c r="K11" s="123">
        <f t="shared" si="2"/>
        <v>1417.5901079030918</v>
      </c>
      <c r="L11" s="91">
        <f t="shared" si="3"/>
        <v>0.15551534123782726</v>
      </c>
      <c r="M11" s="177">
        <f t="shared" si="4"/>
        <v>156.58170835658032</v>
      </c>
      <c r="N11" s="178">
        <f t="shared" si="5"/>
        <v>8540.8204558134712</v>
      </c>
      <c r="O11" s="94">
        <v>50000</v>
      </c>
      <c r="P11" s="4">
        <v>2920</v>
      </c>
      <c r="Q11" s="4">
        <v>2914</v>
      </c>
      <c r="R11" s="3">
        <v>2898</v>
      </c>
      <c r="S11" s="75">
        <f t="shared" si="11"/>
        <v>2910.6666666666665</v>
      </c>
      <c r="T11" s="15">
        <v>31.998999999999999</v>
      </c>
      <c r="U11" s="19">
        <v>1878.4480000000001</v>
      </c>
      <c r="V11" s="3">
        <f t="shared" si="6"/>
        <v>489.46719536000001</v>
      </c>
      <c r="W11" s="3">
        <f t="shared" si="7"/>
        <v>7632.2682021928304</v>
      </c>
      <c r="X11" s="75">
        <f t="shared" si="8"/>
        <v>8540.8204558134712</v>
      </c>
      <c r="Y11" s="75">
        <f t="shared" si="9"/>
        <v>16173.088658006302</v>
      </c>
      <c r="Z11" s="3">
        <f t="shared" si="10"/>
        <v>16.1730886580063</v>
      </c>
      <c r="AA11" s="307"/>
      <c r="AB11" s="307"/>
      <c r="AC11" s="308"/>
      <c r="AF11" s="230"/>
      <c r="AG11" s="230"/>
      <c r="AH11" s="230"/>
      <c r="AI11" s="230"/>
      <c r="AJ11" s="230"/>
      <c r="AK11" s="230"/>
      <c r="AL11" s="230"/>
      <c r="AM11" s="230"/>
      <c r="AN11" s="230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</row>
    <row r="12" spans="1:133" ht="15">
      <c r="A12" s="15">
        <f>'Exptl Setup'!A18</f>
        <v>11</v>
      </c>
      <c r="B12" s="15" t="str">
        <f>'Exptl Setup'!C18</f>
        <v>e</v>
      </c>
      <c r="C12" s="15">
        <f>'Exptl Setup'!D18</f>
        <v>16</v>
      </c>
      <c r="D12" s="15" t="str">
        <f>'Exptl Setup'!E18</f>
        <v>+</v>
      </c>
      <c r="E12" s="22">
        <f>'Exptl Setup'!K18</f>
        <v>5.9988704771116099</v>
      </c>
      <c r="F12" s="91">
        <v>123.8</v>
      </c>
      <c r="G12" s="91">
        <v>123.6</v>
      </c>
      <c r="H12" s="91">
        <v>123.6</v>
      </c>
      <c r="I12" s="91">
        <f t="shared" si="1"/>
        <v>123.66666666666667</v>
      </c>
      <c r="J12" s="123">
        <f t="shared" si="0"/>
        <v>60.349999999999994</v>
      </c>
      <c r="K12" s="123">
        <f t="shared" si="2"/>
        <v>1653.9141783506805</v>
      </c>
      <c r="L12" s="91">
        <f t="shared" si="3"/>
        <v>0.18144104307044859</v>
      </c>
      <c r="M12" s="177">
        <f t="shared" si="4"/>
        <v>182.68518246391648</v>
      </c>
      <c r="N12" s="178">
        <f t="shared" si="5"/>
        <v>9964.6463162136279</v>
      </c>
      <c r="T12" s="15">
        <v>32.003</v>
      </c>
      <c r="U12" s="19">
        <v>1865.3019999999999</v>
      </c>
      <c r="V12" s="3">
        <f t="shared" si="6"/>
        <v>486.04174214</v>
      </c>
      <c r="W12" s="3">
        <f t="shared" si="7"/>
        <v>7577.9077984922105</v>
      </c>
      <c r="X12" s="75">
        <f t="shared" si="8"/>
        <v>9964.6463162136279</v>
      </c>
      <c r="Y12" s="75">
        <f t="shared" si="9"/>
        <v>17542.554114705839</v>
      </c>
      <c r="Z12" s="3">
        <f t="shared" si="10"/>
        <v>17.54255411470584</v>
      </c>
      <c r="AA12" s="307"/>
      <c r="AB12" s="307"/>
      <c r="AC12" s="308"/>
      <c r="AF12" s="230"/>
      <c r="AG12" s="230"/>
      <c r="AH12" s="230"/>
      <c r="AI12" s="230"/>
      <c r="AJ12" s="230"/>
      <c r="AK12" s="230"/>
      <c r="AL12" s="230"/>
      <c r="AM12" s="230"/>
      <c r="AN12" s="230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ht="15">
      <c r="A13" s="15">
        <f>'Exptl Setup'!A19</f>
        <v>12</v>
      </c>
      <c r="B13" s="15" t="str">
        <f>'Exptl Setup'!C19</f>
        <v>f</v>
      </c>
      <c r="C13" s="15">
        <f>'Exptl Setup'!D19</f>
        <v>16</v>
      </c>
      <c r="D13" s="15" t="str">
        <f>'Exptl Setup'!E19</f>
        <v>+</v>
      </c>
      <c r="E13" s="22">
        <f>'Exptl Setup'!K19</f>
        <v>5.9979333878718704</v>
      </c>
      <c r="F13" s="91">
        <v>119.4</v>
      </c>
      <c r="G13" s="91">
        <v>119.6</v>
      </c>
      <c r="H13" s="91">
        <v>119.5</v>
      </c>
      <c r="I13" s="91">
        <f t="shared" si="1"/>
        <v>119.5</v>
      </c>
      <c r="J13" s="123">
        <f t="shared" si="0"/>
        <v>60.349999999999994</v>
      </c>
      <c r="K13" s="123">
        <f t="shared" si="2"/>
        <v>1581.8641568727569</v>
      </c>
      <c r="L13" s="91">
        <f t="shared" si="3"/>
        <v>0.17353686568245424</v>
      </c>
      <c r="M13" s="177">
        <f t="shared" si="4"/>
        <v>174.72680621167981</v>
      </c>
      <c r="N13" s="178">
        <f t="shared" si="5"/>
        <v>9530.5530660916265</v>
      </c>
      <c r="R13" s="95" t="s">
        <v>165</v>
      </c>
      <c r="S13" s="40">
        <f>INTERCEPT(O9:O10,S9:S10)</f>
        <v>14.113329530328883</v>
      </c>
      <c r="T13" s="15">
        <v>32.008000000000003</v>
      </c>
      <c r="U13" s="19">
        <v>1886.7360000000001</v>
      </c>
      <c r="V13" s="3">
        <f t="shared" si="6"/>
        <v>491.62679952000002</v>
      </c>
      <c r="W13" s="3">
        <f t="shared" si="7"/>
        <v>7663.7874297508861</v>
      </c>
      <c r="X13" s="75">
        <f t="shared" si="8"/>
        <v>9530.5530660916265</v>
      </c>
      <c r="Y13" s="75">
        <f t="shared" si="9"/>
        <v>17194.340495842513</v>
      </c>
      <c r="Z13" s="3">
        <f t="shared" si="10"/>
        <v>17.194340495842514</v>
      </c>
      <c r="AA13" s="307"/>
      <c r="AB13" s="307"/>
      <c r="AC13" s="308"/>
      <c r="AF13" s="309"/>
      <c r="AG13" s="270"/>
      <c r="AH13" s="270"/>
      <c r="AI13" s="270"/>
      <c r="AJ13" s="270"/>
      <c r="AK13" s="270"/>
      <c r="AL13" s="270"/>
      <c r="AM13" s="230"/>
      <c r="AN13" s="230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ht="15">
      <c r="A14" s="15">
        <f>'Exptl Setup'!A23</f>
        <v>16</v>
      </c>
      <c r="B14" s="15" t="str">
        <f>'Exptl Setup'!C23</f>
        <v>d</v>
      </c>
      <c r="C14" s="15">
        <f>'Exptl Setup'!D23</f>
        <v>16</v>
      </c>
      <c r="D14" s="15" t="str">
        <f>'Exptl Setup'!E23</f>
        <v>+</v>
      </c>
      <c r="E14" s="22">
        <f>'Exptl Setup'!K23</f>
        <v>15.999987655426267</v>
      </c>
      <c r="F14" s="91">
        <v>151.9</v>
      </c>
      <c r="G14" s="91">
        <v>151.80000000000001</v>
      </c>
      <c r="H14" s="91">
        <v>151.80000000000001</v>
      </c>
      <c r="I14" s="91">
        <f t="shared" si="1"/>
        <v>151.83333333333334</v>
      </c>
      <c r="J14" s="123">
        <f t="shared" si="0"/>
        <v>60.349999999999994</v>
      </c>
      <c r="K14" s="123">
        <f t="shared" si="2"/>
        <v>2140.9723235414417</v>
      </c>
      <c r="L14" s="91">
        <f t="shared" si="3"/>
        <v>0.23487328221329007</v>
      </c>
      <c r="M14" s="177">
        <f t="shared" si="4"/>
        <v>236.48380592903607</v>
      </c>
      <c r="N14" s="178">
        <f t="shared" si="5"/>
        <v>12899.116687038333</v>
      </c>
      <c r="R14" s="96" t="s">
        <v>166</v>
      </c>
      <c r="S14" s="5">
        <f>SLOPE(O9:O11,S9:S11)</f>
        <v>17.292005154701585</v>
      </c>
      <c r="T14" s="15">
        <v>31.997</v>
      </c>
      <c r="U14" s="19">
        <v>125.744</v>
      </c>
      <c r="V14" s="3">
        <f t="shared" si="6"/>
        <v>32.765114080000004</v>
      </c>
      <c r="W14" s="3">
        <f t="shared" si="7"/>
        <v>510.93877522091401</v>
      </c>
      <c r="X14" s="75">
        <f t="shared" si="8"/>
        <v>12899.116687038333</v>
      </c>
      <c r="Y14" s="75">
        <f t="shared" si="9"/>
        <v>13410.055462259246</v>
      </c>
      <c r="Z14" s="3">
        <f t="shared" si="10"/>
        <v>13.410055462259246</v>
      </c>
      <c r="AA14" s="307"/>
      <c r="AB14" s="307"/>
      <c r="AC14" s="308"/>
      <c r="AF14" s="310"/>
      <c r="AG14" s="270"/>
      <c r="AH14" s="270"/>
      <c r="AI14" s="270"/>
      <c r="AJ14" s="270"/>
      <c r="AK14" s="270"/>
      <c r="AL14" s="270"/>
      <c r="AM14" s="230"/>
      <c r="AN14" s="230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</row>
    <row r="15" spans="1:133" ht="15">
      <c r="A15" s="15">
        <f>'Exptl Setup'!A24</f>
        <v>17</v>
      </c>
      <c r="B15" s="15" t="str">
        <f>'Exptl Setup'!C24</f>
        <v>e</v>
      </c>
      <c r="C15" s="15">
        <f>'Exptl Setup'!D24</f>
        <v>16</v>
      </c>
      <c r="D15" s="15" t="str">
        <f>'Exptl Setup'!E24</f>
        <v>+</v>
      </c>
      <c r="E15" s="22">
        <f>'Exptl Setup'!K24</f>
        <v>16.000987810929029</v>
      </c>
      <c r="F15" s="91">
        <v>176.3</v>
      </c>
      <c r="G15" s="91">
        <v>176.3</v>
      </c>
      <c r="H15" s="91">
        <v>176.3</v>
      </c>
      <c r="I15" s="91">
        <f t="shared" si="1"/>
        <v>176.30000000000004</v>
      </c>
      <c r="J15" s="123">
        <f t="shared" si="0"/>
        <v>60.349999999999994</v>
      </c>
      <c r="K15" s="123">
        <f t="shared" si="2"/>
        <v>2564.0500496598074</v>
      </c>
      <c r="L15" s="91">
        <f t="shared" si="3"/>
        <v>0.28128661183559267</v>
      </c>
      <c r="M15" s="177">
        <f t="shared" si="4"/>
        <v>283.21539128216966</v>
      </c>
      <c r="N15" s="178">
        <f t="shared" si="5"/>
        <v>15448.11225175471</v>
      </c>
      <c r="T15" s="15">
        <v>31.995000000000001</v>
      </c>
      <c r="U15" s="19">
        <v>85.448999999999998</v>
      </c>
      <c r="V15" s="3">
        <f t="shared" si="6"/>
        <v>22.265445929999998</v>
      </c>
      <c r="W15" s="3">
        <f t="shared" si="7"/>
        <v>347.22878650862623</v>
      </c>
      <c r="X15" s="75">
        <f t="shared" si="8"/>
        <v>15448.11225175471</v>
      </c>
      <c r="Y15" s="75">
        <f t="shared" si="9"/>
        <v>15795.341038263336</v>
      </c>
      <c r="Z15" s="3">
        <f t="shared" si="10"/>
        <v>15.795341038263336</v>
      </c>
      <c r="AA15" s="307"/>
      <c r="AB15" s="307"/>
      <c r="AC15" s="308"/>
      <c r="AF15" s="310"/>
      <c r="AG15" s="270"/>
      <c r="AH15" s="270"/>
      <c r="AI15" s="270"/>
      <c r="AJ15" s="270"/>
      <c r="AK15" s="270"/>
      <c r="AL15" s="270"/>
      <c r="AM15" s="230"/>
      <c r="AN15" s="230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</row>
    <row r="16" spans="1:133" ht="15">
      <c r="A16" s="15">
        <f>'Exptl Setup'!A25</f>
        <v>18</v>
      </c>
      <c r="B16" s="15" t="str">
        <f>'Exptl Setup'!C25</f>
        <v>f</v>
      </c>
      <c r="C16" s="15">
        <f>'Exptl Setup'!D25</f>
        <v>16</v>
      </c>
      <c r="D16" s="15" t="str">
        <f>'Exptl Setup'!E25</f>
        <v>+</v>
      </c>
      <c r="E16" s="22">
        <f>'Exptl Setup'!K25</f>
        <v>15.998487656583571</v>
      </c>
      <c r="F16" s="91">
        <v>156.69999999999999</v>
      </c>
      <c r="G16" s="91">
        <v>156.80000000000001</v>
      </c>
      <c r="H16" s="91">
        <v>156.69999999999999</v>
      </c>
      <c r="I16" s="91">
        <f t="shared" si="1"/>
        <v>156.73333333333332</v>
      </c>
      <c r="J16" s="123">
        <f t="shared" si="0"/>
        <v>60.349999999999994</v>
      </c>
      <c r="K16" s="123">
        <f t="shared" si="2"/>
        <v>2225.7031487994791</v>
      </c>
      <c r="L16" s="91">
        <f t="shared" si="3"/>
        <v>0.2441685948215713</v>
      </c>
      <c r="M16" s="177">
        <f t="shared" si="4"/>
        <v>245.84285640166635</v>
      </c>
      <c r="N16" s="178">
        <f t="shared" si="5"/>
        <v>13409.610349181803</v>
      </c>
      <c r="T16" s="15">
        <v>32</v>
      </c>
      <c r="U16" s="19">
        <v>76.304000000000002</v>
      </c>
      <c r="V16" s="3">
        <f t="shared" si="6"/>
        <v>19.882533280000001</v>
      </c>
      <c r="W16" s="3">
        <f t="shared" si="7"/>
        <v>310.01890590348705</v>
      </c>
      <c r="X16" s="75">
        <f t="shared" si="8"/>
        <v>13409.610349181803</v>
      </c>
      <c r="Y16" s="75">
        <f t="shared" si="9"/>
        <v>13719.62925508529</v>
      </c>
      <c r="Z16" s="3">
        <f t="shared" si="10"/>
        <v>13.719629255085291</v>
      </c>
      <c r="AA16" s="307"/>
      <c r="AB16" s="307"/>
      <c r="AC16" s="308"/>
      <c r="AF16" s="310"/>
      <c r="AG16" s="270"/>
      <c r="AH16" s="270"/>
      <c r="AI16" s="270"/>
      <c r="AJ16" s="270"/>
      <c r="AK16" s="270"/>
      <c r="AL16" s="270"/>
      <c r="AM16" s="230"/>
      <c r="AN16" s="230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</row>
    <row r="17" spans="1:104" ht="15">
      <c r="A17" s="15">
        <f>'Exptl Setup'!A29</f>
        <v>22</v>
      </c>
      <c r="B17" s="15" t="str">
        <f>'Exptl Setup'!C29</f>
        <v>d</v>
      </c>
      <c r="C17" s="15">
        <f>'Exptl Setup'!D29</f>
        <v>16</v>
      </c>
      <c r="D17" s="15" t="str">
        <f>'Exptl Setup'!E29</f>
        <v>+</v>
      </c>
      <c r="E17" s="22">
        <f>'Exptl Setup'!K29</f>
        <v>19.994985354267858</v>
      </c>
      <c r="F17" s="91">
        <v>138.6</v>
      </c>
      <c r="G17" s="91">
        <v>138.5</v>
      </c>
      <c r="H17" s="91">
        <v>138.30000000000001</v>
      </c>
      <c r="I17" s="91">
        <f t="shared" si="1"/>
        <v>138.46666666666667</v>
      </c>
      <c r="J17" s="123">
        <f t="shared" si="0"/>
        <v>60.349999999999994</v>
      </c>
      <c r="K17" s="123">
        <f t="shared" si="2"/>
        <v>1909.8358546402637</v>
      </c>
      <c r="L17" s="91">
        <f t="shared" si="3"/>
        <v>0.20951668115260433</v>
      </c>
      <c r="M17" s="177">
        <f t="shared" si="4"/>
        <v>210.95333491186096</v>
      </c>
      <c r="N17" s="178">
        <f t="shared" si="5"/>
        <v>11506.545540646961</v>
      </c>
      <c r="T17" s="15">
        <v>32.005000000000003</v>
      </c>
      <c r="U17" s="19">
        <v>62.585999999999999</v>
      </c>
      <c r="V17" s="3">
        <f t="shared" si="6"/>
        <v>16.308034020000001</v>
      </c>
      <c r="W17" s="3">
        <f t="shared" si="7"/>
        <v>254.24370969080064</v>
      </c>
      <c r="X17" s="75">
        <f t="shared" si="8"/>
        <v>11506.545540646961</v>
      </c>
      <c r="Y17" s="75">
        <f t="shared" si="9"/>
        <v>11760.789250337762</v>
      </c>
      <c r="Z17" s="3">
        <f t="shared" si="10"/>
        <v>11.760789250337762</v>
      </c>
      <c r="AA17" s="307"/>
      <c r="AB17" s="307"/>
      <c r="AC17" s="308"/>
      <c r="AF17" s="310"/>
      <c r="AG17" s="270"/>
      <c r="AH17" s="270"/>
      <c r="AI17" s="270"/>
      <c r="AJ17" s="270"/>
      <c r="AK17" s="270"/>
      <c r="AL17" s="270"/>
      <c r="AM17" s="230"/>
      <c r="AN17" s="230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ht="15">
      <c r="A18" s="15">
        <f>'Exptl Setup'!A30</f>
        <v>23</v>
      </c>
      <c r="B18" s="15" t="str">
        <f>'Exptl Setup'!C30</f>
        <v>e</v>
      </c>
      <c r="C18" s="15">
        <f>'Exptl Setup'!D30</f>
        <v>16</v>
      </c>
      <c r="D18" s="15" t="str">
        <f>'Exptl Setup'!E30</f>
        <v>+</v>
      </c>
      <c r="E18" s="22">
        <f>'Exptl Setup'!K30</f>
        <v>20.003110348316543</v>
      </c>
      <c r="F18" s="91">
        <v>142.4</v>
      </c>
      <c r="G18" s="91">
        <v>142.4</v>
      </c>
      <c r="H18" s="91">
        <v>142.4</v>
      </c>
      <c r="I18" s="91">
        <f t="shared" si="1"/>
        <v>142.4</v>
      </c>
      <c r="J18" s="123">
        <f t="shared" si="0"/>
        <v>60.349999999999994</v>
      </c>
      <c r="K18" s="123">
        <f t="shared" si="2"/>
        <v>1977.8510749154234</v>
      </c>
      <c r="L18" s="91">
        <f t="shared" si="3"/>
        <v>0.21697822460687097</v>
      </c>
      <c r="M18" s="177">
        <f t="shared" si="4"/>
        <v>218.46604209397239</v>
      </c>
      <c r="N18" s="178">
        <f t="shared" si="5"/>
        <v>11916.32956876213</v>
      </c>
      <c r="T18" s="15">
        <v>31.992000000000001</v>
      </c>
      <c r="U18" s="19">
        <v>62.585999999999999</v>
      </c>
      <c r="V18" s="3">
        <f t="shared" si="6"/>
        <v>16.308034020000001</v>
      </c>
      <c r="W18" s="3">
        <f t="shared" si="7"/>
        <v>254.34702202594633</v>
      </c>
      <c r="X18" s="75">
        <f t="shared" si="8"/>
        <v>11916.32956876213</v>
      </c>
      <c r="Y18" s="75">
        <f t="shared" si="9"/>
        <v>12170.676590788076</v>
      </c>
      <c r="Z18" s="3">
        <f t="shared" si="10"/>
        <v>12.170676590788077</v>
      </c>
      <c r="AA18" s="307"/>
      <c r="AB18" s="307"/>
      <c r="AC18" s="308"/>
      <c r="AF18" s="310"/>
      <c r="AG18" s="270"/>
      <c r="AH18" s="270"/>
      <c r="AI18" s="270"/>
      <c r="AJ18" s="270"/>
      <c r="AK18" s="270"/>
      <c r="AL18" s="270"/>
      <c r="AM18" s="230"/>
      <c r="AN18" s="230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</row>
    <row r="19" spans="1:104" ht="15">
      <c r="A19" s="15">
        <f>'Exptl Setup'!A31</f>
        <v>24</v>
      </c>
      <c r="B19" s="15" t="str">
        <f>'Exptl Setup'!C31</f>
        <v>f</v>
      </c>
      <c r="C19" s="15">
        <f>'Exptl Setup'!D31</f>
        <v>16</v>
      </c>
      <c r="D19" s="15" t="str">
        <f>'Exptl Setup'!E31</f>
        <v>+</v>
      </c>
      <c r="E19" s="22">
        <f>'Exptl Setup'!K31</f>
        <v>20.001234763661284</v>
      </c>
      <c r="F19" s="91">
        <v>146.4</v>
      </c>
      <c r="G19" s="91">
        <v>147.30000000000001</v>
      </c>
      <c r="H19" s="91">
        <v>147.4</v>
      </c>
      <c r="I19" s="91">
        <f t="shared" si="1"/>
        <v>147.03333333333333</v>
      </c>
      <c r="J19" s="123">
        <f t="shared" si="0"/>
        <v>60.349999999999994</v>
      </c>
      <c r="K19" s="123">
        <f t="shared" si="2"/>
        <v>2057.9706987988739</v>
      </c>
      <c r="L19" s="91">
        <f t="shared" si="3"/>
        <v>0.22576766986232061</v>
      </c>
      <c r="M19" s="177">
        <f t="shared" si="4"/>
        <v>227.31575648645949</v>
      </c>
      <c r="N19" s="178">
        <f t="shared" si="5"/>
        <v>12399.04126289779</v>
      </c>
      <c r="T19" s="15">
        <v>31.995000000000001</v>
      </c>
      <c r="U19" s="19">
        <v>60.872</v>
      </c>
      <c r="V19" s="3">
        <f t="shared" si="6"/>
        <v>15.861417040000001</v>
      </c>
      <c r="W19" s="3">
        <f t="shared" si="7"/>
        <v>247.35819836806866</v>
      </c>
      <c r="X19" s="75">
        <f t="shared" si="8"/>
        <v>12399.04126289779</v>
      </c>
      <c r="Y19" s="75">
        <f t="shared" si="9"/>
        <v>12646.399461265859</v>
      </c>
      <c r="Z19" s="3">
        <f t="shared" si="10"/>
        <v>12.646399461265858</v>
      </c>
      <c r="AA19" s="307"/>
      <c r="AB19" s="307"/>
      <c r="AC19" s="308"/>
      <c r="AF19" s="309"/>
      <c r="AG19" s="270"/>
      <c r="AH19" s="270"/>
      <c r="AI19" s="270"/>
      <c r="AJ19" s="270"/>
      <c r="AK19" s="270"/>
      <c r="AL19" s="270"/>
      <c r="AM19" s="230"/>
      <c r="AN19" s="230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</row>
    <row r="20" spans="1:104" ht="15">
      <c r="A20" s="15">
        <f>'Exptl Setup'!A35</f>
        <v>28</v>
      </c>
      <c r="B20" s="15" t="str">
        <f>'Exptl Setup'!C35</f>
        <v>d</v>
      </c>
      <c r="C20" s="15">
        <f>'Exptl Setup'!D35</f>
        <v>16</v>
      </c>
      <c r="D20" s="15" t="str">
        <f>'Exptl Setup'!E35</f>
        <v>-</v>
      </c>
      <c r="E20" s="22">
        <f>'Exptl Setup'!K35</f>
        <v>0</v>
      </c>
      <c r="F20" s="91">
        <v>72.16</v>
      </c>
      <c r="G20" s="91">
        <v>72.17</v>
      </c>
      <c r="H20" s="91">
        <v>72.17</v>
      </c>
      <c r="I20" s="91">
        <f t="shared" si="1"/>
        <v>72.166666666666671</v>
      </c>
      <c r="J20" s="123">
        <f t="shared" si="0"/>
        <v>60.349999999999994</v>
      </c>
      <c r="K20" s="123">
        <f t="shared" si="2"/>
        <v>763.37591288354872</v>
      </c>
      <c r="L20" s="91">
        <f t="shared" si="3"/>
        <v>8.3745410554839028E-2</v>
      </c>
      <c r="M20" s="177">
        <f t="shared" si="4"/>
        <v>84.319651986271722</v>
      </c>
      <c r="N20" s="178">
        <f t="shared" si="5"/>
        <v>4599.2537447057312</v>
      </c>
      <c r="T20" s="15">
        <v>32.003</v>
      </c>
      <c r="U20" s="19">
        <v>876.78099999999995</v>
      </c>
      <c r="V20" s="3">
        <f t="shared" si="6"/>
        <v>228.46282516999997</v>
      </c>
      <c r="W20" s="3">
        <f t="shared" si="7"/>
        <v>3561.9784771955424</v>
      </c>
      <c r="X20" s="75">
        <f t="shared" si="8"/>
        <v>4599.2537447057312</v>
      </c>
      <c r="Y20" s="75">
        <f t="shared" si="9"/>
        <v>8161.2322219012731</v>
      </c>
      <c r="Z20" s="3">
        <f t="shared" si="10"/>
        <v>8.1612322219012725</v>
      </c>
      <c r="AA20" s="307"/>
      <c r="AB20" s="307"/>
      <c r="AC20" s="308"/>
      <c r="AF20" s="310"/>
      <c r="AG20" s="270"/>
      <c r="AH20" s="270"/>
      <c r="AI20" s="270"/>
      <c r="AJ20" s="270"/>
      <c r="AK20" s="270"/>
      <c r="AL20" s="270"/>
      <c r="AM20" s="230"/>
      <c r="AN20" s="23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ht="15">
      <c r="A21" s="15">
        <f>'Exptl Setup'!A36</f>
        <v>29</v>
      </c>
      <c r="B21" s="15" t="str">
        <f>'Exptl Setup'!C36</f>
        <v>e</v>
      </c>
      <c r="C21" s="15">
        <f>'Exptl Setup'!D36</f>
        <v>16</v>
      </c>
      <c r="D21" s="15" t="str">
        <f>'Exptl Setup'!E36</f>
        <v>-</v>
      </c>
      <c r="E21" s="22">
        <f>'Exptl Setup'!K36</f>
        <v>0</v>
      </c>
      <c r="F21" s="91">
        <v>68.31</v>
      </c>
      <c r="G21" s="91">
        <v>68.349999999999994</v>
      </c>
      <c r="H21" s="91">
        <v>68.34</v>
      </c>
      <c r="I21" s="91">
        <f t="shared" si="1"/>
        <v>68.333333333333329</v>
      </c>
      <c r="J21" s="123">
        <f t="shared" si="0"/>
        <v>60.349999999999994</v>
      </c>
      <c r="K21" s="123">
        <f t="shared" si="2"/>
        <v>697.08989312385916</v>
      </c>
      <c r="L21" s="91">
        <f t="shared" si="3"/>
        <v>7.6473567357884256E-2</v>
      </c>
      <c r="M21" s="177">
        <f t="shared" si="4"/>
        <v>76.997945834214008</v>
      </c>
      <c r="N21" s="178">
        <f t="shared" si="5"/>
        <v>4199.8879545934924</v>
      </c>
      <c r="T21" s="15">
        <v>32.003</v>
      </c>
      <c r="U21" s="19">
        <v>918.79100000000005</v>
      </c>
      <c r="V21" s="3">
        <f t="shared" si="6"/>
        <v>239.40937087000003</v>
      </c>
      <c r="W21" s="3">
        <f t="shared" si="7"/>
        <v>3732.64676930838</v>
      </c>
      <c r="X21" s="75">
        <f t="shared" si="8"/>
        <v>4199.8879545934924</v>
      </c>
      <c r="Y21" s="75">
        <f t="shared" si="9"/>
        <v>7932.534723901872</v>
      </c>
      <c r="Z21" s="3">
        <f t="shared" si="10"/>
        <v>7.9325347239018722</v>
      </c>
      <c r="AA21" s="307"/>
      <c r="AB21" s="307"/>
      <c r="AC21" s="308"/>
      <c r="AF21" s="309"/>
      <c r="AG21" s="270"/>
      <c r="AH21" s="270"/>
      <c r="AI21" s="270"/>
      <c r="AJ21" s="270"/>
      <c r="AK21" s="270"/>
      <c r="AL21" s="270"/>
      <c r="AM21" s="230"/>
      <c r="AN21" s="230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ht="15">
      <c r="A22" s="15">
        <f>'Exptl Setup'!A37</f>
        <v>30</v>
      </c>
      <c r="B22" s="15" t="str">
        <f>'Exptl Setup'!C37</f>
        <v>f</v>
      </c>
      <c r="C22" s="15">
        <f>'Exptl Setup'!D37</f>
        <v>16</v>
      </c>
      <c r="D22" s="15" t="str">
        <f>'Exptl Setup'!E37</f>
        <v>-</v>
      </c>
      <c r="E22" s="22">
        <f>'Exptl Setup'!K37</f>
        <v>0</v>
      </c>
      <c r="F22" s="91">
        <v>72.73</v>
      </c>
      <c r="G22" s="91">
        <v>72.66</v>
      </c>
      <c r="H22" s="91">
        <v>72.7</v>
      </c>
      <c r="I22" s="91">
        <f t="shared" si="1"/>
        <v>72.696666666666658</v>
      </c>
      <c r="J22" s="123">
        <f t="shared" si="0"/>
        <v>60.349999999999994</v>
      </c>
      <c r="K22" s="123">
        <f t="shared" si="2"/>
        <v>772.54067561554041</v>
      </c>
      <c r="L22" s="91">
        <f t="shared" si="3"/>
        <v>8.4750821918591887E-2</v>
      </c>
      <c r="M22" s="177">
        <f t="shared" si="4"/>
        <v>85.331957445556199</v>
      </c>
      <c r="N22" s="178">
        <f t="shared" si="5"/>
        <v>4654.4704061212478</v>
      </c>
      <c r="T22" s="15">
        <v>31.994</v>
      </c>
      <c r="U22" s="19">
        <v>1293.451</v>
      </c>
      <c r="V22" s="3">
        <f t="shared" si="6"/>
        <v>337.03452707000002</v>
      </c>
      <c r="W22" s="3">
        <f t="shared" si="7"/>
        <v>5256.2049746323028</v>
      </c>
      <c r="X22" s="75">
        <f t="shared" si="8"/>
        <v>4654.4704061212478</v>
      </c>
      <c r="Y22" s="75">
        <f t="shared" si="9"/>
        <v>9910.6753807535497</v>
      </c>
      <c r="Z22" s="3">
        <f t="shared" si="10"/>
        <v>9.910675380753549</v>
      </c>
      <c r="AA22" s="307"/>
      <c r="AB22" s="307"/>
      <c r="AC22" s="308"/>
      <c r="AF22" s="310"/>
      <c r="AG22" s="270"/>
      <c r="AH22" s="270"/>
      <c r="AI22" s="270"/>
      <c r="AJ22" s="270"/>
      <c r="AK22" s="270"/>
      <c r="AL22" s="270"/>
      <c r="AM22" s="230"/>
      <c r="AN22" s="230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ht="15">
      <c r="A23" s="15">
        <f>'Exptl Setup'!A41</f>
        <v>34</v>
      </c>
      <c r="B23" s="15" t="str">
        <f>'Exptl Setup'!C41</f>
        <v>d</v>
      </c>
      <c r="C23" s="15">
        <f>'Exptl Setup'!D41</f>
        <v>16</v>
      </c>
      <c r="D23" s="15" t="str">
        <f>'Exptl Setup'!E41</f>
        <v>-</v>
      </c>
      <c r="E23" s="22">
        <f>'Exptl Setup'!K41</f>
        <v>5.9994328712188389</v>
      </c>
      <c r="F23" s="91">
        <v>128.4</v>
      </c>
      <c r="G23" s="91">
        <v>128.6</v>
      </c>
      <c r="H23" s="91">
        <v>128.6</v>
      </c>
      <c r="I23" s="91">
        <f t="shared" si="1"/>
        <v>128.53333333333333</v>
      </c>
      <c r="J23" s="123">
        <f t="shared" si="0"/>
        <v>60.349999999999994</v>
      </c>
      <c r="K23" s="123">
        <f t="shared" si="2"/>
        <v>1738.0686034368946</v>
      </c>
      <c r="L23" s="91">
        <f t="shared" si="3"/>
        <v>0.1906731222596259</v>
      </c>
      <c r="M23" s="177">
        <f t="shared" si="4"/>
        <v>191.98056592652884</v>
      </c>
      <c r="N23" s="178">
        <f t="shared" si="5"/>
        <v>10471.667232356118</v>
      </c>
      <c r="T23" s="15">
        <v>32</v>
      </c>
      <c r="U23" s="19">
        <v>1847.0119999999999</v>
      </c>
      <c r="V23" s="3">
        <f t="shared" si="6"/>
        <v>481.27591683999998</v>
      </c>
      <c r="W23" s="3">
        <f t="shared" si="7"/>
        <v>7504.3069751338244</v>
      </c>
      <c r="X23" s="75">
        <f t="shared" si="8"/>
        <v>10471.667232356118</v>
      </c>
      <c r="Y23" s="75">
        <f t="shared" si="9"/>
        <v>17975.97420748994</v>
      </c>
      <c r="Z23" s="3">
        <f t="shared" si="10"/>
        <v>17.975974207489941</v>
      </c>
      <c r="AA23" s="307"/>
      <c r="AB23" s="307"/>
      <c r="AC23" s="308"/>
      <c r="AF23" s="310"/>
      <c r="AG23" s="270"/>
      <c r="AH23" s="270"/>
      <c r="AI23" s="270"/>
      <c r="AJ23" s="270"/>
      <c r="AK23" s="270"/>
      <c r="AL23" s="270"/>
      <c r="AM23" s="230"/>
      <c r="AN23" s="230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ht="15">
      <c r="A24" s="15">
        <f>'Exptl Setup'!A42</f>
        <v>35</v>
      </c>
      <c r="B24" s="15" t="str">
        <f>'Exptl Setup'!C42</f>
        <v>e</v>
      </c>
      <c r="C24" s="15">
        <f>'Exptl Setup'!D42</f>
        <v>16</v>
      </c>
      <c r="D24" s="15" t="str">
        <f>'Exptl Setup'!E42</f>
        <v>-</v>
      </c>
      <c r="E24" s="22">
        <f>'Exptl Setup'!K42</f>
        <v>5.9979333878718704</v>
      </c>
      <c r="F24" s="91">
        <v>127.5</v>
      </c>
      <c r="G24" s="91">
        <v>127.6</v>
      </c>
      <c r="H24" s="91">
        <v>127.6</v>
      </c>
      <c r="I24" s="91">
        <f t="shared" si="1"/>
        <v>127.56666666666666</v>
      </c>
      <c r="J24" s="123">
        <f t="shared" si="0"/>
        <v>60.349999999999994</v>
      </c>
      <c r="K24" s="123">
        <f t="shared" si="2"/>
        <v>1721.3529984540164</v>
      </c>
      <c r="L24" s="91">
        <f t="shared" si="3"/>
        <v>0.18883935310561126</v>
      </c>
      <c r="M24" s="177">
        <f t="shared" si="4"/>
        <v>190.13422263600998</v>
      </c>
      <c r="N24" s="178">
        <f t="shared" si="5"/>
        <v>10370.957598327816</v>
      </c>
      <c r="T24" s="15">
        <v>32.008000000000003</v>
      </c>
      <c r="U24" s="19">
        <v>2008.479</v>
      </c>
      <c r="V24" s="3">
        <f t="shared" si="6"/>
        <v>523.34937303000004</v>
      </c>
      <c r="W24" s="3">
        <f t="shared" si="7"/>
        <v>8158.2988362540545</v>
      </c>
      <c r="X24" s="75">
        <f t="shared" si="8"/>
        <v>10370.957598327816</v>
      </c>
      <c r="Y24" s="75">
        <f t="shared" si="9"/>
        <v>18529.256434581868</v>
      </c>
      <c r="Z24" s="3">
        <f t="shared" si="10"/>
        <v>18.529256434581868</v>
      </c>
      <c r="AA24" s="307"/>
      <c r="AB24" s="307"/>
      <c r="AC24" s="308"/>
      <c r="AF24" s="309"/>
      <c r="AG24" s="270"/>
      <c r="AH24" s="270"/>
      <c r="AI24" s="270"/>
      <c r="AJ24" s="270"/>
      <c r="AK24" s="270"/>
      <c r="AL24" s="270"/>
      <c r="AM24" s="230"/>
      <c r="AN24" s="230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</row>
    <row r="25" spans="1:104" ht="15">
      <c r="A25" s="15">
        <f>'Exptl Setup'!A43</f>
        <v>36</v>
      </c>
      <c r="B25" s="15" t="str">
        <f>'Exptl Setup'!C43</f>
        <v>f</v>
      </c>
      <c r="C25" s="15">
        <f>'Exptl Setup'!D43</f>
        <v>16</v>
      </c>
      <c r="D25" s="15" t="str">
        <f>'Exptl Setup'!E43</f>
        <v>-</v>
      </c>
      <c r="E25" s="22">
        <f>'Exptl Setup'!K43</f>
        <v>5.9999953707848501</v>
      </c>
      <c r="F25" s="91">
        <v>124.8</v>
      </c>
      <c r="G25" s="91">
        <v>124.8</v>
      </c>
      <c r="H25" s="91">
        <v>124.7</v>
      </c>
      <c r="I25" s="91">
        <f t="shared" si="1"/>
        <v>124.76666666666667</v>
      </c>
      <c r="J25" s="123">
        <f t="shared" si="0"/>
        <v>60.349999999999994</v>
      </c>
      <c r="K25" s="123">
        <f t="shared" si="2"/>
        <v>1672.9353840208521</v>
      </c>
      <c r="L25" s="91">
        <f t="shared" si="3"/>
        <v>0.18352774590087909</v>
      </c>
      <c r="M25" s="177">
        <f t="shared" si="4"/>
        <v>184.78619379450697</v>
      </c>
      <c r="N25" s="178">
        <f t="shared" si="5"/>
        <v>10079.246934245833</v>
      </c>
      <c r="T25" s="15">
        <v>31.997</v>
      </c>
      <c r="U25" s="19">
        <v>1776.7090000000001</v>
      </c>
      <c r="V25" s="3">
        <f t="shared" si="6"/>
        <v>462.95706413000005</v>
      </c>
      <c r="W25" s="3">
        <f t="shared" si="7"/>
        <v>7219.3466120369549</v>
      </c>
      <c r="X25" s="75">
        <f t="shared" si="8"/>
        <v>10079.246934245833</v>
      </c>
      <c r="Y25" s="75">
        <f t="shared" si="9"/>
        <v>17298.593546282787</v>
      </c>
      <c r="Z25" s="3">
        <f t="shared" si="10"/>
        <v>17.298593546282788</v>
      </c>
      <c r="AA25" s="307"/>
      <c r="AB25" s="307"/>
      <c r="AC25" s="308"/>
      <c r="AF25" s="310"/>
      <c r="AG25" s="270"/>
      <c r="AH25" s="270"/>
      <c r="AI25" s="270"/>
      <c r="AJ25" s="270"/>
      <c r="AK25" s="270"/>
      <c r="AL25" s="270"/>
      <c r="AM25" s="230"/>
      <c r="AN25" s="230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ht="15">
      <c r="A26" s="15">
        <f>'Exptl Setup'!A47</f>
        <v>40</v>
      </c>
      <c r="B26" s="15" t="str">
        <f>'Exptl Setup'!C47</f>
        <v>d</v>
      </c>
      <c r="C26" s="15">
        <f>'Exptl Setup'!D47</f>
        <v>16</v>
      </c>
      <c r="D26" s="15" t="str">
        <f>'Exptl Setup'!E47</f>
        <v>-</v>
      </c>
      <c r="E26" s="22">
        <f>'Exptl Setup'!K47</f>
        <v>15.993489691055117</v>
      </c>
      <c r="F26" s="91">
        <v>178.6</v>
      </c>
      <c r="G26" s="91">
        <v>178.7</v>
      </c>
      <c r="H26" s="91">
        <v>178.9</v>
      </c>
      <c r="I26" s="91">
        <f t="shared" si="1"/>
        <v>178.73333333333332</v>
      </c>
      <c r="J26" s="123">
        <f t="shared" si="0"/>
        <v>60.349999999999994</v>
      </c>
      <c r="K26" s="123">
        <f t="shared" si="2"/>
        <v>2606.1272622029137</v>
      </c>
      <c r="L26" s="91">
        <f t="shared" si="3"/>
        <v>0.28590265143018118</v>
      </c>
      <c r="M26" s="177">
        <f t="shared" si="4"/>
        <v>287.86308301347572</v>
      </c>
      <c r="N26" s="178">
        <f t="shared" si="5"/>
        <v>15701.62270982595</v>
      </c>
      <c r="T26" s="15">
        <v>32.01</v>
      </c>
      <c r="U26" s="19">
        <v>79.447999999999993</v>
      </c>
      <c r="V26" s="3">
        <f t="shared" si="6"/>
        <v>20.70176536</v>
      </c>
      <c r="W26" s="3">
        <f t="shared" si="7"/>
        <v>322.69196171096206</v>
      </c>
      <c r="X26" s="75">
        <f t="shared" si="8"/>
        <v>15701.62270982595</v>
      </c>
      <c r="Y26" s="75">
        <f t="shared" si="9"/>
        <v>16024.314671536911</v>
      </c>
      <c r="Z26" s="3">
        <f t="shared" si="10"/>
        <v>16.02431467153691</v>
      </c>
      <c r="AA26" s="307"/>
      <c r="AB26" s="307"/>
      <c r="AC26" s="308"/>
      <c r="AF26" s="309"/>
      <c r="AG26" s="270"/>
      <c r="AH26" s="270"/>
      <c r="AI26" s="270"/>
      <c r="AJ26" s="270"/>
      <c r="AK26" s="270"/>
      <c r="AL26" s="270"/>
      <c r="AM26" s="230"/>
      <c r="AN26" s="230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ht="15">
      <c r="A27" s="15">
        <f>'Exptl Setup'!A48</f>
        <v>41</v>
      </c>
      <c r="B27" s="15" t="str">
        <f>'Exptl Setup'!C48</f>
        <v>e</v>
      </c>
      <c r="C27" s="15">
        <f>'Exptl Setup'!D48</f>
        <v>16</v>
      </c>
      <c r="D27" s="15" t="str">
        <f>'Exptl Setup'!E48</f>
        <v>-</v>
      </c>
      <c r="E27" s="22">
        <f>'Exptl Setup'!K48</f>
        <v>15.999487624560107</v>
      </c>
      <c r="F27" s="91">
        <v>186.7</v>
      </c>
      <c r="G27" s="91">
        <v>186.8</v>
      </c>
      <c r="H27" s="91">
        <v>186.7</v>
      </c>
      <c r="I27" s="91">
        <f t="shared" si="1"/>
        <v>186.73333333333335</v>
      </c>
      <c r="J27" s="123">
        <f t="shared" si="0"/>
        <v>60.349999999999994</v>
      </c>
      <c r="K27" s="123">
        <f t="shared" si="2"/>
        <v>2744.4633034405269</v>
      </c>
      <c r="L27" s="91">
        <f t="shared" si="3"/>
        <v>0.30107867201513028</v>
      </c>
      <c r="M27" s="177">
        <f t="shared" si="4"/>
        <v>303.14316541777009</v>
      </c>
      <c r="N27" s="178">
        <f t="shared" si="5"/>
        <v>16535.081750060192</v>
      </c>
      <c r="T27" s="15">
        <v>31.998000000000001</v>
      </c>
      <c r="U27" s="19">
        <v>95.165999999999997</v>
      </c>
      <c r="V27" s="3">
        <f t="shared" si="6"/>
        <v>24.797404619999998</v>
      </c>
      <c r="W27" s="3">
        <f t="shared" si="7"/>
        <v>386.67832968344391</v>
      </c>
      <c r="X27" s="75">
        <f t="shared" si="8"/>
        <v>16535.081750060192</v>
      </c>
      <c r="Y27" s="75">
        <f t="shared" si="9"/>
        <v>16921.760079743635</v>
      </c>
      <c r="Z27" s="3">
        <f t="shared" si="10"/>
        <v>16.921760079743635</v>
      </c>
      <c r="AA27" s="307"/>
      <c r="AB27" s="307"/>
      <c r="AC27" s="308"/>
      <c r="AF27" s="310"/>
      <c r="AG27" s="270"/>
      <c r="AH27" s="270"/>
      <c r="AI27" s="270"/>
      <c r="AJ27" s="270"/>
      <c r="AK27" s="270"/>
      <c r="AL27" s="270"/>
      <c r="AM27" s="230"/>
      <c r="AN27" s="230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ht="15">
      <c r="A28" s="15">
        <f>'Exptl Setup'!A49</f>
        <v>42</v>
      </c>
      <c r="B28" s="15" t="str">
        <f>'Exptl Setup'!C49</f>
        <v>f</v>
      </c>
      <c r="C28" s="15">
        <f>'Exptl Setup'!D49</f>
        <v>16</v>
      </c>
      <c r="D28" s="15" t="str">
        <f>'Exptl Setup'!E49</f>
        <v>-</v>
      </c>
      <c r="E28" s="22">
        <f>'Exptl Setup'!K49</f>
        <v>16.001988091478584</v>
      </c>
      <c r="F28" s="91">
        <v>182.2</v>
      </c>
      <c r="G28" s="91">
        <v>182.2</v>
      </c>
      <c r="H28" s="91">
        <v>182.1</v>
      </c>
      <c r="I28" s="91">
        <f t="shared" si="1"/>
        <v>182.16666666666666</v>
      </c>
      <c r="J28" s="123">
        <f t="shared" si="0"/>
        <v>60.349999999999994</v>
      </c>
      <c r="K28" s="123">
        <f t="shared" si="2"/>
        <v>2665.4964799007225</v>
      </c>
      <c r="L28" s="91">
        <f t="shared" si="3"/>
        <v>0.29241569359788849</v>
      </c>
      <c r="M28" s="177">
        <f t="shared" si="4"/>
        <v>294.42078504531878</v>
      </c>
      <c r="N28" s="178">
        <f t="shared" si="5"/>
        <v>16059.315547926477</v>
      </c>
      <c r="T28" s="15">
        <v>31.992999999999999</v>
      </c>
      <c r="U28" s="19">
        <v>106.883</v>
      </c>
      <c r="V28" s="3">
        <f t="shared" si="6"/>
        <v>27.850503309999997</v>
      </c>
      <c r="W28" s="3">
        <f t="shared" si="7"/>
        <v>434.354696360567</v>
      </c>
      <c r="X28" s="75">
        <f t="shared" si="8"/>
        <v>16059.315547926477</v>
      </c>
      <c r="Y28" s="75">
        <f t="shared" si="9"/>
        <v>16493.670244287045</v>
      </c>
      <c r="Z28" s="3">
        <f t="shared" si="10"/>
        <v>16.493670244287046</v>
      </c>
      <c r="AA28" s="307"/>
      <c r="AB28" s="307"/>
      <c r="AC28" s="308"/>
      <c r="AF28" s="310"/>
      <c r="AG28" s="270"/>
      <c r="AH28" s="270"/>
      <c r="AI28" s="270"/>
      <c r="AJ28" s="270"/>
      <c r="AK28" s="270"/>
      <c r="AL28" s="270"/>
      <c r="AM28" s="230"/>
      <c r="AN28" s="230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ht="15">
      <c r="A29" s="15">
        <f>'Exptl Setup'!A53</f>
        <v>46</v>
      </c>
      <c r="B29" s="15" t="str">
        <f>'Exptl Setup'!C53</f>
        <v>d</v>
      </c>
      <c r="C29" s="15">
        <f>'Exptl Setup'!D53</f>
        <v>16</v>
      </c>
      <c r="D29" s="15" t="str">
        <f>'Exptl Setup'!E53</f>
        <v>-</v>
      </c>
      <c r="E29" s="22">
        <f>'Exptl Setup'!K53</f>
        <v>19.998734531183562</v>
      </c>
      <c r="F29" s="91">
        <v>162.30000000000001</v>
      </c>
      <c r="G29" s="91">
        <v>162.4</v>
      </c>
      <c r="H29" s="91">
        <v>162.1</v>
      </c>
      <c r="I29" s="91">
        <f t="shared" si="1"/>
        <v>162.26666666666668</v>
      </c>
      <c r="J29" s="123">
        <f t="shared" si="0"/>
        <v>60.349999999999994</v>
      </c>
      <c r="K29" s="123">
        <f t="shared" si="2"/>
        <v>2321.3855773221612</v>
      </c>
      <c r="L29" s="91">
        <f t="shared" si="3"/>
        <v>0.25466534239282773</v>
      </c>
      <c r="M29" s="177">
        <f t="shared" si="4"/>
        <v>256.41158006463655</v>
      </c>
      <c r="N29" s="178">
        <f t="shared" si="5"/>
        <v>13986.086185343811</v>
      </c>
      <c r="T29" s="15">
        <v>31.998999999999999</v>
      </c>
      <c r="U29" s="19">
        <v>60.3</v>
      </c>
      <c r="V29" s="3">
        <f t="shared" si="6"/>
        <v>15.712370999999999</v>
      </c>
      <c r="W29" s="3">
        <f t="shared" si="7"/>
        <v>245.00320082974221</v>
      </c>
      <c r="X29" s="75">
        <f t="shared" si="8"/>
        <v>13986.086185343811</v>
      </c>
      <c r="Y29" s="75">
        <f t="shared" si="9"/>
        <v>14231.089386173553</v>
      </c>
      <c r="Z29" s="3">
        <f t="shared" si="10"/>
        <v>14.231089386173553</v>
      </c>
      <c r="AA29" s="307"/>
      <c r="AB29" s="307"/>
      <c r="AC29" s="308"/>
      <c r="AF29" s="310"/>
      <c r="AG29" s="270"/>
      <c r="AH29" s="270"/>
      <c r="AI29" s="270"/>
      <c r="AJ29" s="270"/>
      <c r="AK29" s="270"/>
      <c r="AL29" s="270"/>
      <c r="AM29" s="230"/>
      <c r="AN29" s="230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ht="15">
      <c r="A30" s="15">
        <f>'Exptl Setup'!A54</f>
        <v>47</v>
      </c>
      <c r="B30" s="15" t="str">
        <f>'Exptl Setup'!C54</f>
        <v>e</v>
      </c>
      <c r="C30" s="15">
        <f>'Exptl Setup'!D54</f>
        <v>16</v>
      </c>
      <c r="D30" s="15" t="str">
        <f>'Exptl Setup'!E54</f>
        <v>-</v>
      </c>
      <c r="E30" s="22">
        <f>'Exptl Setup'!K54</f>
        <v>19.999359530700133</v>
      </c>
      <c r="F30" s="91">
        <v>178.5</v>
      </c>
      <c r="G30" s="91">
        <v>178.7</v>
      </c>
      <c r="H30" s="91">
        <v>178.5</v>
      </c>
      <c r="I30" s="91">
        <f t="shared" si="1"/>
        <v>178.56666666666669</v>
      </c>
      <c r="J30" s="123">
        <f t="shared" si="0"/>
        <v>60.349999999999994</v>
      </c>
      <c r="K30" s="123">
        <f t="shared" si="2"/>
        <v>2603.2452613437977</v>
      </c>
      <c r="L30" s="91">
        <f t="shared" si="3"/>
        <v>0.28558648433466155</v>
      </c>
      <c r="M30" s="177">
        <f t="shared" si="4"/>
        <v>287.54474796338644</v>
      </c>
      <c r="N30" s="178">
        <f t="shared" si="5"/>
        <v>15684.258979821077</v>
      </c>
      <c r="T30" s="15">
        <v>31.998000000000001</v>
      </c>
      <c r="U30" s="19">
        <v>102.024</v>
      </c>
      <c r="V30" s="3">
        <f t="shared" si="6"/>
        <v>26.584393680000002</v>
      </c>
      <c r="W30" s="3">
        <f t="shared" si="7"/>
        <v>414.54374364398717</v>
      </c>
      <c r="X30" s="75">
        <f t="shared" si="8"/>
        <v>15684.258979821077</v>
      </c>
      <c r="Y30" s="75">
        <f t="shared" si="9"/>
        <v>16098.802723465065</v>
      </c>
      <c r="Z30" s="3">
        <f t="shared" si="10"/>
        <v>16.098802723465067</v>
      </c>
      <c r="AA30" s="307"/>
      <c r="AB30" s="307"/>
      <c r="AC30" s="308"/>
      <c r="AF30" s="310"/>
      <c r="AG30" s="270"/>
      <c r="AH30" s="270"/>
      <c r="AI30" s="270"/>
      <c r="AJ30" s="270"/>
      <c r="AK30" s="270"/>
      <c r="AL30" s="270"/>
      <c r="AM30" s="230"/>
      <c r="AN30" s="2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ht="15.75" thickBot="1">
      <c r="A31" s="97">
        <f>'Exptl Setup'!A55</f>
        <v>48</v>
      </c>
      <c r="B31" s="97" t="str">
        <f>'Exptl Setup'!C55</f>
        <v>f</v>
      </c>
      <c r="C31" s="97">
        <f>'Exptl Setup'!D55</f>
        <v>16</v>
      </c>
      <c r="D31" s="97" t="str">
        <f>'Exptl Setup'!E55</f>
        <v>-</v>
      </c>
      <c r="E31" s="98">
        <f>'Exptl Setup'!K55</f>
        <v>19.999359530700133</v>
      </c>
      <c r="F31" s="99">
        <v>162.9</v>
      </c>
      <c r="G31" s="99">
        <v>162.9</v>
      </c>
      <c r="H31" s="99">
        <v>162.9</v>
      </c>
      <c r="I31" s="99">
        <f t="shared" ref="I31:I55" si="12">AVERAGE(F31:H31)</f>
        <v>162.9</v>
      </c>
      <c r="J31" s="124">
        <f t="shared" si="0"/>
        <v>60.349999999999994</v>
      </c>
      <c r="K31" s="124">
        <f t="shared" si="2"/>
        <v>2332.3371805868055</v>
      </c>
      <c r="L31" s="99">
        <f t="shared" si="3"/>
        <v>0.25586677735580288</v>
      </c>
      <c r="M31" s="177">
        <f t="shared" si="4"/>
        <v>257.62125325497652</v>
      </c>
      <c r="N31" s="178">
        <f t="shared" si="5"/>
        <v>14052.06835936236</v>
      </c>
      <c r="T31" s="15">
        <v>31.998000000000001</v>
      </c>
      <c r="U31" s="19">
        <v>63.728999999999999</v>
      </c>
      <c r="V31" s="3">
        <f t="shared" si="6"/>
        <v>16.605865529999999</v>
      </c>
      <c r="W31" s="3">
        <f t="shared" si="7"/>
        <v>258.94356463859151</v>
      </c>
      <c r="X31" s="75">
        <f t="shared" si="8"/>
        <v>14052.06835936236</v>
      </c>
      <c r="Y31" s="75">
        <f t="shared" si="9"/>
        <v>14311.011924000952</v>
      </c>
      <c r="Z31" s="3">
        <f t="shared" si="10"/>
        <v>14.311011924000951</v>
      </c>
      <c r="AA31" s="307"/>
      <c r="AB31" s="307"/>
      <c r="AC31" s="308"/>
      <c r="AF31" s="309"/>
      <c r="AG31" s="270"/>
      <c r="AH31" s="270"/>
      <c r="AI31" s="270"/>
      <c r="AJ31" s="270"/>
      <c r="AK31" s="270"/>
      <c r="AL31" s="270"/>
      <c r="AM31" s="230"/>
      <c r="AN31" s="230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ht="15">
      <c r="A32" s="15">
        <f>'Exptl Setup'!A59</f>
        <v>52</v>
      </c>
      <c r="B32" s="15" t="str">
        <f>'Exptl Setup'!C59</f>
        <v>d</v>
      </c>
      <c r="C32" s="15">
        <f>'Exptl Setup'!D59</f>
        <v>24</v>
      </c>
      <c r="D32" s="15" t="str">
        <f>'Exptl Setup'!E59</f>
        <v>+</v>
      </c>
      <c r="E32" s="22">
        <f>'Exptl Setup'!K59</f>
        <v>0</v>
      </c>
      <c r="F32" s="91">
        <v>59.98</v>
      </c>
      <c r="G32" s="91">
        <v>61.27</v>
      </c>
      <c r="H32" s="91">
        <v>61.32</v>
      </c>
      <c r="I32" s="125">
        <f t="shared" si="12"/>
        <v>60.856666666666662</v>
      </c>
      <c r="J32" s="123">
        <f t="shared" si="0"/>
        <v>60.349999999999994</v>
      </c>
      <c r="K32" s="126">
        <f>((I32-$S$33)*$S$39)+$S$38</f>
        <v>599.05740132725839</v>
      </c>
      <c r="L32" s="91">
        <f t="shared" si="3"/>
        <v>6.571900838547845E-2</v>
      </c>
      <c r="M32" s="177">
        <f t="shared" si="4"/>
        <v>66.169642959929604</v>
      </c>
      <c r="N32" s="178">
        <f t="shared" si="5"/>
        <v>3609.2532523597961</v>
      </c>
      <c r="O32" s="33" t="s">
        <v>163</v>
      </c>
      <c r="P32" s="4" t="s">
        <v>156</v>
      </c>
      <c r="Q32" s="40" t="s">
        <v>157</v>
      </c>
      <c r="R32" s="3" t="s">
        <v>158</v>
      </c>
      <c r="S32" s="3" t="s">
        <v>159</v>
      </c>
      <c r="T32" s="15">
        <v>32.000999999999998</v>
      </c>
      <c r="U32" s="19">
        <v>3197.6680000000001</v>
      </c>
      <c r="V32" s="3">
        <f t="shared" si="6"/>
        <v>833.21635076000007</v>
      </c>
      <c r="W32" s="3">
        <f t="shared" si="7"/>
        <v>12991.541157379719</v>
      </c>
      <c r="X32" s="75">
        <f t="shared" si="8"/>
        <v>3609.2532523597961</v>
      </c>
      <c r="Y32" s="75">
        <f t="shared" si="9"/>
        <v>16600.794409739516</v>
      </c>
      <c r="Z32" s="3">
        <f t="shared" si="10"/>
        <v>16.600794409739514</v>
      </c>
      <c r="AA32" s="307"/>
      <c r="AB32" s="307"/>
      <c r="AC32" s="308"/>
      <c r="AF32" s="310"/>
      <c r="AG32" s="270"/>
      <c r="AH32" s="270"/>
      <c r="AI32" s="270"/>
      <c r="AJ32" s="270"/>
      <c r="AK32" s="270"/>
      <c r="AL32" s="270"/>
      <c r="AM32" s="230"/>
      <c r="AN32" s="230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ht="15">
      <c r="A33" s="15">
        <f>'Exptl Setup'!A60</f>
        <v>53</v>
      </c>
      <c r="B33" s="15" t="str">
        <f>'Exptl Setup'!C60</f>
        <v>e</v>
      </c>
      <c r="C33" s="15">
        <f>'Exptl Setup'!D60</f>
        <v>24</v>
      </c>
      <c r="D33" s="15" t="str">
        <f>'Exptl Setup'!E60</f>
        <v>+</v>
      </c>
      <c r="E33" s="22">
        <f>'Exptl Setup'!K60</f>
        <v>0</v>
      </c>
      <c r="F33" s="91">
        <v>63.31</v>
      </c>
      <c r="G33" s="91">
        <v>64.819999999999993</v>
      </c>
      <c r="H33" s="91">
        <v>64.91</v>
      </c>
      <c r="I33" s="91">
        <f t="shared" si="12"/>
        <v>64.346666666666664</v>
      </c>
      <c r="J33" s="123">
        <f t="shared" si="0"/>
        <v>60.349999999999994</v>
      </c>
      <c r="K33" s="126">
        <f t="shared" ref="K33:K55" si="13">((I33-$S$33)*$S$39)+$S$38</f>
        <v>659.625969196509</v>
      </c>
      <c r="L33" s="91">
        <f t="shared" si="3"/>
        <v>7.2363624094885573E-2</v>
      </c>
      <c r="M33" s="177">
        <f t="shared" si="4"/>
        <v>72.859820731914354</v>
      </c>
      <c r="N33" s="178">
        <f t="shared" si="5"/>
        <v>3974.1720399226019</v>
      </c>
      <c r="O33" s="92" t="s">
        <v>164</v>
      </c>
      <c r="P33" s="4">
        <v>27.61</v>
      </c>
      <c r="Q33" s="40">
        <v>27.43</v>
      </c>
      <c r="R33" s="3">
        <v>27.34</v>
      </c>
      <c r="S33" s="75">
        <f>AVERAGE(P33:R33)</f>
        <v>27.459999999999997</v>
      </c>
      <c r="T33" s="15">
        <v>32.003</v>
      </c>
      <c r="U33" s="19">
        <v>3143.0940000000001</v>
      </c>
      <c r="V33" s="3">
        <f t="shared" si="6"/>
        <v>818.99600358000009</v>
      </c>
      <c r="W33" s="3">
        <f t="shared" si="7"/>
        <v>12769.018922401883</v>
      </c>
      <c r="X33" s="75">
        <f t="shared" si="8"/>
        <v>3974.1720399226019</v>
      </c>
      <c r="Y33" s="75">
        <f t="shared" si="9"/>
        <v>16743.190962324486</v>
      </c>
      <c r="Z33" s="3">
        <f t="shared" si="10"/>
        <v>16.743190962324487</v>
      </c>
      <c r="AA33" s="307"/>
      <c r="AB33" s="307"/>
      <c r="AC33" s="308"/>
      <c r="AF33" s="310"/>
      <c r="AG33" s="270"/>
      <c r="AH33" s="270"/>
      <c r="AI33" s="270"/>
      <c r="AJ33" s="270"/>
      <c r="AK33" s="270"/>
      <c r="AL33" s="270"/>
      <c r="AM33" s="230"/>
      <c r="AN33" s="230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ht="15">
      <c r="A34" s="15">
        <f>'Exptl Setup'!A61</f>
        <v>54</v>
      </c>
      <c r="B34" s="15" t="str">
        <f>'Exptl Setup'!C61</f>
        <v>f</v>
      </c>
      <c r="C34" s="15">
        <f>'Exptl Setup'!D61</f>
        <v>24</v>
      </c>
      <c r="D34" s="15" t="str">
        <f>'Exptl Setup'!E61</f>
        <v>+</v>
      </c>
      <c r="E34" s="22">
        <f>'Exptl Setup'!K61</f>
        <v>0</v>
      </c>
      <c r="F34" s="91">
        <v>56.11</v>
      </c>
      <c r="G34" s="91">
        <v>57.64</v>
      </c>
      <c r="H34" s="91">
        <v>58</v>
      </c>
      <c r="I34" s="91">
        <f t="shared" si="12"/>
        <v>57.25</v>
      </c>
      <c r="J34" s="123">
        <f t="shared" si="0"/>
        <v>60.349999999999994</v>
      </c>
      <c r="K34" s="126">
        <f t="shared" si="13"/>
        <v>536.46409623219733</v>
      </c>
      <c r="L34" s="91">
        <f t="shared" si="3"/>
        <v>5.8852270851974663E-2</v>
      </c>
      <c r="M34" s="177">
        <f t="shared" si="4"/>
        <v>59.255820276751486</v>
      </c>
      <c r="N34" s="178">
        <f t="shared" si="5"/>
        <v>3232.1356514591716</v>
      </c>
      <c r="O34" s="29">
        <v>357</v>
      </c>
      <c r="P34" s="4">
        <v>21.4</v>
      </c>
      <c r="Q34" s="40">
        <v>21.14</v>
      </c>
      <c r="R34" s="3">
        <v>21.21</v>
      </c>
      <c r="S34" s="75">
        <f>AVERAGE(P34:R34)</f>
        <v>21.25</v>
      </c>
      <c r="T34" s="15">
        <v>31.998000000000001</v>
      </c>
      <c r="U34" s="19">
        <v>3421.61</v>
      </c>
      <c r="V34" s="3">
        <f t="shared" si="6"/>
        <v>891.56891770000004</v>
      </c>
      <c r="W34" s="3">
        <f t="shared" si="7"/>
        <v>13902.679944813997</v>
      </c>
      <c r="X34" s="75">
        <f t="shared" si="8"/>
        <v>3232.1356514591716</v>
      </c>
      <c r="Y34" s="75">
        <f t="shared" si="9"/>
        <v>17134.815596273169</v>
      </c>
      <c r="Z34" s="3">
        <f t="shared" si="10"/>
        <v>17.134815596273167</v>
      </c>
      <c r="AA34" s="307"/>
      <c r="AB34" s="307"/>
      <c r="AC34" s="308"/>
      <c r="AF34" s="309"/>
      <c r="AG34" s="270"/>
      <c r="AH34" s="270"/>
      <c r="AI34" s="270"/>
      <c r="AJ34" s="270"/>
      <c r="AK34" s="270"/>
      <c r="AL34" s="270"/>
      <c r="AM34" s="230"/>
      <c r="AN34" s="230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ht="15">
      <c r="A35" s="15">
        <f>'Exptl Setup'!A65</f>
        <v>58</v>
      </c>
      <c r="B35" s="15" t="str">
        <f>'Exptl Setup'!C65</f>
        <v>d</v>
      </c>
      <c r="C35" s="15">
        <f>'Exptl Setup'!D65</f>
        <v>24</v>
      </c>
      <c r="D35" s="15" t="str">
        <f>'Exptl Setup'!E65</f>
        <v>+</v>
      </c>
      <c r="E35" s="22">
        <f>'Exptl Setup'!K65</f>
        <v>5.9983081884335077</v>
      </c>
      <c r="F35" s="91">
        <v>81.12</v>
      </c>
      <c r="G35" s="91">
        <v>82.9</v>
      </c>
      <c r="H35" s="91">
        <v>83.22</v>
      </c>
      <c r="I35" s="91">
        <f t="shared" si="12"/>
        <v>82.413333333333341</v>
      </c>
      <c r="J35" s="123">
        <f t="shared" si="0"/>
        <v>60.349999999999994</v>
      </c>
      <c r="K35" s="126">
        <f t="shared" si="13"/>
        <v>973.17099102204691</v>
      </c>
      <c r="L35" s="91">
        <f t="shared" si="3"/>
        <v>0.106760775140718</v>
      </c>
      <c r="M35" s="177">
        <f t="shared" si="4"/>
        <v>107.49283269386029</v>
      </c>
      <c r="N35" s="178">
        <f t="shared" si="5"/>
        <v>5863.245419665107</v>
      </c>
      <c r="O35" s="93">
        <v>10000</v>
      </c>
      <c r="P35" s="4">
        <v>626.5</v>
      </c>
      <c r="Q35" s="40">
        <v>629</v>
      </c>
      <c r="R35" s="3">
        <v>629.5</v>
      </c>
      <c r="S35" s="75">
        <f t="shared" ref="S35:S36" si="14">AVERAGE(P35:R35)</f>
        <v>628.33333333333337</v>
      </c>
      <c r="T35" s="15">
        <v>32.006</v>
      </c>
      <c r="U35" s="19">
        <v>5937.6660000000002</v>
      </c>
      <c r="V35" s="3">
        <f t="shared" si="6"/>
        <v>1547.1776296200001</v>
      </c>
      <c r="W35" s="3">
        <f t="shared" si="7"/>
        <v>24119.884065828857</v>
      </c>
      <c r="X35" s="75">
        <f t="shared" si="8"/>
        <v>5863.245419665107</v>
      </c>
      <c r="Y35" s="75">
        <f t="shared" si="9"/>
        <v>29983.129485493962</v>
      </c>
      <c r="Z35" s="3">
        <f t="shared" si="10"/>
        <v>29.983129485493961</v>
      </c>
      <c r="AA35" s="307"/>
      <c r="AB35" s="307"/>
      <c r="AC35" s="308"/>
      <c r="AF35" s="310"/>
      <c r="AG35" s="270"/>
      <c r="AH35" s="270"/>
      <c r="AI35" s="270"/>
      <c r="AJ35" s="270"/>
      <c r="AK35" s="270"/>
      <c r="AL35" s="270"/>
      <c r="AM35" s="230"/>
      <c r="AN35" s="230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ht="15">
      <c r="A36" s="15">
        <f>'Exptl Setup'!A66</f>
        <v>59</v>
      </c>
      <c r="B36" s="15" t="str">
        <f>'Exptl Setup'!C66</f>
        <v>e</v>
      </c>
      <c r="C36" s="15">
        <f>'Exptl Setup'!D66</f>
        <v>24</v>
      </c>
      <c r="D36" s="15" t="str">
        <f>'Exptl Setup'!E66</f>
        <v>+</v>
      </c>
      <c r="E36" s="22">
        <f>'Exptl Setup'!K66</f>
        <v>6.0005579758393095</v>
      </c>
      <c r="F36" s="91">
        <v>89.33</v>
      </c>
      <c r="G36" s="91">
        <v>92.41</v>
      </c>
      <c r="H36" s="91">
        <v>92.63</v>
      </c>
      <c r="I36" s="91">
        <f t="shared" si="12"/>
        <v>91.456666666666663</v>
      </c>
      <c r="J36" s="123">
        <f t="shared" si="0"/>
        <v>60.349999999999994</v>
      </c>
      <c r="K36" s="126">
        <f t="shared" si="13"/>
        <v>1130.117050839885</v>
      </c>
      <c r="L36" s="91">
        <f t="shared" si="3"/>
        <v>0.12397838967712818</v>
      </c>
      <c r="M36" s="177">
        <f t="shared" si="4"/>
        <v>124.82850823864976</v>
      </c>
      <c r="N36" s="178">
        <f t="shared" si="5"/>
        <v>6808.8277221081689</v>
      </c>
      <c r="O36" s="94">
        <v>50000</v>
      </c>
      <c r="P36" s="4">
        <v>2896</v>
      </c>
      <c r="Q36" s="4">
        <v>2899</v>
      </c>
      <c r="R36" s="3">
        <v>2900</v>
      </c>
      <c r="S36" s="75">
        <f t="shared" si="14"/>
        <v>2898.3333333333335</v>
      </c>
      <c r="T36" s="15">
        <v>31.994</v>
      </c>
      <c r="U36" s="19">
        <v>6519.1629999999996</v>
      </c>
      <c r="V36" s="3">
        <f t="shared" si="6"/>
        <v>1698.6983029099999</v>
      </c>
      <c r="W36" s="3">
        <f t="shared" si="7"/>
        <v>26491.963739669187</v>
      </c>
      <c r="X36" s="75">
        <f t="shared" si="8"/>
        <v>6808.8277221081689</v>
      </c>
      <c r="Y36" s="75">
        <f t="shared" si="9"/>
        <v>33300.791461777357</v>
      </c>
      <c r="Z36" s="3">
        <f t="shared" si="10"/>
        <v>33.300791461777358</v>
      </c>
      <c r="AA36" s="307"/>
      <c r="AB36" s="307"/>
      <c r="AC36" s="308"/>
      <c r="AF36" s="309"/>
      <c r="AG36" s="270"/>
      <c r="AH36" s="270"/>
      <c r="AI36" s="270"/>
      <c r="AJ36" s="270"/>
      <c r="AK36" s="270"/>
      <c r="AL36" s="270"/>
      <c r="AM36" s="230"/>
      <c r="AN36" s="230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ht="15">
      <c r="A37" s="15">
        <f>'Exptl Setup'!A67</f>
        <v>60</v>
      </c>
      <c r="B37" s="15" t="str">
        <f>'Exptl Setup'!C67</f>
        <v>f</v>
      </c>
      <c r="C37" s="15">
        <f>'Exptl Setup'!D67</f>
        <v>24</v>
      </c>
      <c r="D37" s="15" t="str">
        <f>'Exptl Setup'!E67</f>
        <v>+</v>
      </c>
      <c r="E37" s="22">
        <f>'Exptl Setup'!K67</f>
        <v>5.9999953707848501</v>
      </c>
      <c r="F37" s="91">
        <v>89.99</v>
      </c>
      <c r="G37" s="91">
        <v>91.83</v>
      </c>
      <c r="H37" s="91">
        <v>92.82</v>
      </c>
      <c r="I37" s="91">
        <f t="shared" si="12"/>
        <v>91.546666666666667</v>
      </c>
      <c r="J37" s="123">
        <f t="shared" si="0"/>
        <v>60.349999999999994</v>
      </c>
      <c r="K37" s="126">
        <f t="shared" si="13"/>
        <v>1131.6789909855104</v>
      </c>
      <c r="L37" s="91">
        <f t="shared" si="3"/>
        <v>0.12414974079857417</v>
      </c>
      <c r="M37" s="177">
        <f t="shared" si="4"/>
        <v>125.00103431299897</v>
      </c>
      <c r="N37" s="178">
        <f t="shared" si="5"/>
        <v>6818.2382352544882</v>
      </c>
      <c r="T37" s="15">
        <v>31.997</v>
      </c>
      <c r="U37" s="19">
        <v>6414.9080000000004</v>
      </c>
      <c r="V37" s="3">
        <f t="shared" si="6"/>
        <v>1671.5325775600002</v>
      </c>
      <c r="W37" s="3">
        <f t="shared" si="7"/>
        <v>26065.85790713548</v>
      </c>
      <c r="X37" s="75">
        <f t="shared" si="8"/>
        <v>6818.2382352544882</v>
      </c>
      <c r="Y37" s="75">
        <f t="shared" si="9"/>
        <v>32884.096142389972</v>
      </c>
      <c r="Z37" s="3">
        <f t="shared" si="10"/>
        <v>32.884096142389971</v>
      </c>
      <c r="AA37" s="307"/>
      <c r="AB37" s="307"/>
      <c r="AC37" s="308"/>
      <c r="AF37" s="310"/>
      <c r="AG37" s="270"/>
      <c r="AH37" s="270"/>
      <c r="AI37" s="270"/>
      <c r="AJ37" s="270"/>
      <c r="AK37" s="270"/>
      <c r="AL37" s="270"/>
      <c r="AM37" s="230"/>
      <c r="AN37" s="230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ht="15">
      <c r="A38" s="15">
        <f>'Exptl Setup'!A71</f>
        <v>64</v>
      </c>
      <c r="B38" s="15" t="str">
        <f>'Exptl Setup'!C71</f>
        <v>d</v>
      </c>
      <c r="C38" s="15">
        <f>'Exptl Setup'!D71</f>
        <v>24</v>
      </c>
      <c r="D38" s="15" t="str">
        <f>'Exptl Setup'!E71</f>
        <v>+</v>
      </c>
      <c r="E38" s="22">
        <f>'Exptl Setup'!K71</f>
        <v>15.999487624560107</v>
      </c>
      <c r="F38" s="91">
        <v>202.4</v>
      </c>
      <c r="G38" s="91">
        <v>211.6</v>
      </c>
      <c r="H38" s="91">
        <v>212.2</v>
      </c>
      <c r="I38" s="91">
        <f t="shared" si="12"/>
        <v>208.73333333333335</v>
      </c>
      <c r="J38" s="123">
        <f t="shared" si="0"/>
        <v>60.349999999999994</v>
      </c>
      <c r="K38" s="126">
        <f t="shared" si="13"/>
        <v>3165.4407598597913</v>
      </c>
      <c r="L38" s="91">
        <f t="shared" si="3"/>
        <v>0.34726159359696596</v>
      </c>
      <c r="M38" s="177">
        <f t="shared" si="4"/>
        <v>349.64276282483837</v>
      </c>
      <c r="N38" s="178">
        <f t="shared" si="5"/>
        <v>19071.423426809364</v>
      </c>
      <c r="R38" s="95" t="s">
        <v>165</v>
      </c>
      <c r="S38" s="40">
        <f>INTERCEPT(O34:O35,S34:S35)</f>
        <v>19.461908030199083</v>
      </c>
      <c r="T38" s="15">
        <v>31.998000000000001</v>
      </c>
      <c r="U38" s="19">
        <v>729.78800000000001</v>
      </c>
      <c r="V38" s="3">
        <f t="shared" si="6"/>
        <v>190.16085916</v>
      </c>
      <c r="W38" s="3">
        <f t="shared" si="7"/>
        <v>2965.2733629975119</v>
      </c>
      <c r="X38" s="75">
        <f t="shared" si="8"/>
        <v>19071.423426809364</v>
      </c>
      <c r="Y38" s="75">
        <f t="shared" si="9"/>
        <v>22036.696789806876</v>
      </c>
      <c r="Z38" s="3">
        <f t="shared" si="10"/>
        <v>22.036696789806875</v>
      </c>
      <c r="AA38" s="307"/>
      <c r="AB38" s="307"/>
      <c r="AC38" s="308"/>
      <c r="AF38" s="309"/>
      <c r="AG38" s="270"/>
      <c r="AH38" s="270"/>
      <c r="AI38" s="270"/>
      <c r="AJ38" s="270"/>
      <c r="AK38" s="270"/>
      <c r="AL38" s="270"/>
      <c r="AM38" s="230"/>
      <c r="AN38" s="230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ht="15">
      <c r="A39" s="15">
        <f>'Exptl Setup'!A72</f>
        <v>65</v>
      </c>
      <c r="B39" s="15" t="str">
        <f>'Exptl Setup'!C72</f>
        <v>e</v>
      </c>
      <c r="C39" s="15">
        <f>'Exptl Setup'!D72</f>
        <v>24</v>
      </c>
      <c r="D39" s="15" t="str">
        <f>'Exptl Setup'!E72</f>
        <v>+</v>
      </c>
      <c r="E39" s="22">
        <f>'Exptl Setup'!K72</f>
        <v>15.999987655426267</v>
      </c>
      <c r="F39" s="91">
        <v>240.6</v>
      </c>
      <c r="G39" s="91">
        <v>250.1</v>
      </c>
      <c r="H39" s="91">
        <v>250.7</v>
      </c>
      <c r="I39" s="91">
        <f t="shared" si="12"/>
        <v>247.13333333333333</v>
      </c>
      <c r="J39" s="123">
        <f t="shared" si="0"/>
        <v>60.349999999999994</v>
      </c>
      <c r="K39" s="126">
        <f t="shared" si="13"/>
        <v>3831.8685553266164</v>
      </c>
      <c r="L39" s="91">
        <f t="shared" si="3"/>
        <v>0.42037140541393808</v>
      </c>
      <c r="M39" s="177">
        <f t="shared" si="4"/>
        <v>423.25388788048724</v>
      </c>
      <c r="N39" s="178">
        <f t="shared" si="5"/>
        <v>23086.57570257203</v>
      </c>
      <c r="R39" s="96" t="s">
        <v>166</v>
      </c>
      <c r="S39" s="5">
        <f>SLOPE(O34:O36,S34:S36)</f>
        <v>17.354890506948578</v>
      </c>
      <c r="T39" s="15">
        <v>31.997</v>
      </c>
      <c r="U39" s="19">
        <v>735.43399999999997</v>
      </c>
      <c r="V39" s="3">
        <f t="shared" si="6"/>
        <v>191.63203737999999</v>
      </c>
      <c r="W39" s="3">
        <f t="shared" si="7"/>
        <v>2988.3075710635708</v>
      </c>
      <c r="X39" s="75">
        <f t="shared" si="8"/>
        <v>23086.57570257203</v>
      </c>
      <c r="Y39" s="75">
        <f t="shared" si="9"/>
        <v>26074.883273635602</v>
      </c>
      <c r="Z39" s="3">
        <f t="shared" si="10"/>
        <v>26.074883273635603</v>
      </c>
      <c r="AA39" s="307"/>
      <c r="AB39" s="307"/>
      <c r="AC39" s="308"/>
      <c r="AF39" s="310"/>
      <c r="AG39" s="270"/>
      <c r="AH39" s="270"/>
      <c r="AI39" s="270"/>
      <c r="AJ39" s="270"/>
      <c r="AK39" s="270"/>
      <c r="AL39" s="270"/>
      <c r="AM39" s="230"/>
      <c r="AN39" s="230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ht="15">
      <c r="A40" s="15">
        <f>'Exptl Setup'!A73</f>
        <v>66</v>
      </c>
      <c r="B40" s="15" t="str">
        <f>'Exptl Setup'!C73</f>
        <v>f</v>
      </c>
      <c r="C40" s="15">
        <f>'Exptl Setup'!D73</f>
        <v>24</v>
      </c>
      <c r="D40" s="15" t="str">
        <f>'Exptl Setup'!E73</f>
        <v>+</v>
      </c>
      <c r="E40" s="22">
        <f>'Exptl Setup'!K73</f>
        <v>15.995488502489355</v>
      </c>
      <c r="F40" s="91">
        <v>157.80000000000001</v>
      </c>
      <c r="G40" s="91">
        <v>157.30000000000001</v>
      </c>
      <c r="H40" s="91">
        <v>157.69999999999999</v>
      </c>
      <c r="I40" s="91">
        <f t="shared" si="12"/>
        <v>157.6</v>
      </c>
      <c r="J40" s="123">
        <f t="shared" ref="J40:J71" si="15">$N$4-$N$3-$N$2</f>
        <v>60.349999999999994</v>
      </c>
      <c r="K40" s="126">
        <f t="shared" si="13"/>
        <v>2278.0273586044868</v>
      </c>
      <c r="L40" s="91">
        <f t="shared" si="3"/>
        <v>0.24990877126429636</v>
      </c>
      <c r="M40" s="177">
        <f t="shared" si="4"/>
        <v>251.62239317608376</v>
      </c>
      <c r="N40" s="178">
        <f t="shared" si="5"/>
        <v>13724.857809604568</v>
      </c>
      <c r="T40" s="15">
        <v>32.006</v>
      </c>
      <c r="U40" s="19">
        <v>611.23</v>
      </c>
      <c r="V40" s="3">
        <f t="shared" si="6"/>
        <v>159.2682011</v>
      </c>
      <c r="W40" s="3">
        <f t="shared" si="7"/>
        <v>2482.9279278350396</v>
      </c>
      <c r="X40" s="75">
        <f t="shared" si="8"/>
        <v>13724.857809604568</v>
      </c>
      <c r="Y40" s="75">
        <f t="shared" si="9"/>
        <v>16207.785737439608</v>
      </c>
      <c r="Z40" s="3">
        <f t="shared" si="10"/>
        <v>16.207785737439607</v>
      </c>
      <c r="AA40" s="307"/>
      <c r="AB40" s="307"/>
      <c r="AC40" s="308"/>
      <c r="AF40" s="310"/>
      <c r="AG40" s="270"/>
      <c r="AH40" s="270"/>
      <c r="AI40" s="270"/>
      <c r="AJ40" s="270"/>
      <c r="AK40" s="270"/>
      <c r="AL40" s="270"/>
      <c r="AM40" s="230"/>
      <c r="AN40" s="23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ht="15">
      <c r="A41" s="15">
        <f>'Exptl Setup'!A77</f>
        <v>70</v>
      </c>
      <c r="B41" s="15" t="str">
        <f>'Exptl Setup'!C77</f>
        <v>d</v>
      </c>
      <c r="C41" s="15">
        <f>'Exptl Setup'!D77</f>
        <v>24</v>
      </c>
      <c r="D41" s="15" t="str">
        <f>'Exptl Setup'!E77</f>
        <v>+</v>
      </c>
      <c r="E41" s="22">
        <f>'Exptl Setup'!K77</f>
        <v>19.999359530700133</v>
      </c>
      <c r="F41" s="91">
        <v>131.1</v>
      </c>
      <c r="G41" s="91">
        <v>135.30000000000001</v>
      </c>
      <c r="H41" s="91">
        <v>135.5</v>
      </c>
      <c r="I41" s="91">
        <f t="shared" si="12"/>
        <v>133.96666666666667</v>
      </c>
      <c r="J41" s="123">
        <f t="shared" si="15"/>
        <v>60.349999999999994</v>
      </c>
      <c r="K41" s="126">
        <f t="shared" si="13"/>
        <v>1867.8734462902692</v>
      </c>
      <c r="L41" s="91">
        <f t="shared" si="3"/>
        <v>0.20491323604013564</v>
      </c>
      <c r="M41" s="177">
        <f t="shared" si="4"/>
        <v>206.31832402291101</v>
      </c>
      <c r="N41" s="178">
        <f t="shared" si="5"/>
        <v>11253.726764886056</v>
      </c>
      <c r="T41" s="15">
        <v>31.998000000000001</v>
      </c>
      <c r="U41" s="19">
        <v>205.5</v>
      </c>
      <c r="V41" s="3">
        <f t="shared" si="6"/>
        <v>53.547135000000004</v>
      </c>
      <c r="W41" s="3">
        <f t="shared" si="7"/>
        <v>834.98725122362748</v>
      </c>
      <c r="X41" s="75">
        <f t="shared" si="8"/>
        <v>11253.726764886056</v>
      </c>
      <c r="Y41" s="75">
        <f t="shared" si="9"/>
        <v>12088.714016109683</v>
      </c>
      <c r="Z41" s="3">
        <f t="shared" si="10"/>
        <v>12.088714016109684</v>
      </c>
      <c r="AA41" s="307"/>
      <c r="AB41" s="307"/>
      <c r="AC41" s="308"/>
      <c r="AF41" s="309"/>
      <c r="AG41" s="270"/>
      <c r="AH41" s="270"/>
      <c r="AI41" s="270"/>
      <c r="AJ41" s="270"/>
      <c r="AK41" s="270"/>
      <c r="AL41" s="270"/>
      <c r="AM41" s="230"/>
      <c r="AN41" s="230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ht="15">
      <c r="A42" s="15">
        <f>'Exptl Setup'!A78</f>
        <v>71</v>
      </c>
      <c r="B42" s="15" t="str">
        <f>'Exptl Setup'!C78</f>
        <v>e</v>
      </c>
      <c r="C42" s="15">
        <f>'Exptl Setup'!D78</f>
        <v>24</v>
      </c>
      <c r="D42" s="15" t="str">
        <f>'Exptl Setup'!E78</f>
        <v>+</v>
      </c>
      <c r="E42" s="22">
        <f>'Exptl Setup'!K78</f>
        <v>19.996859766994024</v>
      </c>
      <c r="F42" s="91">
        <v>140.9</v>
      </c>
      <c r="G42" s="91">
        <v>146.1</v>
      </c>
      <c r="H42" s="91">
        <v>146.4</v>
      </c>
      <c r="I42" s="91">
        <f t="shared" si="12"/>
        <v>144.46666666666667</v>
      </c>
      <c r="J42" s="123">
        <f t="shared" si="15"/>
        <v>60.349999999999994</v>
      </c>
      <c r="K42" s="126">
        <f t="shared" si="13"/>
        <v>2050.099796613229</v>
      </c>
      <c r="L42" s="91">
        <f t="shared" si="3"/>
        <v>0.22490420020883894</v>
      </c>
      <c r="M42" s="177">
        <f t="shared" si="4"/>
        <v>226.446366030315</v>
      </c>
      <c r="N42" s="178">
        <f t="shared" si="5"/>
        <v>12351.619965289909</v>
      </c>
      <c r="T42" s="15">
        <v>32.002000000000002</v>
      </c>
      <c r="U42" s="19">
        <v>93.340999999999994</v>
      </c>
      <c r="V42" s="3">
        <f t="shared" si="6"/>
        <v>24.32186437</v>
      </c>
      <c r="W42" s="3">
        <f t="shared" si="7"/>
        <v>379.21558786955904</v>
      </c>
      <c r="X42" s="75">
        <f t="shared" si="8"/>
        <v>12351.619965289909</v>
      </c>
      <c r="Y42" s="75">
        <f t="shared" si="9"/>
        <v>12730.835553159468</v>
      </c>
      <c r="Z42" s="3">
        <f t="shared" si="10"/>
        <v>12.730835553159467</v>
      </c>
      <c r="AA42" s="307"/>
      <c r="AB42" s="307"/>
      <c r="AC42" s="308"/>
      <c r="AF42" s="310"/>
      <c r="AG42" s="270"/>
      <c r="AH42" s="270"/>
      <c r="AI42" s="270"/>
      <c r="AJ42" s="270"/>
      <c r="AK42" s="270"/>
      <c r="AL42" s="270"/>
      <c r="AM42" s="230"/>
      <c r="AN42" s="230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ht="15">
      <c r="A43" s="15">
        <f>'Exptl Setup'!A79</f>
        <v>72</v>
      </c>
      <c r="B43" s="15" t="str">
        <f>'Exptl Setup'!C79</f>
        <v>f</v>
      </c>
      <c r="C43" s="15">
        <f>'Exptl Setup'!D79</f>
        <v>24</v>
      </c>
      <c r="D43" s="15" t="str">
        <f>'Exptl Setup'!E79</f>
        <v>+</v>
      </c>
      <c r="E43" s="22">
        <f>'Exptl Setup'!K79</f>
        <v>19.999984569282837</v>
      </c>
      <c r="F43" s="91">
        <v>134.5</v>
      </c>
      <c r="G43" s="91">
        <v>137.9</v>
      </c>
      <c r="H43" s="91">
        <v>138.1</v>
      </c>
      <c r="I43" s="91">
        <f t="shared" si="12"/>
        <v>136.83333333333334</v>
      </c>
      <c r="J43" s="123">
        <f t="shared" si="15"/>
        <v>60.349999999999994</v>
      </c>
      <c r="K43" s="126">
        <f t="shared" si="13"/>
        <v>1917.6241324101886</v>
      </c>
      <c r="L43" s="91">
        <f t="shared" si="3"/>
        <v>0.21037108657508324</v>
      </c>
      <c r="M43" s="177">
        <f t="shared" si="4"/>
        <v>211.81359898366262</v>
      </c>
      <c r="N43" s="178">
        <f t="shared" si="5"/>
        <v>11553.469035472506</v>
      </c>
      <c r="T43" s="15">
        <v>31.997</v>
      </c>
      <c r="U43" s="19">
        <v>101.244</v>
      </c>
      <c r="V43" s="3">
        <f t="shared" si="6"/>
        <v>26.38114908</v>
      </c>
      <c r="W43" s="3">
        <f t="shared" si="7"/>
        <v>411.38730562465173</v>
      </c>
      <c r="X43" s="75">
        <f t="shared" si="8"/>
        <v>11553.469035472506</v>
      </c>
      <c r="Y43" s="75">
        <f t="shared" si="9"/>
        <v>11964.856341097158</v>
      </c>
      <c r="Z43" s="3">
        <f t="shared" si="10"/>
        <v>11.964856341097159</v>
      </c>
      <c r="AA43" s="307"/>
      <c r="AB43" s="307"/>
      <c r="AC43" s="308"/>
      <c r="AF43" s="310"/>
      <c r="AG43" s="270"/>
      <c r="AH43" s="270"/>
      <c r="AI43" s="270"/>
      <c r="AJ43" s="270"/>
      <c r="AK43" s="270"/>
      <c r="AL43" s="270"/>
      <c r="AM43" s="230"/>
      <c r="AN43" s="230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ht="15">
      <c r="A44" s="15">
        <f>'Exptl Setup'!A83</f>
        <v>76</v>
      </c>
      <c r="B44" s="15" t="str">
        <f>'Exptl Setup'!C83</f>
        <v>d</v>
      </c>
      <c r="C44" s="15">
        <f>'Exptl Setup'!D83</f>
        <v>24</v>
      </c>
      <c r="D44" s="15" t="str">
        <f>'Exptl Setup'!E83</f>
        <v>-</v>
      </c>
      <c r="E44" s="22">
        <f>'Exptl Setup'!K83</f>
        <v>0</v>
      </c>
      <c r="F44" s="91">
        <v>66.37</v>
      </c>
      <c r="G44" s="91">
        <v>67.58</v>
      </c>
      <c r="H44" s="91">
        <v>67.680000000000007</v>
      </c>
      <c r="I44" s="91">
        <f t="shared" si="12"/>
        <v>67.209999999999994</v>
      </c>
      <c r="J44" s="123">
        <f t="shared" si="15"/>
        <v>60.349999999999994</v>
      </c>
      <c r="K44" s="126">
        <f t="shared" si="13"/>
        <v>709.31880568140502</v>
      </c>
      <c r="L44" s="91">
        <f t="shared" si="3"/>
        <v>7.7815128292001809E-2</v>
      </c>
      <c r="M44" s="177">
        <f t="shared" si="4"/>
        <v>78.348705838060397</v>
      </c>
      <c r="N44" s="178">
        <f t="shared" si="5"/>
        <v>4273.5657729851127</v>
      </c>
      <c r="T44" s="15">
        <v>32.008000000000003</v>
      </c>
      <c r="U44" s="19">
        <v>88.070999999999998</v>
      </c>
      <c r="V44" s="3">
        <f t="shared" si="6"/>
        <v>22.94866047</v>
      </c>
      <c r="W44" s="3">
        <f t="shared" si="7"/>
        <v>357.73813756963898</v>
      </c>
      <c r="X44" s="75">
        <f t="shared" si="8"/>
        <v>4273.5657729851127</v>
      </c>
      <c r="Y44" s="75">
        <f t="shared" si="9"/>
        <v>4631.3039105547514</v>
      </c>
      <c r="Z44" s="3">
        <f t="shared" si="10"/>
        <v>4.6313039105547515</v>
      </c>
      <c r="AA44" s="307"/>
      <c r="AB44" s="307"/>
      <c r="AC44" s="308"/>
      <c r="AF44" s="310"/>
      <c r="AG44" s="270"/>
      <c r="AH44" s="270"/>
      <c r="AI44" s="270"/>
      <c r="AJ44" s="270"/>
      <c r="AK44" s="270"/>
      <c r="AL44" s="270"/>
      <c r="AM44" s="230"/>
      <c r="AN44" s="230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ht="15">
      <c r="A45" s="15">
        <f>'Exptl Setup'!A84</f>
        <v>77</v>
      </c>
      <c r="B45" s="15" t="str">
        <f>'Exptl Setup'!C84</f>
        <v>e</v>
      </c>
      <c r="C45" s="15">
        <f>'Exptl Setup'!D84</f>
        <v>24</v>
      </c>
      <c r="D45" s="15" t="str">
        <f>'Exptl Setup'!E84</f>
        <v>-</v>
      </c>
      <c r="E45" s="22">
        <f>'Exptl Setup'!K84</f>
        <v>0</v>
      </c>
      <c r="F45" s="91">
        <v>55.51</v>
      </c>
      <c r="G45" s="91">
        <v>56.42</v>
      </c>
      <c r="H45" s="91">
        <v>56.54</v>
      </c>
      <c r="I45" s="91">
        <f t="shared" si="12"/>
        <v>56.156666666666666</v>
      </c>
      <c r="J45" s="123">
        <f t="shared" si="15"/>
        <v>60.349999999999994</v>
      </c>
      <c r="K45" s="126">
        <f t="shared" si="13"/>
        <v>517.48941594460018</v>
      </c>
      <c r="L45" s="91">
        <f t="shared" si="3"/>
        <v>5.6770672043296985E-2</v>
      </c>
      <c r="M45" s="177">
        <f t="shared" si="4"/>
        <v>57.159947966139256</v>
      </c>
      <c r="N45" s="178">
        <f t="shared" si="5"/>
        <v>3117.8153436075959</v>
      </c>
      <c r="T45" s="15">
        <v>32.003</v>
      </c>
      <c r="U45" s="19">
        <v>3435.16</v>
      </c>
      <c r="V45" s="3">
        <f t="shared" si="6"/>
        <v>895.09964119999995</v>
      </c>
      <c r="W45" s="3">
        <f t="shared" si="7"/>
        <v>13955.555589962647</v>
      </c>
      <c r="X45" s="75">
        <f t="shared" si="8"/>
        <v>3117.8153436075959</v>
      </c>
      <c r="Y45" s="75">
        <f t="shared" si="9"/>
        <v>17073.370933570244</v>
      </c>
      <c r="Z45" s="3">
        <f t="shared" si="10"/>
        <v>17.073370933570246</v>
      </c>
      <c r="AA45" s="307"/>
      <c r="AB45" s="307"/>
      <c r="AC45" s="308"/>
      <c r="AF45" s="310"/>
      <c r="AG45" s="270"/>
      <c r="AH45" s="270"/>
      <c r="AI45" s="270"/>
      <c r="AJ45" s="270"/>
      <c r="AK45" s="270"/>
      <c r="AL45" s="270"/>
      <c r="AM45" s="230"/>
      <c r="AN45" s="230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ht="15">
      <c r="A46" s="15">
        <f>'Exptl Setup'!A85</f>
        <v>78</v>
      </c>
      <c r="B46" s="15" t="str">
        <f>'Exptl Setup'!C85</f>
        <v>f</v>
      </c>
      <c r="C46" s="15">
        <f>'Exptl Setup'!D85</f>
        <v>24</v>
      </c>
      <c r="D46" s="15" t="str">
        <f>'Exptl Setup'!E85</f>
        <v>-</v>
      </c>
      <c r="E46" s="22">
        <f>'Exptl Setup'!K85</f>
        <v>0</v>
      </c>
      <c r="F46" s="91">
        <v>43.72</v>
      </c>
      <c r="G46" s="91">
        <v>43.65</v>
      </c>
      <c r="H46" s="91">
        <v>43.67</v>
      </c>
      <c r="I46" s="91">
        <f t="shared" si="12"/>
        <v>43.680000000000007</v>
      </c>
      <c r="J46" s="123">
        <f t="shared" si="15"/>
        <v>60.349999999999994</v>
      </c>
      <c r="K46" s="126">
        <f t="shared" si="13"/>
        <v>300.9582320529052</v>
      </c>
      <c r="L46" s="91">
        <f t="shared" si="3"/>
        <v>3.3016329540612385E-2</v>
      </c>
      <c r="M46" s="177">
        <f t="shared" si="4"/>
        <v>33.242722177658926</v>
      </c>
      <c r="N46" s="178">
        <f t="shared" si="5"/>
        <v>1813.2393915086691</v>
      </c>
      <c r="T46" s="15">
        <v>31.998999999999999</v>
      </c>
      <c r="U46" s="19">
        <v>3364.4009999999998</v>
      </c>
      <c r="V46" s="3">
        <f t="shared" si="6"/>
        <v>876.66196856999989</v>
      </c>
      <c r="W46" s="3">
        <f t="shared" si="7"/>
        <v>13669.80122512082</v>
      </c>
      <c r="X46" s="75">
        <f t="shared" si="8"/>
        <v>1813.2393915086691</v>
      </c>
      <c r="Y46" s="75">
        <f t="shared" si="9"/>
        <v>15483.040616629489</v>
      </c>
      <c r="Z46" s="3">
        <f t="shared" si="10"/>
        <v>15.48304061662949</v>
      </c>
      <c r="AA46" s="307"/>
      <c r="AB46" s="307"/>
      <c r="AC46" s="308"/>
      <c r="AF46" s="309"/>
      <c r="AG46" s="270"/>
      <c r="AH46" s="270"/>
      <c r="AI46" s="270"/>
      <c r="AJ46" s="270"/>
      <c r="AK46" s="270"/>
      <c r="AL46" s="270"/>
      <c r="AM46" s="230"/>
      <c r="AN46" s="230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104" ht="15">
      <c r="A47" s="15">
        <f>'Exptl Setup'!A89</f>
        <v>82</v>
      </c>
      <c r="B47" s="15" t="str">
        <f>'Exptl Setup'!C89</f>
        <v>d</v>
      </c>
      <c r="C47" s="15">
        <f>'Exptl Setup'!D89</f>
        <v>24</v>
      </c>
      <c r="D47" s="15" t="str">
        <f>'Exptl Setup'!E89</f>
        <v>-</v>
      </c>
      <c r="E47" s="22">
        <f>'Exptl Setup'!K89</f>
        <v>5.9988704771116099</v>
      </c>
      <c r="F47" s="127">
        <v>89.08</v>
      </c>
      <c r="G47" s="127">
        <v>90.65</v>
      </c>
      <c r="H47" s="127">
        <v>90.8</v>
      </c>
      <c r="I47" s="91">
        <f t="shared" si="12"/>
        <v>90.176666666666677</v>
      </c>
      <c r="J47" s="123">
        <f t="shared" si="15"/>
        <v>60.349999999999994</v>
      </c>
      <c r="K47" s="126">
        <f t="shared" si="13"/>
        <v>1107.902790990991</v>
      </c>
      <c r="L47" s="91">
        <f t="shared" si="3"/>
        <v>0.1215413959498958</v>
      </c>
      <c r="M47" s="177">
        <f t="shared" si="4"/>
        <v>122.37480407012818</v>
      </c>
      <c r="N47" s="178">
        <f t="shared" si="5"/>
        <v>6674.9893129160819</v>
      </c>
      <c r="T47" s="15">
        <v>32.003</v>
      </c>
      <c r="U47" s="19">
        <v>7250.8329999999996</v>
      </c>
      <c r="V47" s="3">
        <f t="shared" si="6"/>
        <v>1889.34955481</v>
      </c>
      <c r="W47" s="3">
        <f t="shared" si="7"/>
        <v>29456.969400271202</v>
      </c>
      <c r="X47" s="75">
        <f t="shared" si="8"/>
        <v>6674.9893129160819</v>
      </c>
      <c r="Y47" s="75">
        <f t="shared" si="9"/>
        <v>36131.958713187283</v>
      </c>
      <c r="Z47" s="3">
        <f t="shared" si="10"/>
        <v>36.131958713187281</v>
      </c>
      <c r="AA47" s="307"/>
      <c r="AB47" s="307"/>
      <c r="AC47" s="308"/>
      <c r="AF47" s="310"/>
      <c r="AG47" s="270"/>
      <c r="AH47" s="270"/>
      <c r="AI47" s="270"/>
      <c r="AJ47" s="270"/>
      <c r="AK47" s="270"/>
      <c r="AL47" s="270"/>
      <c r="AM47" s="230"/>
      <c r="AN47" s="230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</row>
    <row r="48" spans="1:104" ht="15">
      <c r="A48" s="15">
        <f>'Exptl Setup'!A90</f>
        <v>83</v>
      </c>
      <c r="B48" s="15" t="str">
        <f>'Exptl Setup'!C90</f>
        <v>e</v>
      </c>
      <c r="C48" s="15">
        <f>'Exptl Setup'!D90</f>
        <v>24</v>
      </c>
      <c r="D48" s="15" t="str">
        <f>'Exptl Setup'!E90</f>
        <v>-</v>
      </c>
      <c r="E48" s="22">
        <f>'Exptl Setup'!K90</f>
        <v>6.0001828940805995</v>
      </c>
      <c r="F48" s="127">
        <v>98.98</v>
      </c>
      <c r="G48" s="127">
        <v>101.6</v>
      </c>
      <c r="H48" s="127">
        <v>101.7</v>
      </c>
      <c r="I48" s="91">
        <f t="shared" si="12"/>
        <v>100.75999999999999</v>
      </c>
      <c r="J48" s="123">
        <f t="shared" si="15"/>
        <v>60.349999999999994</v>
      </c>
      <c r="K48" s="126">
        <f t="shared" si="13"/>
        <v>1291.5753821895298</v>
      </c>
      <c r="L48" s="91">
        <f t="shared" si="3"/>
        <v>0.14169101856438243</v>
      </c>
      <c r="M48" s="177">
        <f t="shared" si="4"/>
        <v>142.66259244267025</v>
      </c>
      <c r="N48" s="178">
        <f t="shared" si="5"/>
        <v>7781.5959514183778</v>
      </c>
      <c r="T48" s="15">
        <v>31.995999999999999</v>
      </c>
      <c r="U48" s="19">
        <v>7971.9639999999999</v>
      </c>
      <c r="V48" s="3">
        <f t="shared" si="6"/>
        <v>2077.2546594800001</v>
      </c>
      <c r="W48" s="3">
        <f t="shared" si="7"/>
        <v>32393.69532721768</v>
      </c>
      <c r="X48" s="75">
        <f t="shared" si="8"/>
        <v>7781.5959514183778</v>
      </c>
      <c r="Y48" s="75">
        <f t="shared" si="9"/>
        <v>40175.291278636054</v>
      </c>
      <c r="Z48" s="3">
        <f t="shared" si="10"/>
        <v>40.175291278636053</v>
      </c>
      <c r="AA48" s="307"/>
      <c r="AB48" s="307"/>
      <c r="AC48" s="308"/>
      <c r="AF48" s="310"/>
      <c r="AG48" s="270"/>
      <c r="AH48" s="270"/>
      <c r="AI48" s="270"/>
      <c r="AJ48" s="270"/>
      <c r="AK48" s="270"/>
      <c r="AL48" s="270"/>
      <c r="AM48" s="230"/>
      <c r="AN48" s="230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ht="15">
      <c r="A49" s="15">
        <f>'Exptl Setup'!A91</f>
        <v>84</v>
      </c>
      <c r="B49" s="15" t="str">
        <f>'Exptl Setup'!C91</f>
        <v>f</v>
      </c>
      <c r="C49" s="15">
        <f>'Exptl Setup'!D91</f>
        <v>24</v>
      </c>
      <c r="D49" s="15" t="str">
        <f>'Exptl Setup'!E91</f>
        <v>-</v>
      </c>
      <c r="E49" s="22">
        <f>'Exptl Setup'!K91</f>
        <v>5.9986830358393597</v>
      </c>
      <c r="F49" s="127">
        <v>76.75</v>
      </c>
      <c r="G49" s="127">
        <v>77</v>
      </c>
      <c r="H49" s="127">
        <v>77.11</v>
      </c>
      <c r="I49" s="91">
        <f t="shared" si="12"/>
        <v>76.953333333333333</v>
      </c>
      <c r="J49" s="123">
        <f t="shared" si="15"/>
        <v>60.349999999999994</v>
      </c>
      <c r="K49" s="126">
        <f t="shared" si="13"/>
        <v>878.41328885410746</v>
      </c>
      <c r="L49" s="91">
        <f t="shared" si="3"/>
        <v>9.6365473772992233E-2</v>
      </c>
      <c r="M49" s="177">
        <f t="shared" si="4"/>
        <v>97.0262508500102</v>
      </c>
      <c r="N49" s="178">
        <f t="shared" si="5"/>
        <v>5292.3409554551017</v>
      </c>
      <c r="T49" s="15">
        <v>32.003999999999998</v>
      </c>
      <c r="U49" s="19">
        <v>7037.8059999999996</v>
      </c>
      <c r="V49" s="3">
        <f t="shared" si="6"/>
        <v>1833.8411094199998</v>
      </c>
      <c r="W49" s="3">
        <f t="shared" si="7"/>
        <v>28590.640314448487</v>
      </c>
      <c r="X49" s="75">
        <f t="shared" si="8"/>
        <v>5292.3409554551017</v>
      </c>
      <c r="Y49" s="75">
        <f t="shared" si="9"/>
        <v>33882.98126990359</v>
      </c>
      <c r="Z49" s="3">
        <f t="shared" si="10"/>
        <v>33.882981269903588</v>
      </c>
      <c r="AA49" s="307"/>
      <c r="AB49" s="307"/>
      <c r="AC49" s="308"/>
      <c r="AF49" s="309"/>
      <c r="AG49" s="270"/>
      <c r="AH49" s="270"/>
      <c r="AI49" s="270"/>
      <c r="AJ49" s="270"/>
      <c r="AK49" s="270"/>
      <c r="AL49" s="270"/>
      <c r="AM49" s="230"/>
      <c r="AN49" s="230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ht="15">
      <c r="A50" s="15">
        <f>'Exptl Setup'!A95</f>
        <v>88</v>
      </c>
      <c r="B50" s="15" t="str">
        <f>'Exptl Setup'!C95</f>
        <v>d</v>
      </c>
      <c r="C50" s="15">
        <f>'Exptl Setup'!D95</f>
        <v>24</v>
      </c>
      <c r="D50" s="15" t="str">
        <f>'Exptl Setup'!E95</f>
        <v>-</v>
      </c>
      <c r="E50" s="22">
        <f>'Exptl Setup'!K95</f>
        <v>15.993989347079705</v>
      </c>
      <c r="F50" s="127">
        <v>228.9</v>
      </c>
      <c r="G50" s="127">
        <v>236.5</v>
      </c>
      <c r="H50" s="127">
        <v>236.5</v>
      </c>
      <c r="I50" s="91">
        <f t="shared" si="12"/>
        <v>233.96666666666667</v>
      </c>
      <c r="J50" s="123">
        <f t="shared" si="15"/>
        <v>60.349999999999994</v>
      </c>
      <c r="K50" s="126">
        <f t="shared" si="13"/>
        <v>3603.3624969851267</v>
      </c>
      <c r="L50" s="91">
        <f t="shared" si="3"/>
        <v>0.39530337098016732</v>
      </c>
      <c r="M50" s="177">
        <f t="shared" si="4"/>
        <v>398.01396218866319</v>
      </c>
      <c r="N50" s="178">
        <f t="shared" si="5"/>
        <v>21709.852483017989</v>
      </c>
      <c r="T50" s="15">
        <v>32.009</v>
      </c>
      <c r="U50" s="19">
        <v>546.87</v>
      </c>
      <c r="V50" s="3">
        <f t="shared" si="6"/>
        <v>142.49791590000001</v>
      </c>
      <c r="W50" s="3">
        <f t="shared" si="7"/>
        <v>2221.2776439316726</v>
      </c>
      <c r="X50" s="75">
        <f t="shared" si="8"/>
        <v>21709.852483017989</v>
      </c>
      <c r="Y50" s="75">
        <f t="shared" si="9"/>
        <v>23931.130126949662</v>
      </c>
      <c r="Z50" s="3">
        <f t="shared" si="10"/>
        <v>23.931130126949661</v>
      </c>
      <c r="AA50" s="307"/>
      <c r="AB50" s="307"/>
      <c r="AC50" s="308"/>
      <c r="AF50" s="310"/>
      <c r="AG50" s="270"/>
      <c r="AH50" s="270"/>
      <c r="AI50" s="270"/>
      <c r="AJ50" s="270"/>
      <c r="AK50" s="270"/>
      <c r="AL50" s="270"/>
      <c r="AM50" s="230"/>
      <c r="AN50" s="23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spans="1:104" ht="15">
      <c r="A51" s="15">
        <f>'Exptl Setup'!A96</f>
        <v>89</v>
      </c>
      <c r="B51" s="15" t="str">
        <f>'Exptl Setup'!C96</f>
        <v>e</v>
      </c>
      <c r="C51" s="15">
        <f>'Exptl Setup'!D96</f>
        <v>24</v>
      </c>
      <c r="D51" s="15" t="str">
        <f>'Exptl Setup'!E96</f>
        <v>-</v>
      </c>
      <c r="E51" s="22">
        <f>'Exptl Setup'!K96</f>
        <v>15.997487813595217</v>
      </c>
      <c r="F51" s="127">
        <v>242.2</v>
      </c>
      <c r="G51" s="127">
        <v>248.8</v>
      </c>
      <c r="H51" s="127">
        <v>250.2</v>
      </c>
      <c r="I51" s="91">
        <f t="shared" si="12"/>
        <v>247.06666666666669</v>
      </c>
      <c r="J51" s="123">
        <f t="shared" si="15"/>
        <v>60.349999999999994</v>
      </c>
      <c r="K51" s="126">
        <f t="shared" si="13"/>
        <v>3830.7115626261534</v>
      </c>
      <c r="L51" s="91">
        <f t="shared" si="3"/>
        <v>0.42024447865731146</v>
      </c>
      <c r="M51" s="177">
        <f t="shared" si="4"/>
        <v>423.12609078837664</v>
      </c>
      <c r="N51" s="178">
        <f t="shared" si="5"/>
        <v>23079.604952093272</v>
      </c>
      <c r="T51" s="15">
        <v>32.002000000000002</v>
      </c>
      <c r="U51" s="19">
        <v>737.31500000000005</v>
      </c>
      <c r="V51" s="3">
        <f t="shared" si="6"/>
        <v>192.12216955000002</v>
      </c>
      <c r="W51" s="3">
        <f t="shared" si="7"/>
        <v>2995.4825978942158</v>
      </c>
      <c r="X51" s="75">
        <f t="shared" si="8"/>
        <v>23079.604952093272</v>
      </c>
      <c r="Y51" s="75">
        <f t="shared" si="9"/>
        <v>26075.087549987489</v>
      </c>
      <c r="Z51" s="3">
        <f t="shared" si="10"/>
        <v>26.07508754998749</v>
      </c>
      <c r="AA51" s="307"/>
      <c r="AB51" s="307"/>
      <c r="AC51" s="308"/>
      <c r="AF51" s="310"/>
      <c r="AG51" s="270"/>
      <c r="AH51" s="270"/>
      <c r="AI51" s="270"/>
      <c r="AJ51" s="270"/>
      <c r="AK51" s="270"/>
      <c r="AL51" s="270"/>
      <c r="AM51" s="230"/>
      <c r="AN51" s="230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04" ht="15">
      <c r="A52" s="15">
        <f>'Exptl Setup'!A97</f>
        <v>90</v>
      </c>
      <c r="B52" s="15" t="str">
        <f>'Exptl Setup'!C97</f>
        <v>f</v>
      </c>
      <c r="C52" s="15">
        <f>'Exptl Setup'!D97</f>
        <v>24</v>
      </c>
      <c r="D52" s="15" t="str">
        <f>'Exptl Setup'!E97</f>
        <v>-</v>
      </c>
      <c r="E52" s="22">
        <f>'Exptl Setup'!K97</f>
        <v>16.000987810929029</v>
      </c>
      <c r="F52" s="127">
        <v>225.8</v>
      </c>
      <c r="G52" s="127">
        <v>230.7</v>
      </c>
      <c r="H52" s="127">
        <v>229.1</v>
      </c>
      <c r="I52" s="91">
        <f t="shared" si="12"/>
        <v>228.53333333333333</v>
      </c>
      <c r="J52" s="123">
        <f t="shared" si="15"/>
        <v>60.349999999999994</v>
      </c>
      <c r="K52" s="126">
        <f t="shared" si="13"/>
        <v>3509.0675918973729</v>
      </c>
      <c r="L52" s="91">
        <f t="shared" si="3"/>
        <v>0.3849588403150922</v>
      </c>
      <c r="M52" s="177">
        <f t="shared" si="4"/>
        <v>387.5984991816573</v>
      </c>
      <c r="N52" s="178">
        <f t="shared" si="5"/>
        <v>21141.736318999487</v>
      </c>
      <c r="T52" s="15">
        <v>31.995000000000001</v>
      </c>
      <c r="U52" s="19">
        <v>585.63699999999994</v>
      </c>
      <c r="V52" s="3">
        <f t="shared" si="6"/>
        <v>152.59943308999999</v>
      </c>
      <c r="W52" s="3">
        <f t="shared" si="7"/>
        <v>2379.7823829951467</v>
      </c>
      <c r="X52" s="75">
        <f t="shared" si="8"/>
        <v>21141.736318999487</v>
      </c>
      <c r="Y52" s="75">
        <f t="shared" si="9"/>
        <v>23521.518701994632</v>
      </c>
      <c r="Z52" s="3">
        <f t="shared" si="10"/>
        <v>23.52151870199463</v>
      </c>
      <c r="AA52" s="307"/>
      <c r="AB52" s="307"/>
      <c r="AC52" s="308"/>
      <c r="AF52" s="309"/>
      <c r="AG52" s="270"/>
      <c r="AH52" s="270"/>
      <c r="AI52" s="270"/>
      <c r="AJ52" s="270"/>
      <c r="AK52" s="270"/>
      <c r="AL52" s="270"/>
      <c r="AM52" s="230"/>
      <c r="AN52" s="230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</row>
    <row r="53" spans="1:104" ht="15">
      <c r="A53" s="15">
        <f>'Exptl Setup'!A101</f>
        <v>94</v>
      </c>
      <c r="B53" s="15" t="str">
        <f>'Exptl Setup'!C101</f>
        <v>d</v>
      </c>
      <c r="C53" s="15">
        <f>'Exptl Setup'!D101</f>
        <v>24</v>
      </c>
      <c r="D53" s="15" t="str">
        <f>'Exptl Setup'!E101</f>
        <v>-</v>
      </c>
      <c r="E53" s="22">
        <f>'Exptl Setup'!K101</f>
        <v>19.992486683849631</v>
      </c>
      <c r="F53" s="127">
        <v>146.69999999999999</v>
      </c>
      <c r="G53" s="127">
        <v>151.9</v>
      </c>
      <c r="H53" s="127">
        <v>152.69999999999999</v>
      </c>
      <c r="I53" s="91">
        <f t="shared" si="12"/>
        <v>150.43333333333334</v>
      </c>
      <c r="J53" s="123">
        <f t="shared" si="15"/>
        <v>60.349999999999994</v>
      </c>
      <c r="K53" s="126">
        <f t="shared" si="13"/>
        <v>2153.6506433046893</v>
      </c>
      <c r="L53" s="91">
        <f t="shared" si="3"/>
        <v>0.23626414492692754</v>
      </c>
      <c r="M53" s="177">
        <f t="shared" si="4"/>
        <v>237.88420577420493</v>
      </c>
      <c r="N53" s="178">
        <f t="shared" si="5"/>
        <v>12975.502133138451</v>
      </c>
      <c r="T53" s="15">
        <v>32.009</v>
      </c>
      <c r="U53" s="19">
        <v>87.319000000000003</v>
      </c>
      <c r="V53" s="3">
        <f t="shared" si="6"/>
        <v>22.752711829999999</v>
      </c>
      <c r="W53" s="3">
        <f t="shared" si="7"/>
        <v>354.67248631387662</v>
      </c>
      <c r="X53" s="75">
        <f t="shared" si="8"/>
        <v>12975.502133138451</v>
      </c>
      <c r="Y53" s="75">
        <f t="shared" si="9"/>
        <v>13330.174619452328</v>
      </c>
      <c r="Z53" s="3">
        <f t="shared" si="10"/>
        <v>13.330174619452327</v>
      </c>
      <c r="AA53" s="307"/>
      <c r="AB53" s="307"/>
      <c r="AC53" s="308"/>
      <c r="AF53" s="310"/>
      <c r="AG53" s="270"/>
      <c r="AH53" s="270"/>
      <c r="AI53" s="270"/>
      <c r="AJ53" s="270"/>
      <c r="AK53" s="270"/>
      <c r="AL53" s="270"/>
      <c r="AM53" s="230"/>
      <c r="AN53" s="230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</row>
    <row r="54" spans="1:104" ht="15">
      <c r="A54" s="15">
        <f>'Exptl Setup'!A102</f>
        <v>95</v>
      </c>
      <c r="B54" s="15" t="str">
        <f>'Exptl Setup'!C102</f>
        <v>e</v>
      </c>
      <c r="C54" s="15">
        <f>'Exptl Setup'!D102</f>
        <v>24</v>
      </c>
      <c r="D54" s="15" t="str">
        <f>'Exptl Setup'!E102</f>
        <v>-</v>
      </c>
      <c r="E54" s="22">
        <f>'Exptl Setup'!K102</f>
        <v>19.997484649334176</v>
      </c>
      <c r="F54" s="127">
        <v>132.1</v>
      </c>
      <c r="G54" s="127">
        <v>136.69999999999999</v>
      </c>
      <c r="H54" s="127">
        <v>136.9</v>
      </c>
      <c r="I54" s="91">
        <f t="shared" si="12"/>
        <v>135.23333333333332</v>
      </c>
      <c r="J54" s="123">
        <f t="shared" si="15"/>
        <v>60.349999999999994</v>
      </c>
      <c r="K54" s="126">
        <f t="shared" si="13"/>
        <v>1889.8563075990703</v>
      </c>
      <c r="L54" s="91">
        <f t="shared" si="3"/>
        <v>0.20732484441604263</v>
      </c>
      <c r="M54" s="177">
        <f t="shared" si="4"/>
        <v>208.74646877301049</v>
      </c>
      <c r="N54" s="178">
        <f t="shared" si="5"/>
        <v>11386.171023982391</v>
      </c>
      <c r="T54" s="15">
        <v>32.000999999999998</v>
      </c>
      <c r="U54" s="19">
        <v>61.348999999999997</v>
      </c>
      <c r="V54" s="3">
        <f t="shared" si="6"/>
        <v>15.985708929999999</v>
      </c>
      <c r="W54" s="3">
        <f t="shared" si="7"/>
        <v>249.24978405015415</v>
      </c>
      <c r="X54" s="75">
        <f t="shared" si="8"/>
        <v>11386.171023982391</v>
      </c>
      <c r="Y54" s="75">
        <f t="shared" si="9"/>
        <v>11635.420808032546</v>
      </c>
      <c r="Z54" s="3">
        <f t="shared" si="10"/>
        <v>11.635420808032546</v>
      </c>
      <c r="AA54" s="307"/>
      <c r="AB54" s="307"/>
      <c r="AC54" s="308"/>
      <c r="AF54" s="310"/>
      <c r="AG54" s="270"/>
      <c r="AH54" s="270"/>
      <c r="AI54" s="270"/>
      <c r="AJ54" s="270"/>
      <c r="AK54" s="270"/>
      <c r="AL54" s="270"/>
      <c r="AM54" s="230"/>
      <c r="AN54" s="230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</row>
    <row r="55" spans="1:104" ht="15.75" thickBot="1">
      <c r="A55" s="97">
        <f>'Exptl Setup'!A103</f>
        <v>96</v>
      </c>
      <c r="B55" s="97" t="str">
        <f>'Exptl Setup'!C103</f>
        <v>f</v>
      </c>
      <c r="C55" s="97">
        <f>'Exptl Setup'!D103</f>
        <v>24</v>
      </c>
      <c r="D55" s="97" t="str">
        <f>'Exptl Setup'!E103</f>
        <v>-</v>
      </c>
      <c r="E55" s="98">
        <f>'Exptl Setup'!K103</f>
        <v>20.001234763661284</v>
      </c>
      <c r="F55" s="128">
        <v>112.6</v>
      </c>
      <c r="G55" s="128">
        <v>133.19999999999999</v>
      </c>
      <c r="H55" s="128">
        <v>113.1</v>
      </c>
      <c r="I55" s="99">
        <f t="shared" si="12"/>
        <v>119.63333333333333</v>
      </c>
      <c r="J55" s="128">
        <f t="shared" si="15"/>
        <v>60.349999999999994</v>
      </c>
      <c r="K55" s="124">
        <f t="shared" si="13"/>
        <v>1619.1200156906727</v>
      </c>
      <c r="L55" s="99">
        <f t="shared" si="3"/>
        <v>0.17762398336539773</v>
      </c>
      <c r="M55" s="177">
        <f t="shared" si="4"/>
        <v>178.84194921915321</v>
      </c>
      <c r="N55" s="178">
        <f t="shared" si="5"/>
        <v>9755.0154119538111</v>
      </c>
      <c r="T55" s="15">
        <v>31.995000000000001</v>
      </c>
      <c r="U55" s="19">
        <v>86.941999999999993</v>
      </c>
      <c r="V55" s="3">
        <f t="shared" si="6"/>
        <v>22.654476939999999</v>
      </c>
      <c r="W55" s="3">
        <f t="shared" si="7"/>
        <v>353.29571038435773</v>
      </c>
      <c r="X55" s="75">
        <f t="shared" si="8"/>
        <v>9755.0154119538111</v>
      </c>
      <c r="Y55" s="75">
        <f t="shared" si="9"/>
        <v>10108.311122338169</v>
      </c>
      <c r="Z55" s="3">
        <f t="shared" si="10"/>
        <v>10.108311122338169</v>
      </c>
      <c r="AA55" s="307"/>
      <c r="AB55" s="307"/>
      <c r="AC55" s="308"/>
      <c r="AF55" s="309"/>
      <c r="AG55" s="270"/>
      <c r="AH55" s="270"/>
      <c r="AI55" s="270"/>
      <c r="AJ55" s="270"/>
      <c r="AK55" s="270"/>
      <c r="AL55" s="270"/>
      <c r="AM55" s="230"/>
      <c r="AN55" s="230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</row>
    <row r="56" spans="1:104" ht="15">
      <c r="A56" s="14">
        <f>'Exptl Setup'!A107</f>
        <v>100</v>
      </c>
      <c r="B56" s="14" t="str">
        <f>'Exptl Setup'!C107</f>
        <v>d</v>
      </c>
      <c r="C56" s="14">
        <f>'Exptl Setup'!D107</f>
        <v>32</v>
      </c>
      <c r="D56" s="14" t="str">
        <f>'Exptl Setup'!E107</f>
        <v>+</v>
      </c>
      <c r="E56" s="26">
        <f>'Exptl Setup'!K107</f>
        <v>0</v>
      </c>
      <c r="F56" s="129">
        <v>66.319999999999993</v>
      </c>
      <c r="G56" s="129">
        <v>66.37</v>
      </c>
      <c r="H56" s="129">
        <v>66.36</v>
      </c>
      <c r="I56" s="91">
        <f t="shared" ref="I56" si="16">AVERAGE(F56:H56)</f>
        <v>66.350000000000009</v>
      </c>
      <c r="J56" s="123">
        <f t="shared" si="15"/>
        <v>60.349999999999994</v>
      </c>
      <c r="K56" s="126">
        <f>((I56-$S$33)*$S$63)+$S$62</f>
        <v>689.71820012878743</v>
      </c>
      <c r="L56" s="91">
        <f t="shared" ref="L56" si="17">((K56/1000000)*J56)*((101.3*273)/(101.3*(273+22)))*(44/22.4)</f>
        <v>7.5664862962136981E-2</v>
      </c>
      <c r="M56" s="177">
        <f t="shared" si="4"/>
        <v>76.183696160621153</v>
      </c>
      <c r="N56" s="178">
        <f t="shared" si="5"/>
        <v>4155.4743360338807</v>
      </c>
      <c r="O56" s="153" t="s">
        <v>163</v>
      </c>
      <c r="P56" s="4" t="s">
        <v>156</v>
      </c>
      <c r="Q56" s="40" t="s">
        <v>157</v>
      </c>
      <c r="R56" s="3" t="s">
        <v>158</v>
      </c>
      <c r="S56" s="3" t="s">
        <v>159</v>
      </c>
      <c r="T56" s="15">
        <v>31.995999999999999</v>
      </c>
      <c r="U56" s="19">
        <v>5931.9949999999999</v>
      </c>
      <c r="V56" s="3">
        <f t="shared" si="6"/>
        <v>1545.6999371499999</v>
      </c>
      <c r="W56" s="3">
        <f t="shared" si="7"/>
        <v>24104.378633995158</v>
      </c>
      <c r="X56" s="75">
        <f t="shared" si="8"/>
        <v>4155.4743360338807</v>
      </c>
      <c r="Y56" s="75">
        <f t="shared" si="9"/>
        <v>28259.852970029038</v>
      </c>
      <c r="Z56" s="3">
        <f t="shared" si="10"/>
        <v>28.259852970029037</v>
      </c>
      <c r="AA56" s="307"/>
      <c r="AB56" s="307"/>
      <c r="AC56" s="308"/>
      <c r="AF56" s="310"/>
      <c r="AG56" s="270"/>
      <c r="AH56" s="270"/>
      <c r="AI56" s="270"/>
      <c r="AJ56" s="270"/>
      <c r="AK56" s="270"/>
      <c r="AL56" s="270"/>
      <c r="AM56" s="230"/>
      <c r="AN56" s="230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</row>
    <row r="57" spans="1:104" ht="15">
      <c r="A57" s="15">
        <f>'Exptl Setup'!A108</f>
        <v>101</v>
      </c>
      <c r="B57" s="15" t="str">
        <f>'Exptl Setup'!C108</f>
        <v>e</v>
      </c>
      <c r="C57" s="15">
        <f>'Exptl Setup'!D108</f>
        <v>32</v>
      </c>
      <c r="D57" s="15" t="str">
        <f>'Exptl Setup'!E108</f>
        <v>+</v>
      </c>
      <c r="E57" s="22">
        <f>'Exptl Setup'!K108</f>
        <v>0</v>
      </c>
      <c r="F57" s="127">
        <v>66.260000000000005</v>
      </c>
      <c r="G57" s="127">
        <v>66.31</v>
      </c>
      <c r="H57" s="127">
        <v>66.39</v>
      </c>
      <c r="I57" s="91">
        <f t="shared" ref="I57:I79" si="18">AVERAGE(F57:H57)</f>
        <v>66.319999999999993</v>
      </c>
      <c r="J57" s="123">
        <f t="shared" si="15"/>
        <v>60.349999999999994</v>
      </c>
      <c r="K57" s="126">
        <f t="shared" ref="K57:K79" si="19">((I57-$S$33)*$S$63)+$S$62</f>
        <v>689.19724150366665</v>
      </c>
      <c r="L57" s="91">
        <f t="shared" ref="L57:L79" si="20">((K57/1000000)*J57)*((101.3*273)/(101.3*(273+22)))*(44/22.4)</f>
        <v>7.5607711703882002E-2</v>
      </c>
      <c r="M57" s="177">
        <f t="shared" si="4"/>
        <v>76.126153016767546</v>
      </c>
      <c r="N57" s="178">
        <f t="shared" si="5"/>
        <v>4152.3356190964114</v>
      </c>
      <c r="O57" s="92" t="s">
        <v>164</v>
      </c>
      <c r="P57" s="4">
        <v>25.38</v>
      </c>
      <c r="Q57" s="40">
        <v>25.22</v>
      </c>
      <c r="R57" s="3">
        <v>25.14</v>
      </c>
      <c r="S57" s="75">
        <f>AVERAGE(P57:R57)</f>
        <v>25.246666666666666</v>
      </c>
      <c r="T57" s="15">
        <v>32.012</v>
      </c>
      <c r="U57" s="19">
        <v>4823.2879999999996</v>
      </c>
      <c r="V57" s="3">
        <f t="shared" si="6"/>
        <v>1256.8041541600001</v>
      </c>
      <c r="W57" s="3">
        <f t="shared" si="7"/>
        <v>19589.404715229823</v>
      </c>
      <c r="X57" s="75">
        <f t="shared" si="8"/>
        <v>4152.3356190964114</v>
      </c>
      <c r="Y57" s="75">
        <f t="shared" si="9"/>
        <v>23741.740334326234</v>
      </c>
      <c r="Z57" s="3">
        <f t="shared" si="10"/>
        <v>23.741740334326234</v>
      </c>
      <c r="AA57" s="307"/>
      <c r="AB57" s="307"/>
      <c r="AC57" s="308"/>
      <c r="AF57" s="309"/>
      <c r="AG57" s="270"/>
      <c r="AH57" s="270"/>
      <c r="AI57" s="270"/>
      <c r="AJ57" s="270"/>
      <c r="AK57" s="270"/>
      <c r="AL57" s="270"/>
      <c r="AM57" s="230"/>
      <c r="AN57" s="230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</row>
    <row r="58" spans="1:104" ht="15">
      <c r="A58" s="15">
        <f>'Exptl Setup'!A109</f>
        <v>102</v>
      </c>
      <c r="B58" s="15" t="str">
        <f>'Exptl Setup'!C109</f>
        <v>f</v>
      </c>
      <c r="C58" s="15">
        <f>'Exptl Setup'!D109</f>
        <v>32</v>
      </c>
      <c r="D58" s="15" t="str">
        <f>'Exptl Setup'!E109</f>
        <v>+</v>
      </c>
      <c r="E58" s="22">
        <f>'Exptl Setup'!K109</f>
        <v>0</v>
      </c>
      <c r="F58" s="127">
        <v>58.92</v>
      </c>
      <c r="G58" s="127">
        <v>59.56</v>
      </c>
      <c r="H58" s="127">
        <v>59.63</v>
      </c>
      <c r="I58" s="91">
        <f t="shared" si="18"/>
        <v>59.370000000000005</v>
      </c>
      <c r="J58" s="123">
        <f t="shared" si="15"/>
        <v>60.349999999999994</v>
      </c>
      <c r="K58" s="126">
        <f t="shared" si="19"/>
        <v>568.50849335073474</v>
      </c>
      <c r="L58" s="91">
        <f t="shared" si="20"/>
        <v>6.2367670208154764E-2</v>
      </c>
      <c r="M58" s="177">
        <f t="shared" si="4"/>
        <v>62.795324690689085</v>
      </c>
      <c r="N58" s="178">
        <f t="shared" si="5"/>
        <v>3425.1995285830408</v>
      </c>
      <c r="O58" s="29">
        <v>357</v>
      </c>
      <c r="P58" s="4">
        <v>21.6</v>
      </c>
      <c r="Q58" s="40">
        <v>21.56</v>
      </c>
      <c r="R58" s="3">
        <v>21.64</v>
      </c>
      <c r="S58" s="75">
        <f>AVERAGE(P58:R58)</f>
        <v>21.599999999999998</v>
      </c>
      <c r="T58" s="15">
        <v>32.005000000000003</v>
      </c>
      <c r="U58" s="19">
        <v>5209.4610000000002</v>
      </c>
      <c r="V58" s="3">
        <f t="shared" si="6"/>
        <v>1357.4292527700002</v>
      </c>
      <c r="W58" s="3">
        <f t="shared" si="7"/>
        <v>21162.44351978954</v>
      </c>
      <c r="X58" s="75">
        <f t="shared" si="8"/>
        <v>3425.1995285830408</v>
      </c>
      <c r="Y58" s="75">
        <f t="shared" si="9"/>
        <v>24587.643048372582</v>
      </c>
      <c r="Z58" s="3">
        <f t="shared" si="10"/>
        <v>24.587643048372581</v>
      </c>
      <c r="AA58" s="307"/>
      <c r="AB58" s="307"/>
      <c r="AC58" s="308"/>
      <c r="AF58" s="310"/>
      <c r="AG58" s="270"/>
      <c r="AH58" s="270"/>
      <c r="AI58" s="270"/>
      <c r="AJ58" s="270"/>
      <c r="AK58" s="270"/>
      <c r="AL58" s="270"/>
      <c r="AM58" s="230"/>
      <c r="AN58" s="230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</row>
    <row r="59" spans="1:104" ht="15">
      <c r="A59" s="15">
        <f>'Exptl Setup'!A113</f>
        <v>106</v>
      </c>
      <c r="B59" s="15" t="str">
        <f>'Exptl Setup'!C113</f>
        <v>d</v>
      </c>
      <c r="C59" s="15">
        <f>'Exptl Setup'!D113</f>
        <v>32</v>
      </c>
      <c r="D59" s="15" t="str">
        <f>'Exptl Setup'!E113</f>
        <v>+</v>
      </c>
      <c r="E59" s="22">
        <f>'Exptl Setup'!K113</f>
        <v>5.9990579300982079</v>
      </c>
      <c r="F59" s="127">
        <v>95.91</v>
      </c>
      <c r="G59" s="127">
        <v>97.05</v>
      </c>
      <c r="H59" s="127">
        <v>96.54</v>
      </c>
      <c r="I59" s="91">
        <f t="shared" si="18"/>
        <v>96.5</v>
      </c>
      <c r="J59" s="123">
        <f t="shared" si="15"/>
        <v>60.349999999999994</v>
      </c>
      <c r="K59" s="126">
        <f t="shared" si="19"/>
        <v>1213.2816183749603</v>
      </c>
      <c r="L59" s="91">
        <f t="shared" si="20"/>
        <v>0.13310187750834948</v>
      </c>
      <c r="M59" s="177">
        <f t="shared" si="4"/>
        <v>134.01455573346516</v>
      </c>
      <c r="N59" s="178">
        <f t="shared" si="5"/>
        <v>7309.8848581890097</v>
      </c>
      <c r="O59" s="93">
        <v>10000</v>
      </c>
      <c r="P59" s="4">
        <v>629.1</v>
      </c>
      <c r="Q59" s="40">
        <v>630.4</v>
      </c>
      <c r="R59" s="3">
        <v>629.1</v>
      </c>
      <c r="S59" s="75">
        <f t="shared" ref="S59:S60" si="21">AVERAGE(P59:R59)</f>
        <v>629.5333333333333</v>
      </c>
      <c r="T59" s="15">
        <v>32.002000000000002</v>
      </c>
      <c r="U59" s="19">
        <v>11822.401</v>
      </c>
      <c r="V59" s="3">
        <f t="shared" si="6"/>
        <v>3080.5630285700004</v>
      </c>
      <c r="W59" s="3">
        <f t="shared" si="7"/>
        <v>48030.755458423024</v>
      </c>
      <c r="X59" s="75">
        <f t="shared" si="8"/>
        <v>7309.8848581890097</v>
      </c>
      <c r="Y59" s="75">
        <f t="shared" si="9"/>
        <v>55340.640316612036</v>
      </c>
      <c r="Z59" s="3">
        <f t="shared" si="10"/>
        <v>55.340640316612038</v>
      </c>
      <c r="AA59" s="307"/>
      <c r="AB59" s="307"/>
      <c r="AC59" s="308"/>
      <c r="AF59" s="309"/>
      <c r="AG59" s="270"/>
      <c r="AH59" s="270"/>
      <c r="AI59" s="270"/>
      <c r="AJ59" s="270"/>
      <c r="AK59" s="270"/>
      <c r="AL59" s="270"/>
      <c r="AM59" s="230"/>
      <c r="AN59" s="230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</row>
    <row r="60" spans="1:104" ht="15">
      <c r="A60" s="15">
        <f>'Exptl Setup'!A114</f>
        <v>107</v>
      </c>
      <c r="B60" s="15" t="str">
        <f>'Exptl Setup'!C114</f>
        <v>e</v>
      </c>
      <c r="C60" s="15">
        <f>'Exptl Setup'!D114</f>
        <v>32</v>
      </c>
      <c r="D60" s="15" t="str">
        <f>'Exptl Setup'!E114</f>
        <v>+</v>
      </c>
      <c r="E60" s="22">
        <f>'Exptl Setup'!K114</f>
        <v>5.9996203593550685</v>
      </c>
      <c r="F60" s="127">
        <v>98.7</v>
      </c>
      <c r="G60" s="127">
        <v>99.77</v>
      </c>
      <c r="H60" s="127">
        <v>99.56</v>
      </c>
      <c r="I60" s="91">
        <f t="shared" si="18"/>
        <v>99.34333333333332</v>
      </c>
      <c r="J60" s="123">
        <f t="shared" si="15"/>
        <v>60.349999999999994</v>
      </c>
      <c r="K60" s="126">
        <f t="shared" si="19"/>
        <v>1262.6569191780541</v>
      </c>
      <c r="L60" s="91">
        <f t="shared" si="20"/>
        <v>0.13851854676295633</v>
      </c>
      <c r="M60" s="177">
        <f t="shared" si="4"/>
        <v>139.46836703425407</v>
      </c>
      <c r="N60" s="178">
        <f t="shared" si="5"/>
        <v>7607.3654745956765</v>
      </c>
      <c r="O60" s="94">
        <v>50000</v>
      </c>
      <c r="P60" s="4">
        <v>2893</v>
      </c>
      <c r="Q60" s="4">
        <v>2899</v>
      </c>
      <c r="R60" s="3">
        <v>2900</v>
      </c>
      <c r="S60" s="75">
        <f t="shared" si="21"/>
        <v>2897.3333333333335</v>
      </c>
      <c r="T60" s="15">
        <v>31.998999999999999</v>
      </c>
      <c r="U60" s="19">
        <v>11451.308999999999</v>
      </c>
      <c r="V60" s="3">
        <f t="shared" si="6"/>
        <v>2983.8675861299998</v>
      </c>
      <c r="W60" s="3">
        <f t="shared" si="7"/>
        <v>46527.485218746828</v>
      </c>
      <c r="X60" s="75">
        <f t="shared" si="8"/>
        <v>7607.3654745956765</v>
      </c>
      <c r="Y60" s="75">
        <f t="shared" si="9"/>
        <v>54134.850693342501</v>
      </c>
      <c r="Z60" s="3">
        <f t="shared" si="10"/>
        <v>54.1348506933425</v>
      </c>
      <c r="AA60" s="307"/>
      <c r="AB60" s="307"/>
      <c r="AC60" s="308"/>
      <c r="AF60" s="310"/>
      <c r="AG60" s="270"/>
      <c r="AH60" s="270"/>
      <c r="AI60" s="270"/>
      <c r="AJ60" s="270"/>
      <c r="AK60" s="270"/>
      <c r="AL60" s="270"/>
      <c r="AM60" s="230"/>
      <c r="AN60" s="23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</row>
    <row r="61" spans="1:104" ht="15">
      <c r="A61" s="15">
        <f>'Exptl Setup'!A115</f>
        <v>108</v>
      </c>
      <c r="B61" s="15" t="str">
        <f>'Exptl Setup'!C115</f>
        <v>f</v>
      </c>
      <c r="C61" s="15">
        <f>'Exptl Setup'!D115</f>
        <v>32</v>
      </c>
      <c r="D61" s="15" t="str">
        <f>'Exptl Setup'!E115</f>
        <v>+</v>
      </c>
      <c r="E61" s="22">
        <f>'Exptl Setup'!K115</f>
        <v>5.9996203593550685</v>
      </c>
      <c r="F61" s="127">
        <v>80.11</v>
      </c>
      <c r="G61" s="127">
        <v>80.67</v>
      </c>
      <c r="H61" s="127">
        <v>80.95</v>
      </c>
      <c r="I61" s="91">
        <f t="shared" si="18"/>
        <v>80.576666666666668</v>
      </c>
      <c r="J61" s="123">
        <f t="shared" si="15"/>
        <v>60.349999999999994</v>
      </c>
      <c r="K61" s="126">
        <f t="shared" si="19"/>
        <v>936.7683570192977</v>
      </c>
      <c r="L61" s="91">
        <f t="shared" si="20"/>
        <v>0.1027672596545897</v>
      </c>
      <c r="M61" s="177">
        <f t="shared" si="4"/>
        <v>103.47193371251703</v>
      </c>
      <c r="N61" s="178">
        <f t="shared" si="5"/>
        <v>5643.9236570463836</v>
      </c>
      <c r="T61" s="15">
        <v>31.998999999999999</v>
      </c>
      <c r="U61" s="19">
        <v>11620.859</v>
      </c>
      <c r="V61" s="3">
        <f t="shared" si="6"/>
        <v>3028.0472296299999</v>
      </c>
      <c r="W61" s="3">
        <f t="shared" si="7"/>
        <v>47216.37896171007</v>
      </c>
      <c r="X61" s="75">
        <f t="shared" si="8"/>
        <v>5643.9236570463836</v>
      </c>
      <c r="Y61" s="75">
        <f t="shared" si="9"/>
        <v>52860.302618756454</v>
      </c>
      <c r="Z61" s="3">
        <f t="shared" si="10"/>
        <v>52.860302618756457</v>
      </c>
      <c r="AA61" s="307"/>
      <c r="AB61" s="307"/>
      <c r="AC61" s="308"/>
      <c r="AF61" s="309"/>
      <c r="AG61" s="270"/>
      <c r="AH61" s="270"/>
      <c r="AI61" s="270"/>
      <c r="AJ61" s="270"/>
      <c r="AK61" s="270"/>
      <c r="AL61" s="270"/>
      <c r="AM61" s="230"/>
      <c r="AN61" s="230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</row>
    <row r="62" spans="1:104" ht="15">
      <c r="A62" s="15">
        <f>'Exptl Setup'!A119</f>
        <v>112</v>
      </c>
      <c r="B62" s="15" t="str">
        <f>'Exptl Setup'!C119</f>
        <v>d</v>
      </c>
      <c r="C62" s="15">
        <f>'Exptl Setup'!D119</f>
        <v>32</v>
      </c>
      <c r="D62" s="15" t="str">
        <f>'Exptl Setup'!E119</f>
        <v>+</v>
      </c>
      <c r="E62" s="22">
        <f>'Exptl Setup'!K119</f>
        <v>16.000487717548268</v>
      </c>
      <c r="F62" s="127">
        <v>195.8</v>
      </c>
      <c r="G62" s="127">
        <v>200.9</v>
      </c>
      <c r="H62" s="127">
        <v>200.3</v>
      </c>
      <c r="I62" s="91">
        <f t="shared" si="18"/>
        <v>199</v>
      </c>
      <c r="J62" s="123">
        <f t="shared" si="15"/>
        <v>60.349999999999994</v>
      </c>
      <c r="K62" s="126">
        <f t="shared" si="19"/>
        <v>2993.2235875369074</v>
      </c>
      <c r="L62" s="91">
        <f t="shared" si="20"/>
        <v>0.32836867654605367</v>
      </c>
      <c r="M62" s="177">
        <f t="shared" si="4"/>
        <v>330.62029723318363</v>
      </c>
      <c r="N62" s="178">
        <f t="shared" si="5"/>
        <v>18033.834394537287</v>
      </c>
      <c r="R62" s="95" t="s">
        <v>165</v>
      </c>
      <c r="S62" s="40">
        <f>INTERCEPT(O58:O59,S58:S59)</f>
        <v>14.382169097488259</v>
      </c>
      <c r="T62" s="15">
        <v>31.995999999999999</v>
      </c>
      <c r="U62" s="19">
        <v>1918.0730000000001</v>
      </c>
      <c r="V62" s="3">
        <f t="shared" si="6"/>
        <v>499.79228161000003</v>
      </c>
      <c r="W62" s="3">
        <f t="shared" si="7"/>
        <v>7793.9981135592652</v>
      </c>
      <c r="X62" s="75">
        <f t="shared" si="8"/>
        <v>18033.834394537287</v>
      </c>
      <c r="Y62" s="75">
        <f t="shared" si="9"/>
        <v>25827.832508096551</v>
      </c>
      <c r="Z62" s="3">
        <f t="shared" si="10"/>
        <v>25.827832508096552</v>
      </c>
      <c r="AA62" s="307"/>
      <c r="AB62" s="307"/>
      <c r="AC62" s="308"/>
      <c r="AF62" s="310"/>
      <c r="AG62" s="270"/>
      <c r="AH62" s="270"/>
      <c r="AI62" s="270"/>
      <c r="AJ62" s="270"/>
      <c r="AK62" s="270"/>
      <c r="AL62" s="270"/>
      <c r="AM62" s="230"/>
      <c r="AN62" s="230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</row>
    <row r="63" spans="1:104" ht="15">
      <c r="A63" s="15">
        <f>'Exptl Setup'!A120</f>
        <v>113</v>
      </c>
      <c r="B63" s="15" t="str">
        <f>'Exptl Setup'!C120</f>
        <v>e</v>
      </c>
      <c r="C63" s="15">
        <f>'Exptl Setup'!D120</f>
        <v>32</v>
      </c>
      <c r="D63" s="15" t="str">
        <f>'Exptl Setup'!E120</f>
        <v>+</v>
      </c>
      <c r="E63" s="22">
        <f>'Exptl Setup'!K120</f>
        <v>15.994988752793898</v>
      </c>
      <c r="F63" s="127">
        <v>242.6</v>
      </c>
      <c r="G63" s="127">
        <v>243.2</v>
      </c>
      <c r="H63" s="127">
        <v>243.1</v>
      </c>
      <c r="I63" s="91">
        <f t="shared" si="18"/>
        <v>242.96666666666667</v>
      </c>
      <c r="J63" s="123">
        <f t="shared" si="15"/>
        <v>60.349999999999994</v>
      </c>
      <c r="K63" s="126">
        <f t="shared" si="19"/>
        <v>3756.7173947969432</v>
      </c>
      <c r="L63" s="91">
        <f t="shared" si="20"/>
        <v>0.41212702058856809</v>
      </c>
      <c r="M63" s="177">
        <f t="shared" si="4"/>
        <v>414.95297139192468</v>
      </c>
      <c r="N63" s="178">
        <f t="shared" si="5"/>
        <v>22633.79843955953</v>
      </c>
      <c r="R63" s="96" t="s">
        <v>166</v>
      </c>
      <c r="S63" s="5">
        <f>SLOPE(O58:O60,S58:S60)</f>
        <v>17.365287504019001</v>
      </c>
      <c r="T63" s="15">
        <v>32.006999999999998</v>
      </c>
      <c r="U63" s="19">
        <v>2434.0369999999998</v>
      </c>
      <c r="V63" s="3">
        <f t="shared" si="6"/>
        <v>634.23702108999998</v>
      </c>
      <c r="W63" s="3">
        <f t="shared" si="7"/>
        <v>9887.1940601927854</v>
      </c>
      <c r="X63" s="75">
        <f t="shared" si="8"/>
        <v>22633.79843955953</v>
      </c>
      <c r="Y63" s="75">
        <f t="shared" si="9"/>
        <v>32520.992499752316</v>
      </c>
      <c r="Z63" s="3">
        <f t="shared" si="10"/>
        <v>32.520992499752317</v>
      </c>
      <c r="AA63" s="307"/>
      <c r="AB63" s="307"/>
      <c r="AC63" s="308"/>
      <c r="AF63" s="309"/>
      <c r="AG63" s="270"/>
      <c r="AH63" s="270"/>
      <c r="AI63" s="270"/>
      <c r="AJ63" s="270"/>
      <c r="AK63" s="270"/>
      <c r="AL63" s="270"/>
      <c r="AM63" s="230"/>
      <c r="AN63" s="230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</row>
    <row r="64" spans="1:104" ht="15">
      <c r="A64" s="15">
        <f>'Exptl Setup'!A121</f>
        <v>114</v>
      </c>
      <c r="B64" s="15" t="str">
        <f>'Exptl Setup'!C121</f>
        <v>f</v>
      </c>
      <c r="C64" s="15">
        <f>'Exptl Setup'!D121</f>
        <v>32</v>
      </c>
      <c r="D64" s="15" t="str">
        <f>'Exptl Setup'!E121</f>
        <v>+</v>
      </c>
      <c r="E64" s="22">
        <f>'Exptl Setup'!K121</f>
        <v>16.002488278653235</v>
      </c>
      <c r="F64" s="127">
        <v>221.3</v>
      </c>
      <c r="G64" s="127">
        <v>221.9</v>
      </c>
      <c r="H64" s="127">
        <v>222.5</v>
      </c>
      <c r="I64" s="91">
        <f t="shared" si="18"/>
        <v>221.9</v>
      </c>
      <c r="J64" s="123">
        <f t="shared" si="15"/>
        <v>60.349999999999994</v>
      </c>
      <c r="K64" s="126">
        <f t="shared" si="19"/>
        <v>3390.8886713789429</v>
      </c>
      <c r="L64" s="91">
        <f t="shared" si="20"/>
        <v>0.37199413701398953</v>
      </c>
      <c r="M64" s="177">
        <f t="shared" si="4"/>
        <v>374.54489704141344</v>
      </c>
      <c r="N64" s="178">
        <f t="shared" si="5"/>
        <v>20429.721656804373</v>
      </c>
      <c r="T64" s="15">
        <v>31.992000000000001</v>
      </c>
      <c r="U64" s="19">
        <v>2126.0120000000002</v>
      </c>
      <c r="V64" s="3">
        <f t="shared" si="6"/>
        <v>553.97494684000003</v>
      </c>
      <c r="W64" s="3">
        <f t="shared" si="7"/>
        <v>8640.0284567063918</v>
      </c>
      <c r="X64" s="75">
        <f t="shared" si="8"/>
        <v>20429.721656804373</v>
      </c>
      <c r="Y64" s="75">
        <f t="shared" si="9"/>
        <v>29069.750113510767</v>
      </c>
      <c r="Z64" s="3">
        <f t="shared" si="10"/>
        <v>29.069750113510768</v>
      </c>
      <c r="AA64" s="307"/>
      <c r="AB64" s="307"/>
      <c r="AC64" s="308"/>
      <c r="AF64" s="310"/>
      <c r="AG64" s="270"/>
      <c r="AH64" s="270"/>
      <c r="AI64" s="270"/>
      <c r="AJ64" s="270"/>
      <c r="AK64" s="270"/>
      <c r="AL64" s="270"/>
      <c r="AM64" s="230"/>
      <c r="AN64" s="230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</row>
    <row r="65" spans="1:104" ht="15">
      <c r="A65" s="15">
        <f>'Exptl Setup'!A125</f>
        <v>118</v>
      </c>
      <c r="B65" s="15" t="str">
        <f>'Exptl Setup'!C125</f>
        <v>d</v>
      </c>
      <c r="C65" s="15">
        <f>'Exptl Setup'!D125</f>
        <v>32</v>
      </c>
      <c r="D65" s="15" t="str">
        <f>'Exptl Setup'!E125</f>
        <v>+</v>
      </c>
      <c r="E65" s="22">
        <f>'Exptl Setup'!K125</f>
        <v>20.001234763661284</v>
      </c>
      <c r="F65" s="127">
        <v>100.3</v>
      </c>
      <c r="G65" s="127">
        <v>101.3</v>
      </c>
      <c r="H65" s="127">
        <v>100.9</v>
      </c>
      <c r="I65" s="91">
        <f t="shared" si="18"/>
        <v>100.83333333333333</v>
      </c>
      <c r="J65" s="123">
        <f t="shared" si="15"/>
        <v>60.349999999999994</v>
      </c>
      <c r="K65" s="126">
        <f t="shared" si="19"/>
        <v>1288.5311975590425</v>
      </c>
      <c r="L65" s="91">
        <f t="shared" si="20"/>
        <v>0.14135705925628492</v>
      </c>
      <c r="M65" s="177">
        <f t="shared" si="4"/>
        <v>142.32634317898172</v>
      </c>
      <c r="N65" s="178">
        <f t="shared" si="5"/>
        <v>7763.2550824899126</v>
      </c>
      <c r="T65" s="15">
        <v>31.995000000000001</v>
      </c>
      <c r="U65" s="19">
        <v>137.56</v>
      </c>
      <c r="V65" s="3">
        <f t="shared" si="6"/>
        <v>35.844009200000002</v>
      </c>
      <c r="W65" s="3">
        <f t="shared" si="7"/>
        <v>558.98596674187684</v>
      </c>
      <c r="X65" s="75">
        <f t="shared" si="8"/>
        <v>7763.2550824899126</v>
      </c>
      <c r="Y65" s="75">
        <f t="shared" si="9"/>
        <v>8322.2410492317904</v>
      </c>
      <c r="Z65" s="3">
        <f t="shared" si="10"/>
        <v>8.3222410492317902</v>
      </c>
      <c r="AA65" s="307"/>
      <c r="AB65" s="307"/>
      <c r="AC65" s="308"/>
      <c r="AF65" s="310"/>
      <c r="AG65" s="270"/>
      <c r="AH65" s="270"/>
      <c r="AI65" s="270"/>
      <c r="AJ65" s="270"/>
      <c r="AK65" s="270"/>
      <c r="AL65" s="270"/>
      <c r="AM65" s="230"/>
      <c r="AN65" s="230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</row>
    <row r="66" spans="1:104" ht="15">
      <c r="A66" s="15">
        <f>'Exptl Setup'!A126</f>
        <v>119</v>
      </c>
      <c r="B66" s="15" t="str">
        <f>'Exptl Setup'!C126</f>
        <v>e</v>
      </c>
      <c r="C66" s="15">
        <f>'Exptl Setup'!D126</f>
        <v>32</v>
      </c>
      <c r="D66" s="15" t="str">
        <f>'Exptl Setup'!E126</f>
        <v>+</v>
      </c>
      <c r="E66" s="22">
        <f>'Exptl Setup'!K126</f>
        <v>19.993735940992373</v>
      </c>
      <c r="F66" s="127">
        <v>88.18</v>
      </c>
      <c r="G66" s="127">
        <v>88.27</v>
      </c>
      <c r="H66" s="127">
        <v>88.48</v>
      </c>
      <c r="I66" s="91">
        <f t="shared" si="18"/>
        <v>88.31</v>
      </c>
      <c r="J66" s="123">
        <f t="shared" si="15"/>
        <v>60.349999999999994</v>
      </c>
      <c r="K66" s="126">
        <f t="shared" si="19"/>
        <v>1071.0599137170445</v>
      </c>
      <c r="L66" s="91">
        <f t="shared" si="20"/>
        <v>0.11749958400475144</v>
      </c>
      <c r="M66" s="177">
        <f t="shared" si="4"/>
        <v>118.30527746143886</v>
      </c>
      <c r="N66" s="178">
        <f t="shared" si="5"/>
        <v>6453.0151342603021</v>
      </c>
      <c r="T66" s="15">
        <v>32.006999999999998</v>
      </c>
      <c r="U66" s="19">
        <v>164.98099999999999</v>
      </c>
      <c r="V66" s="3">
        <f t="shared" si="6"/>
        <v>42.989099169999996</v>
      </c>
      <c r="W66" s="3">
        <f t="shared" si="7"/>
        <v>670.16202434254933</v>
      </c>
      <c r="X66" s="75">
        <f t="shared" si="8"/>
        <v>6453.0151342603021</v>
      </c>
      <c r="Y66" s="75">
        <f t="shared" si="9"/>
        <v>7123.1771586028517</v>
      </c>
      <c r="Z66" s="3">
        <f t="shared" si="10"/>
        <v>7.1231771586028518</v>
      </c>
      <c r="AA66" s="307"/>
      <c r="AB66" s="307"/>
      <c r="AC66" s="308"/>
      <c r="AF66" s="309"/>
      <c r="AG66" s="270"/>
      <c r="AH66" s="270"/>
      <c r="AI66" s="270"/>
      <c r="AJ66" s="270"/>
      <c r="AK66" s="270"/>
      <c r="AL66" s="270"/>
      <c r="AM66" s="230"/>
      <c r="AN66" s="230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</row>
    <row r="67" spans="1:104" ht="15">
      <c r="A67" s="15">
        <f>'Exptl Setup'!A127</f>
        <v>120</v>
      </c>
      <c r="B67" s="15" t="str">
        <f>'Exptl Setup'!C127</f>
        <v>f</v>
      </c>
      <c r="C67" s="15">
        <f>'Exptl Setup'!D127</f>
        <v>32</v>
      </c>
      <c r="D67" s="15" t="str">
        <f>'Exptl Setup'!E127</f>
        <v>+</v>
      </c>
      <c r="E67" s="22">
        <f>'Exptl Setup'!K127</f>
        <v>20.003735621372975</v>
      </c>
      <c r="F67" s="127">
        <v>87.4</v>
      </c>
      <c r="G67" s="127">
        <v>87.87</v>
      </c>
      <c r="H67" s="127">
        <v>87.62</v>
      </c>
      <c r="I67" s="91">
        <f t="shared" si="18"/>
        <v>87.63</v>
      </c>
      <c r="J67" s="123">
        <f t="shared" si="15"/>
        <v>60.349999999999994</v>
      </c>
      <c r="K67" s="126">
        <f t="shared" si="19"/>
        <v>1059.2515182143115</v>
      </c>
      <c r="L67" s="91">
        <f t="shared" si="20"/>
        <v>0.11620415548430617</v>
      </c>
      <c r="M67" s="177">
        <f t="shared" si="4"/>
        <v>117.00096620075779</v>
      </c>
      <c r="N67" s="178">
        <f t="shared" si="5"/>
        <v>6381.8708836776968</v>
      </c>
      <c r="T67" s="15">
        <v>31.991</v>
      </c>
      <c r="U67" s="19">
        <v>103.741</v>
      </c>
      <c r="V67" s="3">
        <f t="shared" si="6"/>
        <v>27.031792369999998</v>
      </c>
      <c r="W67" s="3">
        <f t="shared" si="7"/>
        <v>421.61248862636057</v>
      </c>
      <c r="X67" s="75">
        <f t="shared" si="8"/>
        <v>6381.8708836776968</v>
      </c>
      <c r="Y67" s="75">
        <f t="shared" si="9"/>
        <v>6803.4833723040574</v>
      </c>
      <c r="Z67" s="3">
        <f t="shared" si="10"/>
        <v>6.8034833723040578</v>
      </c>
      <c r="AA67" s="307"/>
      <c r="AB67" s="307"/>
      <c r="AC67" s="308"/>
      <c r="AF67" s="310"/>
      <c r="AG67" s="270"/>
      <c r="AH67" s="270"/>
      <c r="AI67" s="270"/>
      <c r="AJ67" s="270"/>
      <c r="AK67" s="270"/>
      <c r="AL67" s="270"/>
      <c r="AM67" s="230"/>
      <c r="AN67" s="230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</row>
    <row r="68" spans="1:104" ht="15">
      <c r="A68" s="15">
        <f>'Exptl Setup'!A131</f>
        <v>124</v>
      </c>
      <c r="B68" s="15" t="str">
        <f>'Exptl Setup'!C131</f>
        <v>d</v>
      </c>
      <c r="C68" s="15">
        <f>'Exptl Setup'!D131</f>
        <v>32</v>
      </c>
      <c r="D68" s="15" t="str">
        <f>'Exptl Setup'!E131</f>
        <v>-</v>
      </c>
      <c r="E68" s="22">
        <f>'Exptl Setup'!K131</f>
        <v>0</v>
      </c>
      <c r="F68" s="127">
        <v>61.67</v>
      </c>
      <c r="G68" s="127">
        <v>61.67</v>
      </c>
      <c r="H68" s="127">
        <v>61.68</v>
      </c>
      <c r="I68" s="91">
        <f t="shared" si="18"/>
        <v>61.673333333333339</v>
      </c>
      <c r="J68" s="123">
        <f t="shared" si="15"/>
        <v>60.349999999999994</v>
      </c>
      <c r="K68" s="126">
        <f t="shared" si="19"/>
        <v>608.50653890165847</v>
      </c>
      <c r="L68" s="91">
        <f t="shared" si="20"/>
        <v>6.6755616814172761E-2</v>
      </c>
      <c r="M68" s="177">
        <f t="shared" si="4"/>
        <v>67.213359402113653</v>
      </c>
      <c r="N68" s="178">
        <f t="shared" si="5"/>
        <v>3666.1832401152906</v>
      </c>
      <c r="T68" s="15">
        <v>32.006</v>
      </c>
      <c r="U68" s="19">
        <v>4645.0529999999999</v>
      </c>
      <c r="V68" s="3">
        <f t="shared" si="6"/>
        <v>1210.3614602099999</v>
      </c>
      <c r="W68" s="3">
        <f t="shared" si="7"/>
        <v>18869.053907651672</v>
      </c>
      <c r="X68" s="75">
        <f t="shared" si="8"/>
        <v>3666.1832401152906</v>
      </c>
      <c r="Y68" s="75">
        <f t="shared" si="9"/>
        <v>22535.237147766962</v>
      </c>
      <c r="Z68" s="3">
        <f t="shared" si="10"/>
        <v>22.535237147766964</v>
      </c>
      <c r="AA68" s="307"/>
      <c r="AB68" s="307"/>
      <c r="AC68" s="308"/>
      <c r="AF68" s="309"/>
      <c r="AG68" s="270"/>
      <c r="AH68" s="270"/>
      <c r="AI68" s="270"/>
      <c r="AJ68" s="270"/>
      <c r="AK68" s="270"/>
      <c r="AL68" s="270"/>
      <c r="AM68" s="230"/>
      <c r="AN68" s="230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</row>
    <row r="69" spans="1:104" ht="15">
      <c r="A69" s="15">
        <f>'Exptl Setup'!A132</f>
        <v>125</v>
      </c>
      <c r="B69" s="15" t="str">
        <f>'Exptl Setup'!C132</f>
        <v>e</v>
      </c>
      <c r="C69" s="15">
        <f>'Exptl Setup'!D132</f>
        <v>32</v>
      </c>
      <c r="D69" s="15" t="str">
        <f>'Exptl Setup'!E132</f>
        <v>-</v>
      </c>
      <c r="E69" s="22">
        <f>'Exptl Setup'!K132</f>
        <v>0</v>
      </c>
      <c r="F69" s="127">
        <v>66.38</v>
      </c>
      <c r="G69" s="127">
        <v>67</v>
      </c>
      <c r="H69" s="127">
        <v>66.569999999999993</v>
      </c>
      <c r="I69" s="91">
        <f t="shared" si="18"/>
        <v>66.649999999999991</v>
      </c>
      <c r="J69" s="123">
        <f t="shared" si="15"/>
        <v>60.349999999999994</v>
      </c>
      <c r="K69" s="126">
        <f t="shared" si="19"/>
        <v>694.92778637999288</v>
      </c>
      <c r="L69" s="91">
        <f t="shared" si="20"/>
        <v>7.6236375544686319E-2</v>
      </c>
      <c r="M69" s="177">
        <f t="shared" si="4"/>
        <v>76.759127599156869</v>
      </c>
      <c r="N69" s="178">
        <f t="shared" si="5"/>
        <v>4186.8615054085558</v>
      </c>
      <c r="T69" s="15">
        <v>31.995000000000001</v>
      </c>
      <c r="U69" s="19">
        <v>5796.72</v>
      </c>
      <c r="V69" s="3">
        <f t="shared" si="6"/>
        <v>1510.4513304000002</v>
      </c>
      <c r="W69" s="3">
        <f t="shared" si="7"/>
        <v>23555.43132547232</v>
      </c>
      <c r="X69" s="75">
        <f t="shared" si="8"/>
        <v>4186.8615054085558</v>
      </c>
      <c r="Y69" s="75">
        <f t="shared" si="9"/>
        <v>27742.292830880877</v>
      </c>
      <c r="Z69" s="3">
        <f t="shared" si="10"/>
        <v>27.742292830880878</v>
      </c>
      <c r="AA69" s="307"/>
      <c r="AB69" s="307"/>
      <c r="AC69" s="308"/>
      <c r="AF69" s="310"/>
      <c r="AG69" s="270"/>
      <c r="AH69" s="270"/>
      <c r="AI69" s="270"/>
      <c r="AJ69" s="270"/>
      <c r="AK69" s="270"/>
      <c r="AL69" s="270"/>
      <c r="AM69" s="230"/>
      <c r="AN69" s="230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</row>
    <row r="70" spans="1:104" ht="15">
      <c r="A70" s="15">
        <f>'Exptl Setup'!A133</f>
        <v>126</v>
      </c>
      <c r="B70" s="15" t="str">
        <f>'Exptl Setup'!C133</f>
        <v>f</v>
      </c>
      <c r="C70" s="15">
        <f>'Exptl Setup'!D133</f>
        <v>32</v>
      </c>
      <c r="D70" s="15" t="str">
        <f>'Exptl Setup'!E133</f>
        <v>-</v>
      </c>
      <c r="E70" s="22">
        <f>'Exptl Setup'!K133</f>
        <v>0</v>
      </c>
      <c r="F70" s="127">
        <v>64.069999999999993</v>
      </c>
      <c r="G70" s="127">
        <v>64.64</v>
      </c>
      <c r="H70" s="127">
        <v>64.94</v>
      </c>
      <c r="I70" s="91">
        <f t="shared" si="18"/>
        <v>64.55</v>
      </c>
      <c r="J70" s="123">
        <f t="shared" si="15"/>
        <v>60.349999999999994</v>
      </c>
      <c r="K70" s="126">
        <f t="shared" si="19"/>
        <v>658.46068262155302</v>
      </c>
      <c r="L70" s="91">
        <f t="shared" si="20"/>
        <v>7.2235787466840687E-2</v>
      </c>
      <c r="M70" s="177">
        <f t="shared" si="4"/>
        <v>72.731107529406557</v>
      </c>
      <c r="N70" s="178">
        <f t="shared" si="5"/>
        <v>3967.1513197858121</v>
      </c>
      <c r="T70" s="15">
        <v>32.009</v>
      </c>
      <c r="U70" s="19">
        <v>5449.3919999999998</v>
      </c>
      <c r="V70" s="3">
        <f t="shared" si="6"/>
        <v>1419.9480734399999</v>
      </c>
      <c r="W70" s="3">
        <f t="shared" si="7"/>
        <v>22134.351166858862</v>
      </c>
      <c r="X70" s="75">
        <f t="shared" si="8"/>
        <v>3967.1513197858121</v>
      </c>
      <c r="Y70" s="75">
        <f t="shared" si="9"/>
        <v>26101.502486644673</v>
      </c>
      <c r="Z70" s="3">
        <f t="shared" si="10"/>
        <v>26.101502486644673</v>
      </c>
      <c r="AA70" s="307"/>
      <c r="AB70" s="307"/>
      <c r="AC70" s="308"/>
      <c r="AF70" s="309"/>
      <c r="AG70" s="270"/>
      <c r="AH70" s="270"/>
      <c r="AI70" s="270"/>
      <c r="AJ70" s="270"/>
      <c r="AK70" s="270"/>
      <c r="AL70" s="270"/>
      <c r="AM70" s="230"/>
      <c r="AN70" s="23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</row>
    <row r="71" spans="1:104" ht="15">
      <c r="A71" s="15">
        <f>'Exptl Setup'!A137</f>
        <v>130</v>
      </c>
      <c r="B71" s="15" t="str">
        <f>'Exptl Setup'!C137</f>
        <v>d</v>
      </c>
      <c r="C71" s="15">
        <f>'Exptl Setup'!D137</f>
        <v>32</v>
      </c>
      <c r="D71" s="15" t="str">
        <f>'Exptl Setup'!E137</f>
        <v>-</v>
      </c>
      <c r="E71" s="22">
        <f>'Exptl Setup'!K137</f>
        <v>5.9986830358393597</v>
      </c>
      <c r="F71" s="127">
        <v>98.83</v>
      </c>
      <c r="G71" s="127">
        <v>100.2</v>
      </c>
      <c r="H71" s="127">
        <v>999.8</v>
      </c>
      <c r="I71" s="91">
        <f t="shared" si="18"/>
        <v>399.60999999999996</v>
      </c>
      <c r="J71" s="123">
        <f t="shared" si="15"/>
        <v>60.349999999999994</v>
      </c>
      <c r="K71" s="126">
        <f t="shared" si="19"/>
        <v>6476.8739137181592</v>
      </c>
      <c r="L71" s="91">
        <f t="shared" si="20"/>
        <v>0.71053914049682287</v>
      </c>
      <c r="M71" s="177">
        <f t="shared" si="4"/>
        <v>715.4113001820474</v>
      </c>
      <c r="N71" s="178">
        <f t="shared" si="5"/>
        <v>39022.434555384403</v>
      </c>
      <c r="T71" s="15">
        <v>32.003999999999998</v>
      </c>
      <c r="U71" s="19">
        <v>11282.215</v>
      </c>
      <c r="V71" s="3">
        <f t="shared" si="6"/>
        <v>2939.8067625500003</v>
      </c>
      <c r="W71" s="3">
        <f t="shared" si="7"/>
        <v>45833.282562104658</v>
      </c>
      <c r="X71" s="75">
        <f t="shared" si="8"/>
        <v>39022.434555384403</v>
      </c>
      <c r="Y71" s="75">
        <f t="shared" si="9"/>
        <v>84855.717117489054</v>
      </c>
      <c r="Z71" s="3">
        <f t="shared" si="10"/>
        <v>84.85571711748905</v>
      </c>
      <c r="AA71" s="307"/>
      <c r="AB71" s="307"/>
      <c r="AC71" s="308"/>
      <c r="AF71" s="310"/>
      <c r="AG71" s="270"/>
      <c r="AH71" s="270"/>
      <c r="AI71" s="270"/>
      <c r="AJ71" s="270"/>
      <c r="AK71" s="270"/>
      <c r="AL71" s="270"/>
      <c r="AM71" s="230"/>
      <c r="AN71" s="230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</row>
    <row r="72" spans="1:104" ht="15">
      <c r="A72" s="15">
        <f>'Exptl Setup'!A138</f>
        <v>131</v>
      </c>
      <c r="B72" s="15" t="str">
        <f>'Exptl Setup'!C138</f>
        <v>e</v>
      </c>
      <c r="C72" s="15">
        <f>'Exptl Setup'!D138</f>
        <v>32</v>
      </c>
      <c r="D72" s="15" t="str">
        <f>'Exptl Setup'!E138</f>
        <v>-</v>
      </c>
      <c r="E72" s="22">
        <f>'Exptl Setup'!K138</f>
        <v>5.9996203593550685</v>
      </c>
      <c r="F72" s="127">
        <v>75.930000000000007</v>
      </c>
      <c r="G72" s="127">
        <v>76.45</v>
      </c>
      <c r="H72" s="127">
        <v>76.44</v>
      </c>
      <c r="I72" s="91">
        <f t="shared" si="18"/>
        <v>76.273333333333326</v>
      </c>
      <c r="J72" s="123">
        <f t="shared" ref="J72:J103" si="22">$N$4-$N$3-$N$2</f>
        <v>60.349999999999994</v>
      </c>
      <c r="K72" s="126">
        <f t="shared" si="19"/>
        <v>862.0397364603358</v>
      </c>
      <c r="L72" s="91">
        <f t="shared" si="20"/>
        <v>9.456922916490916E-2</v>
      </c>
      <c r="M72" s="177">
        <f t="shared" si="4"/>
        <v>95.217689410854035</v>
      </c>
      <c r="N72" s="178">
        <f t="shared" si="5"/>
        <v>5193.6921496829473</v>
      </c>
      <c r="T72" s="15">
        <v>31.998999999999999</v>
      </c>
      <c r="U72" s="19">
        <v>11098.954</v>
      </c>
      <c r="V72" s="3">
        <f t="shared" si="6"/>
        <v>2892.0544437799999</v>
      </c>
      <c r="W72" s="3">
        <f t="shared" si="7"/>
        <v>45095.841722422396</v>
      </c>
      <c r="X72" s="75">
        <f t="shared" si="8"/>
        <v>5193.6921496829473</v>
      </c>
      <c r="Y72" s="75">
        <f t="shared" si="9"/>
        <v>50289.533872105341</v>
      </c>
      <c r="Z72" s="3">
        <f t="shared" si="10"/>
        <v>50.289533872105338</v>
      </c>
      <c r="AA72" s="307"/>
      <c r="AB72" s="307"/>
      <c r="AC72" s="308"/>
      <c r="AF72" s="310"/>
      <c r="AG72" s="270"/>
      <c r="AH72" s="270"/>
      <c r="AI72" s="270"/>
      <c r="AJ72" s="270"/>
      <c r="AK72" s="270"/>
      <c r="AL72" s="270"/>
      <c r="AM72" s="230"/>
      <c r="AN72" s="230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</row>
    <row r="73" spans="1:104" ht="15">
      <c r="A73" s="15">
        <f>'Exptl Setup'!A139</f>
        <v>132</v>
      </c>
      <c r="B73" s="15" t="str">
        <f>'Exptl Setup'!C139</f>
        <v>f</v>
      </c>
      <c r="C73" s="15">
        <f>'Exptl Setup'!D139</f>
        <v>32</v>
      </c>
      <c r="D73" s="15" t="str">
        <f>'Exptl Setup'!E139</f>
        <v>-</v>
      </c>
      <c r="E73" s="22">
        <f>'Exptl Setup'!K139</f>
        <v>6.0003704290983864</v>
      </c>
      <c r="F73" s="127">
        <v>97.75</v>
      </c>
      <c r="G73" s="127">
        <v>97.33</v>
      </c>
      <c r="H73" s="127">
        <v>97.44</v>
      </c>
      <c r="I73" s="91">
        <f t="shared" si="18"/>
        <v>97.506666666666661</v>
      </c>
      <c r="J73" s="123">
        <f t="shared" si="22"/>
        <v>60.349999999999994</v>
      </c>
      <c r="K73" s="126">
        <f t="shared" si="19"/>
        <v>1230.7626744623392</v>
      </c>
      <c r="L73" s="91">
        <f t="shared" si="20"/>
        <v>0.1350196197297929</v>
      </c>
      <c r="M73" s="177">
        <f t="shared" ref="M73:M127" si="23">(((J73/1000)/$K$5)*(K73/1000000))*44*1000000</f>
        <v>135.94544789388516</v>
      </c>
      <c r="N73" s="178">
        <f t="shared" ref="N73:N127" si="24">(((J73/1000)/$K$5)*(K73/1000000))*12*1000000000/5</f>
        <v>7415.2062487573712</v>
      </c>
      <c r="T73" s="15">
        <v>31.995000000000001</v>
      </c>
      <c r="U73" s="19">
        <v>8601.85</v>
      </c>
      <c r="V73" s="3">
        <f t="shared" ref="V73:V127" si="25">U73*260.57*10^-3</f>
        <v>2241.3840545000003</v>
      </c>
      <c r="W73" s="3">
        <f t="shared" ref="W73:W127" si="26">(((V73*$E$3*$E$4)/($E$5*$E$6*T73))*1000)*12/44</f>
        <v>34954.299491266458</v>
      </c>
      <c r="X73" s="75">
        <f t="shared" ref="X73:X127" si="27">N73</f>
        <v>7415.2062487573712</v>
      </c>
      <c r="Y73" s="75">
        <f t="shared" ref="Y73:Y127" si="28">W73+X73</f>
        <v>42369.505740023829</v>
      </c>
      <c r="Z73" s="3">
        <f t="shared" ref="Z73:Z127" si="29">Y73/1000</f>
        <v>42.369505740023833</v>
      </c>
      <c r="AA73" s="307"/>
      <c r="AB73" s="307"/>
      <c r="AC73" s="308"/>
      <c r="AF73" s="309"/>
      <c r="AG73" s="270"/>
      <c r="AH73" s="270"/>
      <c r="AI73" s="270"/>
      <c r="AJ73" s="270"/>
      <c r="AK73" s="270"/>
      <c r="AL73" s="270"/>
      <c r="AM73" s="230"/>
      <c r="AN73" s="230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</row>
    <row r="74" spans="1:104" ht="15">
      <c r="A74" s="15">
        <f>'Exptl Setup'!A143</f>
        <v>136</v>
      </c>
      <c r="B74" s="15" t="str">
        <f>'Exptl Setup'!C143</f>
        <v>d</v>
      </c>
      <c r="C74" s="15">
        <f>'Exptl Setup'!D143</f>
        <v>32</v>
      </c>
      <c r="D74" s="15" t="str">
        <f>'Exptl Setup'!E143</f>
        <v>-</v>
      </c>
      <c r="E74" s="22">
        <f>'Exptl Setup'!K143</f>
        <v>15.999487624560107</v>
      </c>
      <c r="F74" s="127">
        <v>253.9</v>
      </c>
      <c r="G74" s="127">
        <v>258</v>
      </c>
      <c r="H74" s="127">
        <v>260.2</v>
      </c>
      <c r="I74" s="91">
        <f t="shared" si="18"/>
        <v>257.36666666666662</v>
      </c>
      <c r="J74" s="123">
        <f t="shared" si="22"/>
        <v>60.349999999999994</v>
      </c>
      <c r="K74" s="126">
        <f t="shared" si="19"/>
        <v>4006.7775348548157</v>
      </c>
      <c r="L74" s="91">
        <f t="shared" si="20"/>
        <v>0.43955962455093806</v>
      </c>
      <c r="M74" s="177">
        <f t="shared" si="23"/>
        <v>442.5736804416411</v>
      </c>
      <c r="N74" s="178">
        <f t="shared" si="24"/>
        <v>24140.382569544065</v>
      </c>
      <c r="T74" s="15">
        <v>31.998000000000001</v>
      </c>
      <c r="U74" s="19">
        <v>2098.1350000000002</v>
      </c>
      <c r="V74" s="3">
        <f t="shared" si="25"/>
        <v>546.71103695000011</v>
      </c>
      <c r="W74" s="3">
        <f t="shared" si="26"/>
        <v>8525.1385710271825</v>
      </c>
      <c r="X74" s="75">
        <f t="shared" si="27"/>
        <v>24140.382569544065</v>
      </c>
      <c r="Y74" s="75">
        <f t="shared" si="28"/>
        <v>32665.521140571247</v>
      </c>
      <c r="Z74" s="3">
        <f t="shared" si="29"/>
        <v>32.665521140571244</v>
      </c>
      <c r="AA74" s="307"/>
      <c r="AB74" s="307"/>
      <c r="AC74" s="308"/>
      <c r="AF74" s="310"/>
      <c r="AG74" s="270"/>
      <c r="AH74" s="270"/>
      <c r="AI74" s="270"/>
      <c r="AJ74" s="270"/>
      <c r="AK74" s="270"/>
      <c r="AL74" s="270"/>
      <c r="AM74" s="230"/>
      <c r="AN74" s="230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</row>
    <row r="75" spans="1:104" ht="15">
      <c r="A75" s="15">
        <f>'Exptl Setup'!A144</f>
        <v>137</v>
      </c>
      <c r="B75" s="15" t="str">
        <f>'Exptl Setup'!C144</f>
        <v>e</v>
      </c>
      <c r="C75" s="15">
        <f>'Exptl Setup'!D144</f>
        <v>32</v>
      </c>
      <c r="D75" s="15" t="str">
        <f>'Exptl Setup'!E144</f>
        <v>-</v>
      </c>
      <c r="E75" s="22">
        <f>'Exptl Setup'!K144</f>
        <v>15.995488502489355</v>
      </c>
      <c r="F75" s="127">
        <v>260.60000000000002</v>
      </c>
      <c r="G75" s="127">
        <v>262.8</v>
      </c>
      <c r="H75" s="127">
        <v>263.8</v>
      </c>
      <c r="I75" s="91">
        <f t="shared" si="18"/>
        <v>262.40000000000003</v>
      </c>
      <c r="J75" s="123">
        <f t="shared" si="22"/>
        <v>60.349999999999994</v>
      </c>
      <c r="K75" s="126">
        <f t="shared" si="19"/>
        <v>4094.1828152917128</v>
      </c>
      <c r="L75" s="91">
        <f t="shared" si="20"/>
        <v>0.4491483356581556</v>
      </c>
      <c r="M75" s="177">
        <f t="shared" si="23"/>
        <v>452.22814124374128</v>
      </c>
      <c r="N75" s="178">
        <f t="shared" si="24"/>
        <v>24666.989522385888</v>
      </c>
      <c r="T75" s="15">
        <v>32.006</v>
      </c>
      <c r="U75" s="19">
        <v>2263.1149999999998</v>
      </c>
      <c r="V75" s="3">
        <f t="shared" si="25"/>
        <v>589.69987554999989</v>
      </c>
      <c r="W75" s="3">
        <f t="shared" si="26"/>
        <v>9193.1865867225042</v>
      </c>
      <c r="X75" s="75">
        <f t="shared" si="27"/>
        <v>24666.989522385888</v>
      </c>
      <c r="Y75" s="75">
        <f t="shared" si="28"/>
        <v>33860.17610910839</v>
      </c>
      <c r="Z75" s="3">
        <f t="shared" si="29"/>
        <v>33.860176109108387</v>
      </c>
      <c r="AA75" s="307"/>
      <c r="AB75" s="307"/>
      <c r="AC75" s="308"/>
      <c r="AF75" s="309"/>
      <c r="AG75" s="270"/>
      <c r="AH75" s="270"/>
      <c r="AI75" s="270"/>
      <c r="AJ75" s="270"/>
      <c r="AK75" s="270"/>
      <c r="AL75" s="270"/>
      <c r="AM75" s="230"/>
      <c r="AN75" s="230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</row>
    <row r="76" spans="1:104" ht="15">
      <c r="A76" s="15">
        <f>'Exptl Setup'!A145</f>
        <v>138</v>
      </c>
      <c r="B76" s="15" t="str">
        <f>'Exptl Setup'!C145</f>
        <v>f</v>
      </c>
      <c r="C76" s="15">
        <f>'Exptl Setup'!D145</f>
        <v>32</v>
      </c>
      <c r="D76" s="15" t="str">
        <f>'Exptl Setup'!E145</f>
        <v>-</v>
      </c>
      <c r="E76" s="22">
        <f>'Exptl Setup'!K145</f>
        <v>15.997487813595217</v>
      </c>
      <c r="F76" s="127">
        <v>337.5</v>
      </c>
      <c r="G76" s="127">
        <v>342.4</v>
      </c>
      <c r="H76" s="127">
        <v>342.3</v>
      </c>
      <c r="I76" s="91">
        <f t="shared" si="18"/>
        <v>340.73333333333335</v>
      </c>
      <c r="J76" s="123">
        <f t="shared" si="22"/>
        <v>60.349999999999994</v>
      </c>
      <c r="K76" s="126">
        <f t="shared" si="19"/>
        <v>5454.4636697732012</v>
      </c>
      <c r="L76" s="91">
        <f t="shared" si="20"/>
        <v>0.59837662110160439</v>
      </c>
      <c r="M76" s="177">
        <f t="shared" si="23"/>
        <v>602.47968352807902</v>
      </c>
      <c r="N76" s="178">
        <f t="shared" si="24"/>
        <v>32862.528192440674</v>
      </c>
      <c r="T76" s="15">
        <v>32.002000000000002</v>
      </c>
      <c r="U76" s="19">
        <v>4325.6030000000001</v>
      </c>
      <c r="V76" s="3">
        <f t="shared" si="25"/>
        <v>1127.1223737099999</v>
      </c>
      <c r="W76" s="3">
        <f t="shared" si="26"/>
        <v>17573.585932605482</v>
      </c>
      <c r="X76" s="75">
        <f t="shared" si="27"/>
        <v>32862.528192440674</v>
      </c>
      <c r="Y76" s="75">
        <f t="shared" si="28"/>
        <v>50436.114125046151</v>
      </c>
      <c r="Z76" s="3">
        <f t="shared" si="29"/>
        <v>50.436114125046153</v>
      </c>
      <c r="AA76" s="307"/>
      <c r="AB76" s="307"/>
      <c r="AC76" s="308"/>
      <c r="AF76" s="310"/>
      <c r="AG76" s="270"/>
      <c r="AH76" s="270"/>
      <c r="AI76" s="270"/>
      <c r="AJ76" s="270"/>
      <c r="AK76" s="270"/>
      <c r="AL76" s="270"/>
      <c r="AM76" s="230"/>
      <c r="AN76" s="230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</row>
    <row r="77" spans="1:104" ht="15">
      <c r="A77" s="15">
        <f>'Exptl Setup'!A149</f>
        <v>142</v>
      </c>
      <c r="B77" s="15" t="str">
        <f>'Exptl Setup'!C149</f>
        <v>d</v>
      </c>
      <c r="C77" s="15">
        <f>'Exptl Setup'!D149</f>
        <v>32</v>
      </c>
      <c r="D77" s="15" t="str">
        <f>'Exptl Setup'!E149</f>
        <v>-</v>
      </c>
      <c r="E77" s="22">
        <f>'Exptl Setup'!K149</f>
        <v>19.996859766994024</v>
      </c>
      <c r="F77" s="127">
        <v>111.3</v>
      </c>
      <c r="G77" s="127">
        <v>112.6</v>
      </c>
      <c r="H77" s="127">
        <v>112.4</v>
      </c>
      <c r="I77" s="91">
        <f t="shared" si="18"/>
        <v>112.09999999999998</v>
      </c>
      <c r="J77" s="123">
        <f t="shared" si="22"/>
        <v>60.349999999999994</v>
      </c>
      <c r="K77" s="126">
        <f t="shared" si="19"/>
        <v>1484.1801034376563</v>
      </c>
      <c r="L77" s="91">
        <f t="shared" si="20"/>
        <v>0.16282053180091707</v>
      </c>
      <c r="M77" s="177">
        <f t="shared" si="23"/>
        <v>163.9369905373247</v>
      </c>
      <c r="N77" s="178">
        <f t="shared" si="24"/>
        <v>8942.0176656722579</v>
      </c>
      <c r="T77" s="15">
        <v>32.002000000000002</v>
      </c>
      <c r="U77" s="19">
        <v>149.899</v>
      </c>
      <c r="V77" s="3">
        <f t="shared" si="25"/>
        <v>39.05918243</v>
      </c>
      <c r="W77" s="3">
        <f t="shared" si="26"/>
        <v>608.99323347788243</v>
      </c>
      <c r="X77" s="75">
        <f t="shared" si="27"/>
        <v>8942.0176656722579</v>
      </c>
      <c r="Y77" s="75">
        <f t="shared" si="28"/>
        <v>9551.0108991501402</v>
      </c>
      <c r="Z77" s="3">
        <f t="shared" si="29"/>
        <v>9.5510108991501408</v>
      </c>
      <c r="AA77" s="307"/>
      <c r="AB77" s="307"/>
      <c r="AC77" s="308"/>
      <c r="AF77" s="309"/>
      <c r="AG77" s="270"/>
      <c r="AH77" s="270"/>
      <c r="AI77" s="270"/>
      <c r="AJ77" s="270"/>
      <c r="AK77" s="270"/>
      <c r="AL77" s="270"/>
      <c r="AM77" s="230"/>
      <c r="AN77" s="230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</row>
    <row r="78" spans="1:104" ht="15">
      <c r="A78" s="15">
        <f>'Exptl Setup'!A150</f>
        <v>143</v>
      </c>
      <c r="B78" s="15" t="str">
        <f>'Exptl Setup'!C150</f>
        <v>e</v>
      </c>
      <c r="C78" s="15">
        <f>'Exptl Setup'!D150</f>
        <v>32</v>
      </c>
      <c r="D78" s="15" t="str">
        <f>'Exptl Setup'!E150</f>
        <v>-</v>
      </c>
      <c r="E78" s="22">
        <f>'Exptl Setup'!K150</f>
        <v>19.998109570729465</v>
      </c>
      <c r="F78" s="127">
        <v>105.5</v>
      </c>
      <c r="G78" s="127">
        <v>106.9</v>
      </c>
      <c r="H78" s="127">
        <v>106.9</v>
      </c>
      <c r="I78" s="91">
        <f t="shared" si="18"/>
        <v>106.43333333333334</v>
      </c>
      <c r="J78" s="123">
        <f t="shared" si="22"/>
        <v>60.349999999999994</v>
      </c>
      <c r="K78" s="126">
        <f t="shared" si="19"/>
        <v>1385.7768075815491</v>
      </c>
      <c r="L78" s="91">
        <f t="shared" si="20"/>
        <v>0.15202529413054</v>
      </c>
      <c r="M78" s="177">
        <f t="shared" si="23"/>
        <v>153.06773003164929</v>
      </c>
      <c r="N78" s="178">
        <f t="shared" si="24"/>
        <v>8349.1489108172336</v>
      </c>
      <c r="T78" s="15">
        <v>32</v>
      </c>
      <c r="U78" s="19">
        <v>193.77199999999999</v>
      </c>
      <c r="V78" s="3">
        <f t="shared" si="25"/>
        <v>50.49117004</v>
      </c>
      <c r="W78" s="3">
        <f t="shared" si="26"/>
        <v>787.28485314964485</v>
      </c>
      <c r="X78" s="75">
        <f t="shared" si="27"/>
        <v>8349.1489108172336</v>
      </c>
      <c r="Y78" s="75">
        <f t="shared" si="28"/>
        <v>9136.4337639668793</v>
      </c>
      <c r="Z78" s="3">
        <f t="shared" si="29"/>
        <v>9.1364337639668793</v>
      </c>
      <c r="AA78" s="307"/>
      <c r="AB78" s="307"/>
      <c r="AC78" s="308"/>
      <c r="AF78" s="310"/>
      <c r="AG78" s="270"/>
      <c r="AH78" s="270"/>
      <c r="AI78" s="270"/>
      <c r="AJ78" s="270"/>
      <c r="AK78" s="270"/>
      <c r="AL78" s="270"/>
      <c r="AM78" s="230"/>
      <c r="AN78" s="230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</row>
    <row r="79" spans="1:104" ht="15.75" thickBot="1">
      <c r="A79" s="97">
        <f>'Exptl Setup'!A151</f>
        <v>144</v>
      </c>
      <c r="B79" s="97" t="str">
        <f>'Exptl Setup'!C151</f>
        <v>f</v>
      </c>
      <c r="C79" s="97">
        <f>'Exptl Setup'!D151</f>
        <v>32</v>
      </c>
      <c r="D79" s="97" t="str">
        <f>'Exptl Setup'!E151</f>
        <v>-</v>
      </c>
      <c r="E79" s="98">
        <f>'Exptl Setup'!K151</f>
        <v>20.003110348316543</v>
      </c>
      <c r="F79" s="128">
        <v>102.6</v>
      </c>
      <c r="G79" s="128">
        <v>103.6</v>
      </c>
      <c r="H79" s="128">
        <v>103.7</v>
      </c>
      <c r="I79" s="99">
        <f t="shared" si="18"/>
        <v>103.3</v>
      </c>
      <c r="J79" s="124">
        <f t="shared" si="22"/>
        <v>60.349999999999994</v>
      </c>
      <c r="K79" s="124">
        <f t="shared" si="19"/>
        <v>1331.3655734022893</v>
      </c>
      <c r="L79" s="99">
        <f t="shared" si="20"/>
        <v>0.14605616271280206</v>
      </c>
      <c r="M79" s="177">
        <f t="shared" si="23"/>
        <v>147.05766834027574</v>
      </c>
      <c r="N79" s="178">
        <f t="shared" si="24"/>
        <v>8021.327364015041</v>
      </c>
      <c r="T79" s="15">
        <v>31.992000000000001</v>
      </c>
      <c r="U79" s="19">
        <v>119.28</v>
      </c>
      <c r="V79" s="3">
        <f t="shared" si="25"/>
        <v>31.080789599999999</v>
      </c>
      <c r="W79" s="3">
        <f t="shared" si="26"/>
        <v>484.74918971103563</v>
      </c>
      <c r="X79" s="75">
        <f t="shared" si="27"/>
        <v>8021.327364015041</v>
      </c>
      <c r="Y79" s="75">
        <f t="shared" si="28"/>
        <v>8506.0765537260759</v>
      </c>
      <c r="Z79" s="3">
        <f t="shared" si="29"/>
        <v>8.5060765537260767</v>
      </c>
      <c r="AA79" s="307"/>
      <c r="AB79" s="307"/>
      <c r="AC79" s="308"/>
      <c r="AF79" s="310"/>
      <c r="AG79" s="270"/>
      <c r="AH79" s="270"/>
      <c r="AI79" s="270"/>
      <c r="AJ79" s="270"/>
      <c r="AK79" s="270"/>
      <c r="AL79" s="270"/>
      <c r="AM79" s="230"/>
      <c r="AN79" s="230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</row>
    <row r="80" spans="1:104" ht="15">
      <c r="A80" s="14">
        <f>'Exptl Setup'!A155</f>
        <v>148</v>
      </c>
      <c r="B80" s="14" t="str">
        <f>'Exptl Setup'!C155</f>
        <v>d</v>
      </c>
      <c r="C80" s="14">
        <f>'Exptl Setup'!D155</f>
        <v>40</v>
      </c>
      <c r="D80" s="14" t="str">
        <f>'Exptl Setup'!E155</f>
        <v>+</v>
      </c>
      <c r="E80" s="26">
        <f>'Exptl Setup'!K155</f>
        <v>0</v>
      </c>
      <c r="F80" s="129">
        <v>61.03</v>
      </c>
      <c r="G80" s="129">
        <v>60.96</v>
      </c>
      <c r="H80" s="129">
        <v>60.83</v>
      </c>
      <c r="I80" s="125">
        <f t="shared" ref="I80" si="30">AVERAGE(F80:H80)</f>
        <v>60.94</v>
      </c>
      <c r="J80" s="126">
        <f t="shared" si="22"/>
        <v>60.349999999999994</v>
      </c>
      <c r="K80" s="126">
        <f>((I80-$S$81)*$S$87)+$S$86</f>
        <v>608.69284736019574</v>
      </c>
      <c r="L80" s="125">
        <f t="shared" ref="L80" si="31">((K80/1000000)*J80)*((101.3*273)/(101.3*(273+22)))*(44/22.4)</f>
        <v>6.677605560204479E-2</v>
      </c>
      <c r="M80" s="177">
        <f t="shared" si="23"/>
        <v>67.233938338546977</v>
      </c>
      <c r="N80" s="178">
        <f t="shared" si="24"/>
        <v>3667.3057275571082</v>
      </c>
      <c r="O80" s="152" t="s">
        <v>163</v>
      </c>
      <c r="P80" s="4" t="s">
        <v>156</v>
      </c>
      <c r="Q80" s="40" t="s">
        <v>157</v>
      </c>
      <c r="R80" s="3" t="s">
        <v>158</v>
      </c>
      <c r="S80" s="3" t="s">
        <v>159</v>
      </c>
      <c r="T80" s="15">
        <v>31.997</v>
      </c>
      <c r="U80" s="19">
        <v>4223.0290000000005</v>
      </c>
      <c r="V80" s="3">
        <f t="shared" si="25"/>
        <v>1100.39466653</v>
      </c>
      <c r="W80" s="3">
        <f t="shared" si="26"/>
        <v>17159.540534597283</v>
      </c>
      <c r="X80" s="75">
        <f t="shared" si="27"/>
        <v>3667.3057275571082</v>
      </c>
      <c r="Y80" s="75">
        <f t="shared" si="28"/>
        <v>20826.846262154391</v>
      </c>
      <c r="Z80" s="3">
        <f t="shared" si="29"/>
        <v>20.82684626215439</v>
      </c>
      <c r="AA80" s="307"/>
      <c r="AB80" s="307"/>
      <c r="AC80" s="308"/>
      <c r="AF80" s="309"/>
      <c r="AG80" s="270"/>
      <c r="AH80" s="270"/>
      <c r="AI80" s="270"/>
      <c r="AJ80" s="270"/>
      <c r="AK80" s="270"/>
      <c r="AL80" s="270"/>
      <c r="AM80" s="230"/>
      <c r="AN80" s="23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</row>
    <row r="81" spans="1:104" ht="15">
      <c r="A81" s="15">
        <f>'Exptl Setup'!A156</f>
        <v>149</v>
      </c>
      <c r="B81" s="15" t="str">
        <f>'Exptl Setup'!C156</f>
        <v>e</v>
      </c>
      <c r="C81" s="15">
        <f>'Exptl Setup'!D156</f>
        <v>40</v>
      </c>
      <c r="D81" s="15" t="str">
        <f>'Exptl Setup'!E156</f>
        <v>+</v>
      </c>
      <c r="E81" s="22">
        <f>'Exptl Setup'!K156</f>
        <v>0</v>
      </c>
      <c r="F81" s="127">
        <v>59.28</v>
      </c>
      <c r="G81" s="127">
        <v>59.24</v>
      </c>
      <c r="H81" s="127">
        <v>59.18</v>
      </c>
      <c r="I81" s="125">
        <f t="shared" ref="I81:I127" si="32">AVERAGE(F81:H81)</f>
        <v>59.233333333333341</v>
      </c>
      <c r="J81" s="123">
        <f t="shared" si="22"/>
        <v>60.349999999999994</v>
      </c>
      <c r="K81" s="126">
        <f t="shared" ref="K81:K127" si="33">((I81-$S$81)*$S$87)+$S$86</f>
        <v>578.82867790215175</v>
      </c>
      <c r="L81" s="91">
        <f t="shared" ref="L81:L102" si="34">((K81/1000000)*J81)*((101.3*273)/(101.3*(273+22)))*(44/22.4)</f>
        <v>6.3499835996560991E-2</v>
      </c>
      <c r="M81" s="177">
        <f t="shared" si="23"/>
        <v>63.935253728432151</v>
      </c>
      <c r="N81" s="178">
        <f t="shared" si="24"/>
        <v>3487.3774760962988</v>
      </c>
      <c r="O81" s="92" t="s">
        <v>164</v>
      </c>
      <c r="P81" s="4">
        <v>27.55</v>
      </c>
      <c r="Q81" s="40">
        <v>27.4</v>
      </c>
      <c r="R81" s="3">
        <v>27.3</v>
      </c>
      <c r="S81" s="75">
        <f>AVERAGE(P81:R81)</f>
        <v>27.416666666666668</v>
      </c>
      <c r="T81" s="15">
        <v>32.005000000000003</v>
      </c>
      <c r="U81" s="19">
        <v>3677.2280000000001</v>
      </c>
      <c r="V81" s="3">
        <f t="shared" si="25"/>
        <v>958.17529995999996</v>
      </c>
      <c r="W81" s="3">
        <f t="shared" si="26"/>
        <v>14938.038668374455</v>
      </c>
      <c r="X81" s="75">
        <f t="shared" si="27"/>
        <v>3487.3774760962988</v>
      </c>
      <c r="Y81" s="75">
        <f t="shared" si="28"/>
        <v>18425.416144470753</v>
      </c>
      <c r="Z81" s="3">
        <f t="shared" si="29"/>
        <v>18.425416144470752</v>
      </c>
      <c r="AA81" s="307"/>
      <c r="AB81" s="307"/>
      <c r="AC81" s="308"/>
      <c r="AF81" s="310"/>
      <c r="AG81" s="270"/>
      <c r="AH81" s="270"/>
      <c r="AI81" s="270"/>
      <c r="AJ81" s="270"/>
      <c r="AK81" s="270"/>
      <c r="AL81" s="270"/>
      <c r="AM81" s="230"/>
      <c r="AN81" s="230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</row>
    <row r="82" spans="1:104" ht="15">
      <c r="A82" s="15">
        <f>'Exptl Setup'!A157</f>
        <v>150</v>
      </c>
      <c r="B82" s="15" t="str">
        <f>'Exptl Setup'!C157</f>
        <v>f</v>
      </c>
      <c r="C82" s="15">
        <f>'Exptl Setup'!D157</f>
        <v>40</v>
      </c>
      <c r="D82" s="15" t="str">
        <f>'Exptl Setup'!E157</f>
        <v>+</v>
      </c>
      <c r="E82" s="22">
        <f>'Exptl Setup'!K157</f>
        <v>0</v>
      </c>
      <c r="F82" s="127">
        <v>64.760000000000005</v>
      </c>
      <c r="G82" s="127">
        <v>64.78</v>
      </c>
      <c r="H82" s="127">
        <v>64.73</v>
      </c>
      <c r="I82" s="125">
        <f t="shared" si="32"/>
        <v>64.756666666666675</v>
      </c>
      <c r="J82" s="123">
        <f t="shared" si="22"/>
        <v>60.349999999999994</v>
      </c>
      <c r="K82" s="126">
        <f t="shared" si="33"/>
        <v>675.47892944898649</v>
      </c>
      <c r="L82" s="91">
        <f t="shared" si="34"/>
        <v>7.4102757649464723E-2</v>
      </c>
      <c r="M82" s="177">
        <f t="shared" si="23"/>
        <v>74.610879507651518</v>
      </c>
      <c r="N82" s="178">
        <f t="shared" si="24"/>
        <v>4069.6843367809915</v>
      </c>
      <c r="O82" s="29">
        <v>357</v>
      </c>
      <c r="P82" s="4">
        <v>21.28</v>
      </c>
      <c r="Q82" s="40">
        <v>21.13</v>
      </c>
      <c r="R82" s="3">
        <v>21.13</v>
      </c>
      <c r="S82" s="75">
        <f>AVERAGE(P82:R82)</f>
        <v>21.179999999999996</v>
      </c>
      <c r="T82" s="15">
        <v>31.995000000000001</v>
      </c>
      <c r="U82" s="19">
        <v>5654.5540000000001</v>
      </c>
      <c r="V82" s="3">
        <f t="shared" si="25"/>
        <v>1473.4071357799999</v>
      </c>
      <c r="W82" s="3">
        <f t="shared" si="26"/>
        <v>22977.728512533769</v>
      </c>
      <c r="X82" s="75">
        <f t="shared" si="27"/>
        <v>4069.6843367809915</v>
      </c>
      <c r="Y82" s="75">
        <f t="shared" si="28"/>
        <v>27047.412849314762</v>
      </c>
      <c r="Z82" s="3">
        <f t="shared" si="29"/>
        <v>27.04741284931476</v>
      </c>
      <c r="AA82" s="307"/>
      <c r="AB82" s="307"/>
      <c r="AC82" s="308"/>
      <c r="AF82" s="310"/>
      <c r="AG82" s="270"/>
      <c r="AH82" s="270"/>
      <c r="AI82" s="270"/>
      <c r="AJ82" s="270"/>
      <c r="AK82" s="270"/>
      <c r="AL82" s="270"/>
      <c r="AM82" s="230"/>
      <c r="AN82" s="230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</row>
    <row r="83" spans="1:104" ht="15">
      <c r="A83" s="15">
        <f>'Exptl Setup'!A161</f>
        <v>154</v>
      </c>
      <c r="B83" s="15" t="str">
        <f>'Exptl Setup'!C161</f>
        <v>d</v>
      </c>
      <c r="C83" s="15">
        <f>'Exptl Setup'!D161</f>
        <v>40</v>
      </c>
      <c r="D83" s="15" t="str">
        <f>'Exptl Setup'!E161</f>
        <v>+</v>
      </c>
      <c r="E83" s="22">
        <f>'Exptl Setup'!K161</f>
        <v>6.0003704290983864</v>
      </c>
      <c r="F83" s="127">
        <v>108.6</v>
      </c>
      <c r="G83" s="127">
        <v>108.3</v>
      </c>
      <c r="H83" s="127">
        <v>108.1</v>
      </c>
      <c r="I83" s="125">
        <f t="shared" si="32"/>
        <v>108.33333333333333</v>
      </c>
      <c r="J83" s="123">
        <f t="shared" si="22"/>
        <v>60.349999999999994</v>
      </c>
      <c r="K83" s="126">
        <f t="shared" si="33"/>
        <v>1438.0068343806531</v>
      </c>
      <c r="L83" s="91">
        <f t="shared" si="34"/>
        <v>0.15775513831839094</v>
      </c>
      <c r="M83" s="177">
        <f t="shared" si="23"/>
        <v>158.83686370302556</v>
      </c>
      <c r="N83" s="178">
        <f t="shared" si="24"/>
        <v>8663.8289292559384</v>
      </c>
      <c r="O83" s="93">
        <v>10000</v>
      </c>
      <c r="P83" s="4">
        <v>632.20000000000005</v>
      </c>
      <c r="Q83" s="40">
        <v>630.9</v>
      </c>
      <c r="R83" s="3">
        <v>629.9</v>
      </c>
      <c r="S83" s="75">
        <f t="shared" ref="S83:S84" si="35">AVERAGE(P83:R83)</f>
        <v>631</v>
      </c>
      <c r="T83" s="15">
        <v>31.995000000000001</v>
      </c>
      <c r="U83" s="19">
        <v>8039.11</v>
      </c>
      <c r="V83" s="3">
        <f t="shared" si="25"/>
        <v>2094.7508926999999</v>
      </c>
      <c r="W83" s="3">
        <f t="shared" si="26"/>
        <v>32667.560883209426</v>
      </c>
      <c r="X83" s="75">
        <f t="shared" si="27"/>
        <v>8663.8289292559384</v>
      </c>
      <c r="Y83" s="75">
        <f t="shared" si="28"/>
        <v>41331.389812465364</v>
      </c>
      <c r="Z83" s="3">
        <f t="shared" si="29"/>
        <v>41.331389812465368</v>
      </c>
      <c r="AA83" s="307"/>
      <c r="AB83" s="307"/>
      <c r="AC83" s="308"/>
      <c r="AF83" s="309"/>
      <c r="AG83" s="270"/>
      <c r="AH83" s="270"/>
      <c r="AI83" s="270"/>
      <c r="AJ83" s="270"/>
      <c r="AK83" s="270"/>
      <c r="AL83" s="270"/>
      <c r="AM83" s="230"/>
      <c r="AN83" s="230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</row>
    <row r="84" spans="1:104" ht="15">
      <c r="A84" s="15">
        <f>'Exptl Setup'!A162</f>
        <v>155</v>
      </c>
      <c r="B84" s="15" t="str">
        <f>'Exptl Setup'!C162</f>
        <v>e</v>
      </c>
      <c r="C84" s="15">
        <f>'Exptl Setup'!D162</f>
        <v>40</v>
      </c>
      <c r="D84" s="15" t="str">
        <f>'Exptl Setup'!E162</f>
        <v>+</v>
      </c>
      <c r="E84" s="22">
        <f>'Exptl Setup'!K162</f>
        <v>5.9986830358393597</v>
      </c>
      <c r="F84" s="127">
        <v>106.8</v>
      </c>
      <c r="G84" s="127">
        <v>107.2</v>
      </c>
      <c r="H84" s="127">
        <v>106.9</v>
      </c>
      <c r="I84" s="125">
        <f t="shared" si="32"/>
        <v>106.96666666666665</v>
      </c>
      <c r="J84" s="123">
        <f t="shared" si="22"/>
        <v>60.349999999999994</v>
      </c>
      <c r="K84" s="126">
        <f t="shared" si="33"/>
        <v>1414.0921674318283</v>
      </c>
      <c r="L84" s="91">
        <f t="shared" si="34"/>
        <v>0.15513160308743709</v>
      </c>
      <c r="M84" s="177">
        <f t="shared" si="23"/>
        <v>156.19533891758201</v>
      </c>
      <c r="N84" s="178">
        <f t="shared" si="24"/>
        <v>8519.7457591408383</v>
      </c>
      <c r="O84" s="94">
        <v>50000</v>
      </c>
      <c r="P84" s="4">
        <v>2875</v>
      </c>
      <c r="Q84" s="4">
        <v>2878</v>
      </c>
      <c r="R84" s="3">
        <v>2878</v>
      </c>
      <c r="S84" s="75">
        <f t="shared" si="35"/>
        <v>2877</v>
      </c>
      <c r="T84" s="15">
        <v>32.003999999999998</v>
      </c>
      <c r="U84" s="19">
        <v>8200.3060000000005</v>
      </c>
      <c r="V84" s="3">
        <f t="shared" si="25"/>
        <v>2136.75373442</v>
      </c>
      <c r="W84" s="3">
        <f t="shared" si="26"/>
        <v>33313.222801880846</v>
      </c>
      <c r="X84" s="75">
        <f t="shared" si="27"/>
        <v>8519.7457591408383</v>
      </c>
      <c r="Y84" s="75">
        <f t="shared" si="28"/>
        <v>41832.968561021684</v>
      </c>
      <c r="Z84" s="3">
        <f t="shared" si="29"/>
        <v>41.832968561021687</v>
      </c>
      <c r="AA84" s="307"/>
      <c r="AB84" s="307"/>
      <c r="AC84" s="308"/>
      <c r="AF84" s="310"/>
      <c r="AG84" s="270"/>
      <c r="AH84" s="270"/>
      <c r="AI84" s="270"/>
      <c r="AJ84" s="270"/>
      <c r="AK84" s="270"/>
      <c r="AL84" s="270"/>
      <c r="AM84" s="230"/>
      <c r="AN84" s="230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</row>
    <row r="85" spans="1:104" ht="15">
      <c r="A85" s="15">
        <f>'Exptl Setup'!A163</f>
        <v>156</v>
      </c>
      <c r="B85" s="15" t="str">
        <f>'Exptl Setup'!C163</f>
        <v>f</v>
      </c>
      <c r="C85" s="15">
        <f>'Exptl Setup'!D163</f>
        <v>40</v>
      </c>
      <c r="D85" s="15" t="str">
        <f>'Exptl Setup'!E163</f>
        <v>+</v>
      </c>
      <c r="E85" s="22">
        <f>'Exptl Setup'!K163</f>
        <v>5.9999953707848501</v>
      </c>
      <c r="F85" s="127">
        <v>104.8</v>
      </c>
      <c r="G85" s="127">
        <v>104.8</v>
      </c>
      <c r="H85" s="127">
        <v>104.6</v>
      </c>
      <c r="I85" s="125">
        <f t="shared" si="32"/>
        <v>104.73333333333333</v>
      </c>
      <c r="J85" s="123">
        <f t="shared" si="22"/>
        <v>60.349999999999994</v>
      </c>
      <c r="K85" s="126">
        <f t="shared" si="33"/>
        <v>1375.0121019300909</v>
      </c>
      <c r="L85" s="91">
        <f t="shared" si="34"/>
        <v>0.15084436258807349</v>
      </c>
      <c r="M85" s="177">
        <f t="shared" si="23"/>
        <v>151.87870085356457</v>
      </c>
      <c r="N85" s="178">
        <f t="shared" si="24"/>
        <v>8284.2927738307935</v>
      </c>
      <c r="T85" s="15">
        <v>31.997</v>
      </c>
      <c r="U85" s="19">
        <v>8073.3289999999997</v>
      </c>
      <c r="V85" s="3">
        <f t="shared" si="25"/>
        <v>2103.6673375299997</v>
      </c>
      <c r="W85" s="3">
        <f t="shared" si="26"/>
        <v>32804.561897311083</v>
      </c>
      <c r="X85" s="75">
        <f t="shared" si="27"/>
        <v>8284.2927738307935</v>
      </c>
      <c r="Y85" s="75">
        <f t="shared" si="28"/>
        <v>41088.854671141875</v>
      </c>
      <c r="Z85" s="3">
        <f t="shared" si="29"/>
        <v>41.088854671141874</v>
      </c>
      <c r="AA85" s="307"/>
      <c r="AB85" s="307"/>
      <c r="AC85" s="308"/>
      <c r="AF85" s="309"/>
      <c r="AG85" s="270"/>
      <c r="AH85" s="270"/>
      <c r="AI85" s="270"/>
      <c r="AJ85" s="270"/>
      <c r="AK85" s="270"/>
      <c r="AL85" s="270"/>
      <c r="AM85" s="230"/>
      <c r="AN85" s="230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</row>
    <row r="86" spans="1:104" ht="15">
      <c r="A86" s="15">
        <f>'Exptl Setup'!A167</f>
        <v>160</v>
      </c>
      <c r="B86" s="15" t="str">
        <f>'Exptl Setup'!C167</f>
        <v>d</v>
      </c>
      <c r="C86" s="15">
        <f>'Exptl Setup'!D167</f>
        <v>40</v>
      </c>
      <c r="D86" s="15" t="str">
        <f>'Exptl Setup'!E167</f>
        <v>+</v>
      </c>
      <c r="E86" s="22">
        <f>'Exptl Setup'!K167</f>
        <v>16.001487935571493</v>
      </c>
      <c r="F86" s="127">
        <v>469</v>
      </c>
      <c r="G86" s="127">
        <v>467.7</v>
      </c>
      <c r="H86" s="127">
        <v>467.5</v>
      </c>
      <c r="I86" s="125">
        <f t="shared" si="32"/>
        <v>468.06666666666666</v>
      </c>
      <c r="J86" s="123">
        <f t="shared" si="22"/>
        <v>60.349999999999994</v>
      </c>
      <c r="K86" s="126">
        <f t="shared" si="33"/>
        <v>7732.8138029590573</v>
      </c>
      <c r="L86" s="91">
        <f t="shared" si="34"/>
        <v>0.8483208020367814</v>
      </c>
      <c r="M86" s="177">
        <f t="shared" si="23"/>
        <v>854.13772917879794</v>
      </c>
      <c r="N86" s="178">
        <f t="shared" si="24"/>
        <v>46589.330682479886</v>
      </c>
      <c r="R86" s="95" t="s">
        <v>165</v>
      </c>
      <c r="S86" s="40">
        <f>INTERCEPT(O82:O83,S82:S83)</f>
        <v>22.083565642321446</v>
      </c>
      <c r="T86" s="15">
        <v>31.994</v>
      </c>
      <c r="U86" s="19">
        <v>2403.221</v>
      </c>
      <c r="V86" s="3">
        <f t="shared" si="25"/>
        <v>626.20729597000002</v>
      </c>
      <c r="W86" s="3">
        <f t="shared" si="26"/>
        <v>9765.9843127732074</v>
      </c>
      <c r="X86" s="75">
        <f t="shared" si="27"/>
        <v>46589.330682479886</v>
      </c>
      <c r="Y86" s="75">
        <f t="shared" si="28"/>
        <v>56355.314995253095</v>
      </c>
      <c r="Z86" s="3">
        <f t="shared" si="29"/>
        <v>56.355314995253096</v>
      </c>
      <c r="AA86" s="307"/>
      <c r="AB86" s="307"/>
      <c r="AC86" s="308"/>
      <c r="AF86" s="310"/>
      <c r="AG86" s="270"/>
      <c r="AH86" s="270"/>
      <c r="AI86" s="270"/>
      <c r="AJ86" s="270"/>
      <c r="AK86" s="270"/>
      <c r="AL86" s="270"/>
      <c r="AM86" s="230"/>
      <c r="AN86" s="230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</row>
    <row r="87" spans="1:104" ht="15">
      <c r="A87" s="15">
        <f>'Exptl Setup'!A168</f>
        <v>161</v>
      </c>
      <c r="B87" s="15" t="str">
        <f>'Exptl Setup'!C168</f>
        <v>e</v>
      </c>
      <c r="C87" s="15">
        <f>'Exptl Setup'!D168</f>
        <v>40</v>
      </c>
      <c r="D87" s="15" t="str">
        <f>'Exptl Setup'!E168</f>
        <v>+</v>
      </c>
      <c r="E87" s="22">
        <f>'Exptl Setup'!K168</f>
        <v>15.995988283414286</v>
      </c>
      <c r="F87" s="127">
        <v>514</v>
      </c>
      <c r="G87" s="127">
        <v>513.5</v>
      </c>
      <c r="H87" s="127">
        <v>513.70000000000005</v>
      </c>
      <c r="I87" s="125">
        <f t="shared" si="32"/>
        <v>513.73333333333335</v>
      </c>
      <c r="J87" s="123">
        <f t="shared" si="22"/>
        <v>60.349999999999994</v>
      </c>
      <c r="K87" s="126">
        <f t="shared" si="33"/>
        <v>8531.9136497856343</v>
      </c>
      <c r="L87" s="91">
        <f t="shared" si="34"/>
        <v>0.93598527194914194</v>
      </c>
      <c r="M87" s="177">
        <f t="shared" si="23"/>
        <v>942.40331347288668</v>
      </c>
      <c r="N87" s="178">
        <f t="shared" si="24"/>
        <v>51403.817098521096</v>
      </c>
      <c r="R87" s="96" t="s">
        <v>166</v>
      </c>
      <c r="S87" s="5">
        <f>SLOPE(O82:O84,S82:S84)</f>
        <v>17.498536791822843</v>
      </c>
      <c r="T87" s="15">
        <v>32.005000000000003</v>
      </c>
      <c r="U87" s="19">
        <v>2245.4189999999999</v>
      </c>
      <c r="V87" s="3">
        <f t="shared" si="25"/>
        <v>585.0888288299999</v>
      </c>
      <c r="W87" s="3">
        <f t="shared" si="26"/>
        <v>9121.5871979389613</v>
      </c>
      <c r="X87" s="75">
        <f t="shared" si="27"/>
        <v>51403.817098521096</v>
      </c>
      <c r="Y87" s="75">
        <f t="shared" si="28"/>
        <v>60525.404296460059</v>
      </c>
      <c r="Z87" s="3">
        <f t="shared" si="29"/>
        <v>60.52540429646006</v>
      </c>
      <c r="AA87" s="307"/>
      <c r="AB87" s="307"/>
      <c r="AC87" s="308"/>
      <c r="AF87" s="310"/>
      <c r="AG87" s="270"/>
      <c r="AH87" s="270"/>
      <c r="AI87" s="270"/>
      <c r="AJ87" s="270"/>
      <c r="AK87" s="270"/>
      <c r="AL87" s="270"/>
      <c r="AM87" s="230"/>
      <c r="AN87" s="230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</row>
    <row r="88" spans="1:104" ht="15">
      <c r="A88" s="15">
        <f>'Exptl Setup'!A169</f>
        <v>162</v>
      </c>
      <c r="B88" s="15" t="str">
        <f>'Exptl Setup'!C169</f>
        <v>f</v>
      </c>
      <c r="C88" s="15">
        <f>'Exptl Setup'!D169</f>
        <v>40</v>
      </c>
      <c r="D88" s="15" t="str">
        <f>'Exptl Setup'!E169</f>
        <v>+</v>
      </c>
      <c r="E88" s="22">
        <f>'Exptl Setup'!K169</f>
        <v>15.997987719467337</v>
      </c>
      <c r="F88" s="127">
        <v>482.8</v>
      </c>
      <c r="G88" s="127">
        <v>481.7</v>
      </c>
      <c r="H88" s="127">
        <v>481.5</v>
      </c>
      <c r="I88" s="125">
        <f t="shared" si="32"/>
        <v>482</v>
      </c>
      <c r="J88" s="123">
        <f t="shared" si="22"/>
        <v>60.349999999999994</v>
      </c>
      <c r="K88" s="126">
        <f t="shared" si="33"/>
        <v>7976.6267489251222</v>
      </c>
      <c r="L88" s="91">
        <f t="shared" si="34"/>
        <v>0.87506806365967682</v>
      </c>
      <c r="M88" s="177">
        <f t="shared" si="23"/>
        <v>881.06839650356358</v>
      </c>
      <c r="N88" s="178">
        <f t="shared" si="24"/>
        <v>48058.276172921651</v>
      </c>
      <c r="T88" s="15">
        <v>32.000999999999998</v>
      </c>
      <c r="U88" s="19">
        <v>2359.1039999999998</v>
      </c>
      <c r="V88" s="3">
        <f t="shared" si="25"/>
        <v>614.71172927999999</v>
      </c>
      <c r="W88" s="3">
        <f t="shared" si="26"/>
        <v>9584.6087556741732</v>
      </c>
      <c r="X88" s="75">
        <f t="shared" si="27"/>
        <v>48058.276172921651</v>
      </c>
      <c r="Y88" s="75">
        <f t="shared" si="28"/>
        <v>57642.884928595828</v>
      </c>
      <c r="Z88" s="3">
        <f t="shared" si="29"/>
        <v>57.642884928595826</v>
      </c>
      <c r="AA88" s="307"/>
      <c r="AB88" s="307"/>
      <c r="AC88" s="308"/>
      <c r="AF88" s="310"/>
      <c r="AG88" s="270"/>
      <c r="AH88" s="270"/>
      <c r="AI88" s="270"/>
      <c r="AJ88" s="270"/>
      <c r="AK88" s="270"/>
      <c r="AL88" s="270"/>
      <c r="AM88" s="230"/>
      <c r="AN88" s="230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</row>
    <row r="89" spans="1:104" ht="15">
      <c r="A89" s="15">
        <f>'Exptl Setup'!A173</f>
        <v>166</v>
      </c>
      <c r="B89" s="15" t="str">
        <f>'Exptl Setup'!C173</f>
        <v>d</v>
      </c>
      <c r="C89" s="15">
        <f>'Exptl Setup'!D173</f>
        <v>40</v>
      </c>
      <c r="D89" s="15" t="str">
        <f>'Exptl Setup'!E173</f>
        <v>+</v>
      </c>
      <c r="E89" s="22">
        <f>'Exptl Setup'!K173</f>
        <v>19.997484649334176</v>
      </c>
      <c r="F89" s="127">
        <v>190.1</v>
      </c>
      <c r="G89" s="127">
        <v>189.9</v>
      </c>
      <c r="H89" s="127">
        <v>189.6</v>
      </c>
      <c r="I89" s="125">
        <f t="shared" si="32"/>
        <v>189.86666666666667</v>
      </c>
      <c r="J89" s="123">
        <f t="shared" si="22"/>
        <v>60.349999999999994</v>
      </c>
      <c r="K89" s="126">
        <f t="shared" si="33"/>
        <v>2864.7208674739427</v>
      </c>
      <c r="L89" s="91">
        <f t="shared" si="34"/>
        <v>0.3142714108772478</v>
      </c>
      <c r="M89" s="177">
        <f t="shared" si="23"/>
        <v>316.42636675655967</v>
      </c>
      <c r="N89" s="178">
        <f t="shared" si="24"/>
        <v>17259.620004903252</v>
      </c>
      <c r="T89" s="15">
        <v>32.000999999999998</v>
      </c>
      <c r="U89" s="19">
        <v>91.061000000000007</v>
      </c>
      <c r="V89" s="3">
        <f t="shared" si="25"/>
        <v>23.727764770000004</v>
      </c>
      <c r="W89" s="3">
        <f t="shared" si="26"/>
        <v>369.96421433749668</v>
      </c>
      <c r="X89" s="75">
        <f t="shared" si="27"/>
        <v>17259.620004903252</v>
      </c>
      <c r="Y89" s="75">
        <f t="shared" si="28"/>
        <v>17629.584219240747</v>
      </c>
      <c r="Z89" s="3">
        <f t="shared" si="29"/>
        <v>17.629584219240748</v>
      </c>
      <c r="AA89" s="307"/>
      <c r="AB89" s="307"/>
      <c r="AC89" s="308"/>
      <c r="AF89" s="309"/>
      <c r="AG89" s="270"/>
      <c r="AH89" s="270"/>
      <c r="AI89" s="270"/>
      <c r="AJ89" s="270"/>
      <c r="AK89" s="270"/>
      <c r="AL89" s="270"/>
      <c r="AM89" s="230"/>
      <c r="AN89" s="230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</row>
    <row r="90" spans="1:104" ht="15">
      <c r="A90" s="15">
        <f>'Exptl Setup'!A174</f>
        <v>167</v>
      </c>
      <c r="B90" s="15" t="str">
        <f>'Exptl Setup'!C174</f>
        <v>e</v>
      </c>
      <c r="C90" s="15">
        <f>'Exptl Setup'!D174</f>
        <v>40</v>
      </c>
      <c r="D90" s="15" t="str">
        <f>'Exptl Setup'!E174</f>
        <v>+</v>
      </c>
      <c r="E90" s="22">
        <f>'Exptl Setup'!K174</f>
        <v>20.004360933521191</v>
      </c>
      <c r="F90" s="127">
        <v>206.1</v>
      </c>
      <c r="G90" s="127">
        <v>206.9</v>
      </c>
      <c r="H90" s="127">
        <v>207</v>
      </c>
      <c r="I90" s="125">
        <f t="shared" si="32"/>
        <v>206.66666666666666</v>
      </c>
      <c r="J90" s="123">
        <f t="shared" si="22"/>
        <v>60.349999999999994</v>
      </c>
      <c r="K90" s="126">
        <f t="shared" si="33"/>
        <v>3158.696285576566</v>
      </c>
      <c r="L90" s="91">
        <f t="shared" si="34"/>
        <v>0.34652169761872931</v>
      </c>
      <c r="M90" s="177">
        <f t="shared" si="23"/>
        <v>348.8977933873777</v>
      </c>
      <c r="N90" s="178">
        <f t="shared" si="24"/>
        <v>19030.7887302206</v>
      </c>
      <c r="T90" s="15">
        <v>31.99</v>
      </c>
      <c r="U90" s="19">
        <v>95.302999999999997</v>
      </c>
      <c r="V90" s="3">
        <f t="shared" si="25"/>
        <v>24.833102709999999</v>
      </c>
      <c r="W90" s="3">
        <f t="shared" si="26"/>
        <v>387.3318268600795</v>
      </c>
      <c r="X90" s="75">
        <f t="shared" si="27"/>
        <v>19030.7887302206</v>
      </c>
      <c r="Y90" s="75">
        <f t="shared" si="28"/>
        <v>19418.120557080678</v>
      </c>
      <c r="Z90" s="3">
        <f t="shared" si="29"/>
        <v>19.418120557080677</v>
      </c>
      <c r="AA90" s="307"/>
      <c r="AB90" s="307"/>
      <c r="AC90" s="308"/>
      <c r="AF90" s="310"/>
      <c r="AG90" s="270"/>
      <c r="AH90" s="270"/>
      <c r="AI90" s="270"/>
      <c r="AJ90" s="270"/>
      <c r="AK90" s="270"/>
      <c r="AL90" s="270"/>
      <c r="AM90" s="230"/>
      <c r="AN90" s="23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</row>
    <row r="91" spans="1:104" ht="15">
      <c r="A91" s="15">
        <f>'Exptl Setup'!A175</f>
        <v>168</v>
      </c>
      <c r="B91" s="15" t="str">
        <f>'Exptl Setup'!C175</f>
        <v>f</v>
      </c>
      <c r="C91" s="15">
        <f>'Exptl Setup'!D175</f>
        <v>40</v>
      </c>
      <c r="D91" s="15" t="str">
        <f>'Exptl Setup'!E175</f>
        <v>+</v>
      </c>
      <c r="E91" s="22">
        <f>'Exptl Setup'!K175</f>
        <v>19.993735940992373</v>
      </c>
      <c r="F91" s="127">
        <v>94.17</v>
      </c>
      <c r="G91" s="127">
        <v>93.3</v>
      </c>
      <c r="H91" s="127">
        <v>92.86</v>
      </c>
      <c r="I91" s="125">
        <f t="shared" si="32"/>
        <v>93.443333333333328</v>
      </c>
      <c r="J91" s="123">
        <f t="shared" si="22"/>
        <v>60.349999999999994</v>
      </c>
      <c r="K91" s="126">
        <f t="shared" si="33"/>
        <v>1177.4536215504108</v>
      </c>
      <c r="L91" s="91">
        <f t="shared" si="34"/>
        <v>0.12917140203382785</v>
      </c>
      <c r="M91" s="177">
        <f t="shared" si="23"/>
        <v>130.05712902844925</v>
      </c>
      <c r="N91" s="178">
        <f t="shared" si="24"/>
        <v>7094.0252197335967</v>
      </c>
      <c r="T91" s="15">
        <v>32.006999999999998</v>
      </c>
      <c r="U91" s="19">
        <v>105.767</v>
      </c>
      <c r="V91" s="3">
        <f t="shared" si="25"/>
        <v>27.559707189999997</v>
      </c>
      <c r="W91" s="3">
        <f t="shared" si="26"/>
        <v>429.63145349245315</v>
      </c>
      <c r="X91" s="75">
        <f t="shared" si="27"/>
        <v>7094.0252197335967</v>
      </c>
      <c r="Y91" s="75">
        <f t="shared" si="28"/>
        <v>7523.6566732260499</v>
      </c>
      <c r="Z91" s="3">
        <f t="shared" si="29"/>
        <v>7.5236566732260499</v>
      </c>
      <c r="AA91" s="307"/>
      <c r="AB91" s="307"/>
      <c r="AC91" s="308"/>
      <c r="AF91" s="310"/>
      <c r="AG91" s="270"/>
      <c r="AH91" s="270"/>
      <c r="AI91" s="270"/>
      <c r="AJ91" s="270"/>
      <c r="AK91" s="270"/>
      <c r="AL91" s="270"/>
      <c r="AM91" s="230"/>
      <c r="AN91" s="230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</row>
    <row r="92" spans="1:104" ht="15">
      <c r="A92" s="15">
        <f>'Exptl Setup'!A179</f>
        <v>172</v>
      </c>
      <c r="B92" s="15" t="str">
        <f>'Exptl Setup'!C179</f>
        <v>d</v>
      </c>
      <c r="C92" s="15">
        <f>'Exptl Setup'!D179</f>
        <v>40</v>
      </c>
      <c r="D92" s="15" t="str">
        <f>'Exptl Setup'!E179</f>
        <v>-</v>
      </c>
      <c r="E92" s="22">
        <f>'Exptl Setup'!K179</f>
        <v>0</v>
      </c>
      <c r="F92" s="127">
        <v>57.36</v>
      </c>
      <c r="G92" s="127">
        <v>57.3</v>
      </c>
      <c r="H92" s="127">
        <v>56.83</v>
      </c>
      <c r="I92" s="125">
        <f t="shared" si="32"/>
        <v>57.163333333333334</v>
      </c>
      <c r="J92" s="123">
        <f t="shared" si="22"/>
        <v>60.349999999999994</v>
      </c>
      <c r="K92" s="126">
        <f t="shared" si="33"/>
        <v>542.60670674307823</v>
      </c>
      <c r="L92" s="91">
        <f t="shared" si="34"/>
        <v>5.9526139951628421E-2</v>
      </c>
      <c r="M92" s="177">
        <f t="shared" si="23"/>
        <v>59.934310089992046</v>
      </c>
      <c r="N92" s="178">
        <f t="shared" si="24"/>
        <v>3269.1441867268391</v>
      </c>
      <c r="T92" s="15">
        <v>32</v>
      </c>
      <c r="U92" s="19">
        <v>2844.386</v>
      </c>
      <c r="V92" s="3">
        <f t="shared" si="25"/>
        <v>741.16166002</v>
      </c>
      <c r="W92" s="3">
        <f t="shared" si="26"/>
        <v>11556.582036160567</v>
      </c>
      <c r="X92" s="75">
        <f t="shared" si="27"/>
        <v>3269.1441867268391</v>
      </c>
      <c r="Y92" s="75">
        <f t="shared" si="28"/>
        <v>14825.726222887406</v>
      </c>
      <c r="Z92" s="3">
        <f t="shared" si="29"/>
        <v>14.825726222887406</v>
      </c>
      <c r="AA92" s="307"/>
      <c r="AB92" s="307"/>
      <c r="AC92" s="308"/>
      <c r="AF92" s="309"/>
      <c r="AG92" s="270"/>
      <c r="AH92" s="270"/>
      <c r="AI92" s="270"/>
      <c r="AJ92" s="270"/>
      <c r="AK92" s="270"/>
      <c r="AL92" s="270"/>
      <c r="AM92" s="230"/>
      <c r="AN92" s="230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</row>
    <row r="93" spans="1:104" ht="15">
      <c r="A93" s="15">
        <f>'Exptl Setup'!A180</f>
        <v>173</v>
      </c>
      <c r="B93" s="15" t="str">
        <f>'Exptl Setup'!C180</f>
        <v>e</v>
      </c>
      <c r="C93" s="15">
        <f>'Exptl Setup'!D180</f>
        <v>40</v>
      </c>
      <c r="D93" s="15" t="str">
        <f>'Exptl Setup'!E180</f>
        <v>-</v>
      </c>
      <c r="E93" s="22">
        <f>'Exptl Setup'!K180</f>
        <v>0</v>
      </c>
      <c r="F93" s="127">
        <v>61.79</v>
      </c>
      <c r="G93" s="127">
        <v>61.48</v>
      </c>
      <c r="H93" s="127">
        <v>61.43</v>
      </c>
      <c r="I93" s="125">
        <f t="shared" si="32"/>
        <v>61.566666666666663</v>
      </c>
      <c r="J93" s="123">
        <f t="shared" si="22"/>
        <v>60.349999999999994</v>
      </c>
      <c r="K93" s="126">
        <f t="shared" si="33"/>
        <v>619.65859708307141</v>
      </c>
      <c r="L93" s="91">
        <f t="shared" si="34"/>
        <v>6.7979042488433394E-2</v>
      </c>
      <c r="M93" s="177">
        <f t="shared" si="23"/>
        <v>68.44517409382351</v>
      </c>
      <c r="N93" s="178">
        <f t="shared" si="24"/>
        <v>3733.3731323903739</v>
      </c>
      <c r="T93" s="15">
        <v>32</v>
      </c>
      <c r="U93" s="19">
        <v>3150.94</v>
      </c>
      <c r="V93" s="3">
        <f t="shared" si="25"/>
        <v>821.04043579999995</v>
      </c>
      <c r="W93" s="3">
        <f t="shared" si="26"/>
        <v>12802.093879318692</v>
      </c>
      <c r="X93" s="75">
        <f t="shared" si="27"/>
        <v>3733.3731323903739</v>
      </c>
      <c r="Y93" s="75">
        <f t="shared" si="28"/>
        <v>16535.467011709065</v>
      </c>
      <c r="Z93" s="3">
        <f t="shared" si="29"/>
        <v>16.535467011709066</v>
      </c>
      <c r="AA93" s="307"/>
      <c r="AB93" s="307"/>
      <c r="AC93" s="308"/>
      <c r="AF93" s="310"/>
      <c r="AG93" s="270"/>
      <c r="AH93" s="270"/>
      <c r="AI93" s="270"/>
      <c r="AJ93" s="270"/>
      <c r="AK93" s="270"/>
      <c r="AL93" s="270"/>
      <c r="AM93" s="230"/>
      <c r="AN93" s="230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</row>
    <row r="94" spans="1:104" ht="15">
      <c r="A94" s="15">
        <f>'Exptl Setup'!A181</f>
        <v>174</v>
      </c>
      <c r="B94" s="15" t="str">
        <f>'Exptl Setup'!C181</f>
        <v>f</v>
      </c>
      <c r="C94" s="15">
        <f>'Exptl Setup'!D181</f>
        <v>40</v>
      </c>
      <c r="D94" s="15" t="str">
        <f>'Exptl Setup'!E181</f>
        <v>-</v>
      </c>
      <c r="E94" s="22">
        <f>'Exptl Setup'!K181</f>
        <v>0</v>
      </c>
      <c r="F94" s="127">
        <v>55.49</v>
      </c>
      <c r="G94" s="127">
        <v>55.07</v>
      </c>
      <c r="H94" s="127">
        <v>54.97</v>
      </c>
      <c r="I94" s="125">
        <f t="shared" si="32"/>
        <v>55.176666666666669</v>
      </c>
      <c r="J94" s="123">
        <f t="shared" si="22"/>
        <v>60.349999999999994</v>
      </c>
      <c r="K94" s="126">
        <f t="shared" si="33"/>
        <v>507.8429469833236</v>
      </c>
      <c r="L94" s="91">
        <f t="shared" si="34"/>
        <v>5.5712415567119887E-2</v>
      </c>
      <c r="M94" s="177">
        <f t="shared" si="23"/>
        <v>56.09443503603022</v>
      </c>
      <c r="N94" s="178">
        <f t="shared" si="24"/>
        <v>3059.6964565107387</v>
      </c>
      <c r="T94" s="15">
        <v>32.003999999999998</v>
      </c>
      <c r="U94" s="19">
        <v>4120.09</v>
      </c>
      <c r="V94" s="3">
        <f t="shared" si="25"/>
        <v>1073.5718512999999</v>
      </c>
      <c r="W94" s="3">
        <f t="shared" si="26"/>
        <v>16737.604198404457</v>
      </c>
      <c r="X94" s="75">
        <f t="shared" si="27"/>
        <v>3059.6964565107387</v>
      </c>
      <c r="Y94" s="75">
        <f t="shared" si="28"/>
        <v>19797.300654915194</v>
      </c>
      <c r="Z94" s="3">
        <f t="shared" si="29"/>
        <v>19.797300654915194</v>
      </c>
      <c r="AA94" s="307"/>
      <c r="AB94" s="307"/>
      <c r="AC94" s="308"/>
      <c r="AF94" s="310"/>
      <c r="AG94" s="270"/>
      <c r="AH94" s="270"/>
      <c r="AI94" s="270"/>
      <c r="AJ94" s="270"/>
      <c r="AK94" s="270"/>
      <c r="AL94" s="270"/>
      <c r="AM94" s="230"/>
      <c r="AN94" s="230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</row>
    <row r="95" spans="1:104" ht="15">
      <c r="A95" s="15">
        <f>'Exptl Setup'!A185</f>
        <v>178</v>
      </c>
      <c r="B95" s="15" t="str">
        <f>'Exptl Setup'!C185</f>
        <v>d</v>
      </c>
      <c r="C95" s="15">
        <f>'Exptl Setup'!D185</f>
        <v>40</v>
      </c>
      <c r="D95" s="15" t="str">
        <f>'Exptl Setup'!E185</f>
        <v>-</v>
      </c>
      <c r="E95" s="22">
        <f>'Exptl Setup'!K185</f>
        <v>6.0003704290983864</v>
      </c>
      <c r="F95" s="127">
        <v>121.4</v>
      </c>
      <c r="G95" s="127">
        <v>121.2</v>
      </c>
      <c r="H95" s="127">
        <v>120.8</v>
      </c>
      <c r="I95" s="125">
        <f t="shared" si="32"/>
        <v>121.13333333333334</v>
      </c>
      <c r="J95" s="123">
        <f t="shared" si="22"/>
        <v>60.349999999999994</v>
      </c>
      <c r="K95" s="126">
        <f t="shared" si="33"/>
        <v>1661.9881053159856</v>
      </c>
      <c r="L95" s="91">
        <f t="shared" si="34"/>
        <v>0.18232678535951977</v>
      </c>
      <c r="M95" s="177">
        <f t="shared" si="23"/>
        <v>183.576998278887</v>
      </c>
      <c r="N95" s="178">
        <f t="shared" si="24"/>
        <v>10013.290815212018</v>
      </c>
      <c r="T95" s="15">
        <v>31.995000000000001</v>
      </c>
      <c r="U95" s="19">
        <v>8063.4309999999996</v>
      </c>
      <c r="V95" s="3">
        <f t="shared" si="25"/>
        <v>2101.08821567</v>
      </c>
      <c r="W95" s="3">
        <f t="shared" si="26"/>
        <v>32766.391195052467</v>
      </c>
      <c r="X95" s="75">
        <f t="shared" si="27"/>
        <v>10013.290815212018</v>
      </c>
      <c r="Y95" s="75">
        <f t="shared" si="28"/>
        <v>42779.682010264485</v>
      </c>
      <c r="Z95" s="3">
        <f t="shared" si="29"/>
        <v>42.779682010264487</v>
      </c>
      <c r="AA95" s="307"/>
      <c r="AB95" s="307"/>
      <c r="AC95" s="308"/>
      <c r="AF95" s="309"/>
      <c r="AG95" s="270"/>
      <c r="AH95" s="270"/>
      <c r="AI95" s="270"/>
      <c r="AJ95" s="270"/>
      <c r="AK95" s="270"/>
      <c r="AL95" s="270"/>
      <c r="AM95" s="230"/>
      <c r="AN95" s="230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</row>
    <row r="96" spans="1:104" ht="15">
      <c r="A96" s="15">
        <f>'Exptl Setup'!A186</f>
        <v>179</v>
      </c>
      <c r="B96" s="15" t="str">
        <f>'Exptl Setup'!C186</f>
        <v>e</v>
      </c>
      <c r="C96" s="15">
        <f>'Exptl Setup'!D186</f>
        <v>40</v>
      </c>
      <c r="D96" s="15" t="str">
        <f>'Exptl Setup'!E186</f>
        <v>-</v>
      </c>
      <c r="E96" s="22">
        <f>'Exptl Setup'!K186</f>
        <v>6.0014958854294553</v>
      </c>
      <c r="F96" s="127">
        <v>122.2</v>
      </c>
      <c r="G96" s="127">
        <v>121.2</v>
      </c>
      <c r="H96" s="127">
        <v>121.1</v>
      </c>
      <c r="I96" s="125">
        <f t="shared" si="32"/>
        <v>121.5</v>
      </c>
      <c r="J96" s="123">
        <f t="shared" si="22"/>
        <v>60.349999999999994</v>
      </c>
      <c r="K96" s="126">
        <f t="shared" si="33"/>
        <v>1668.4042354729872</v>
      </c>
      <c r="L96" s="91">
        <f t="shared" si="34"/>
        <v>0.18303066066538543</v>
      </c>
      <c r="M96" s="177">
        <f t="shared" si="23"/>
        <v>184.2857000505914</v>
      </c>
      <c r="N96" s="178">
        <f t="shared" si="24"/>
        <v>10051.947275486802</v>
      </c>
      <c r="T96" s="15">
        <v>31.989000000000001</v>
      </c>
      <c r="U96" s="19">
        <v>7694.0969999999998</v>
      </c>
      <c r="V96" s="3">
        <f t="shared" si="25"/>
        <v>2004.8508552899998</v>
      </c>
      <c r="W96" s="3">
        <f t="shared" si="26"/>
        <v>31271.437513440454</v>
      </c>
      <c r="X96" s="75">
        <f t="shared" si="27"/>
        <v>10051.947275486802</v>
      </c>
      <c r="Y96" s="75">
        <f t="shared" si="28"/>
        <v>41323.384788927258</v>
      </c>
      <c r="Z96" s="3">
        <f t="shared" si="29"/>
        <v>41.323384788927257</v>
      </c>
      <c r="AA96" s="307"/>
      <c r="AB96" s="307"/>
      <c r="AC96" s="308"/>
      <c r="AF96" s="310"/>
      <c r="AG96" s="270"/>
      <c r="AH96" s="270"/>
      <c r="AI96" s="270"/>
      <c r="AJ96" s="270"/>
      <c r="AK96" s="270"/>
      <c r="AL96" s="270"/>
      <c r="AM96" s="230"/>
      <c r="AN96" s="230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</row>
    <row r="97" spans="1:104" ht="15">
      <c r="A97" s="15">
        <f>'Exptl Setup'!A187</f>
        <v>180</v>
      </c>
      <c r="B97" s="15" t="str">
        <f>'Exptl Setup'!C187</f>
        <v>f</v>
      </c>
      <c r="C97" s="15">
        <f>'Exptl Setup'!D187</f>
        <v>40</v>
      </c>
      <c r="D97" s="15" t="str">
        <f>'Exptl Setup'!E187</f>
        <v>-</v>
      </c>
      <c r="E97" s="22">
        <f>'Exptl Setup'!K187</f>
        <v>5.9979333878718704</v>
      </c>
      <c r="F97" s="127">
        <v>139.1</v>
      </c>
      <c r="G97" s="127">
        <v>139</v>
      </c>
      <c r="H97" s="127">
        <v>138.69999999999999</v>
      </c>
      <c r="I97" s="125">
        <f t="shared" si="32"/>
        <v>138.93333333333334</v>
      </c>
      <c r="J97" s="123">
        <f t="shared" si="22"/>
        <v>60.349999999999994</v>
      </c>
      <c r="K97" s="126">
        <f t="shared" si="33"/>
        <v>1973.4620602104321</v>
      </c>
      <c r="L97" s="91">
        <f t="shared" si="34"/>
        <v>0.21649673202608949</v>
      </c>
      <c r="M97" s="177">
        <f t="shared" si="23"/>
        <v>217.98124792344433</v>
      </c>
      <c r="N97" s="178">
        <f t="shared" si="24"/>
        <v>11889.886250369689</v>
      </c>
      <c r="T97" s="15">
        <v>32.008000000000003</v>
      </c>
      <c r="U97" s="19">
        <v>10259.644</v>
      </c>
      <c r="V97" s="3">
        <f t="shared" si="25"/>
        <v>2673.3554370800002</v>
      </c>
      <c r="W97" s="3">
        <f t="shared" si="26"/>
        <v>41673.944166496578</v>
      </c>
      <c r="X97" s="75">
        <f t="shared" si="27"/>
        <v>11889.886250369689</v>
      </c>
      <c r="Y97" s="75">
        <f t="shared" si="28"/>
        <v>53563.830416866265</v>
      </c>
      <c r="Z97" s="3">
        <f t="shared" si="29"/>
        <v>53.563830416866267</v>
      </c>
      <c r="AA97" s="307"/>
      <c r="AB97" s="307"/>
      <c r="AC97" s="308"/>
      <c r="AF97" s="310"/>
      <c r="AG97" s="270"/>
      <c r="AH97" s="270"/>
      <c r="AI97" s="270"/>
      <c r="AJ97" s="270"/>
      <c r="AK97" s="270"/>
      <c r="AL97" s="270"/>
      <c r="AM97" s="230"/>
      <c r="AN97" s="230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</row>
    <row r="98" spans="1:104" ht="15">
      <c r="A98" s="15">
        <f>'Exptl Setup'!A191</f>
        <v>184</v>
      </c>
      <c r="B98" s="15" t="str">
        <f>'Exptl Setup'!C191</f>
        <v>d</v>
      </c>
      <c r="C98" s="15">
        <f>'Exptl Setup'!D191</f>
        <v>40</v>
      </c>
      <c r="D98" s="15" t="str">
        <f>'Exptl Setup'!E191</f>
        <v>-</v>
      </c>
      <c r="E98" s="22">
        <f>'Exptl Setup'!K191</f>
        <v>15.990991879140223</v>
      </c>
      <c r="F98" s="127">
        <v>515.29999999999995</v>
      </c>
      <c r="G98" s="127">
        <v>510.9</v>
      </c>
      <c r="H98" s="127">
        <v>510.7</v>
      </c>
      <c r="I98" s="125">
        <f t="shared" si="32"/>
        <v>512.29999999999995</v>
      </c>
      <c r="J98" s="123">
        <f t="shared" si="22"/>
        <v>60.349999999999994</v>
      </c>
      <c r="K98" s="126">
        <f t="shared" si="33"/>
        <v>8506.8324137173549</v>
      </c>
      <c r="L98" s="91">
        <f t="shared" si="34"/>
        <v>0.93323375938984887</v>
      </c>
      <c r="M98" s="177">
        <f t="shared" si="23"/>
        <v>939.63293381986057</v>
      </c>
      <c r="N98" s="178">
        <f t="shared" si="24"/>
        <v>51252.7054810833</v>
      </c>
      <c r="T98" s="15">
        <v>32.015000000000001</v>
      </c>
      <c r="U98" s="19">
        <v>2058.4899999999998</v>
      </c>
      <c r="V98" s="3">
        <f t="shared" si="25"/>
        <v>536.38073929999996</v>
      </c>
      <c r="W98" s="3">
        <f t="shared" si="26"/>
        <v>8359.6117529866606</v>
      </c>
      <c r="X98" s="75">
        <f t="shared" si="27"/>
        <v>51252.7054810833</v>
      </c>
      <c r="Y98" s="75">
        <f t="shared" si="28"/>
        <v>59612.31723406996</v>
      </c>
      <c r="Z98" s="3">
        <f t="shared" si="29"/>
        <v>59.612317234069963</v>
      </c>
      <c r="AA98" s="307"/>
      <c r="AB98" s="307"/>
      <c r="AC98" s="308"/>
      <c r="AF98" s="310"/>
      <c r="AG98" s="270"/>
      <c r="AH98" s="270"/>
      <c r="AI98" s="270"/>
      <c r="AJ98" s="270"/>
      <c r="AK98" s="270"/>
      <c r="AL98" s="270"/>
      <c r="AM98" s="230"/>
      <c r="AN98" s="230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</row>
    <row r="99" spans="1:104" ht="15">
      <c r="A99" s="15">
        <f>'Exptl Setup'!A192</f>
        <v>185</v>
      </c>
      <c r="B99" s="15" t="str">
        <f>'Exptl Setup'!C192</f>
        <v>e</v>
      </c>
      <c r="C99" s="15">
        <f>'Exptl Setup'!D192</f>
        <v>40</v>
      </c>
      <c r="D99" s="15" t="str">
        <f>'Exptl Setup'!E192</f>
        <v>-</v>
      </c>
      <c r="E99" s="22">
        <f>'Exptl Setup'!K192</f>
        <v>15.994489034324989</v>
      </c>
      <c r="F99" s="127">
        <v>539.20000000000005</v>
      </c>
      <c r="G99" s="127">
        <v>539</v>
      </c>
      <c r="H99" s="127">
        <v>536.5</v>
      </c>
      <c r="I99" s="125">
        <f t="shared" si="32"/>
        <v>538.23333333333335</v>
      </c>
      <c r="J99" s="123">
        <f t="shared" si="22"/>
        <v>60.349999999999994</v>
      </c>
      <c r="K99" s="126">
        <f t="shared" si="33"/>
        <v>8960.6278011852919</v>
      </c>
      <c r="L99" s="91">
        <f t="shared" si="34"/>
        <v>0.98301694011380236</v>
      </c>
      <c r="M99" s="177">
        <f t="shared" si="23"/>
        <v>989.75747730949638</v>
      </c>
      <c r="N99" s="178">
        <f t="shared" si="24"/>
        <v>53986.771489608902</v>
      </c>
      <c r="T99" s="15">
        <v>32.008000000000003</v>
      </c>
      <c r="U99" s="19">
        <v>2284.7289999999998</v>
      </c>
      <c r="V99" s="3">
        <f t="shared" si="25"/>
        <v>595.33183552999992</v>
      </c>
      <c r="W99" s="3">
        <f t="shared" si="26"/>
        <v>9280.4066867793426</v>
      </c>
      <c r="X99" s="75">
        <f t="shared" si="27"/>
        <v>53986.771489608902</v>
      </c>
      <c r="Y99" s="75">
        <f t="shared" si="28"/>
        <v>63267.178176388246</v>
      </c>
      <c r="Z99" s="3">
        <f t="shared" si="29"/>
        <v>63.267178176388249</v>
      </c>
      <c r="AA99" s="307"/>
      <c r="AB99" s="307"/>
      <c r="AC99" s="308"/>
      <c r="AF99" s="309"/>
      <c r="AG99" s="270"/>
      <c r="AH99" s="270"/>
      <c r="AI99" s="270"/>
      <c r="AJ99" s="270"/>
      <c r="AK99" s="270"/>
      <c r="AL99" s="270"/>
      <c r="AM99" s="230"/>
      <c r="AN99" s="230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</row>
    <row r="100" spans="1:104" ht="15">
      <c r="A100" s="15">
        <f>'Exptl Setup'!A193</f>
        <v>186</v>
      </c>
      <c r="B100" s="15" t="str">
        <f>'Exptl Setup'!C193</f>
        <v>f</v>
      </c>
      <c r="C100" s="15">
        <f>'Exptl Setup'!D193</f>
        <v>40</v>
      </c>
      <c r="D100" s="15" t="str">
        <f>'Exptl Setup'!E193</f>
        <v>-</v>
      </c>
      <c r="E100" s="22">
        <f>'Exptl Setup'!K193</f>
        <v>15.993989347079705</v>
      </c>
      <c r="F100" s="127">
        <v>456.1</v>
      </c>
      <c r="G100" s="127">
        <v>455.3</v>
      </c>
      <c r="H100" s="127">
        <v>454.8</v>
      </c>
      <c r="I100" s="125">
        <f t="shared" si="32"/>
        <v>455.40000000000003</v>
      </c>
      <c r="J100" s="123">
        <f t="shared" si="22"/>
        <v>60.349999999999994</v>
      </c>
      <c r="K100" s="126">
        <f t="shared" si="33"/>
        <v>7511.1656702626351</v>
      </c>
      <c r="L100" s="91">
        <f t="shared" si="34"/>
        <v>0.82400510965233109</v>
      </c>
      <c r="M100" s="177">
        <f t="shared" si="23"/>
        <v>829.6553043381017</v>
      </c>
      <c r="N100" s="178">
        <f t="shared" si="24"/>
        <v>45253.925691169185</v>
      </c>
      <c r="T100" s="15">
        <v>32.009</v>
      </c>
      <c r="U100" s="19">
        <v>2245.9850000000001</v>
      </c>
      <c r="V100" s="3">
        <f t="shared" si="25"/>
        <v>585.23631145000002</v>
      </c>
      <c r="W100" s="3">
        <f t="shared" si="26"/>
        <v>9122.74630004549</v>
      </c>
      <c r="X100" s="75">
        <f t="shared" si="27"/>
        <v>45253.925691169185</v>
      </c>
      <c r="Y100" s="75">
        <f t="shared" si="28"/>
        <v>54376.671991214673</v>
      </c>
      <c r="Z100" s="3">
        <f t="shared" si="29"/>
        <v>54.376671991214671</v>
      </c>
      <c r="AA100" s="307"/>
      <c r="AB100" s="307"/>
      <c r="AC100" s="308"/>
      <c r="AF100" s="310"/>
      <c r="AG100" s="270"/>
      <c r="AH100" s="270"/>
      <c r="AI100" s="270"/>
      <c r="AJ100" s="270"/>
      <c r="AK100" s="270"/>
      <c r="AL100" s="270"/>
      <c r="AM100" s="230"/>
      <c r="AN100" s="23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</row>
    <row r="101" spans="1:104" ht="15">
      <c r="A101" s="15">
        <f>'Exptl Setup'!A197</f>
        <v>190</v>
      </c>
      <c r="B101" s="15" t="str">
        <f>'Exptl Setup'!C197</f>
        <v>d</v>
      </c>
      <c r="C101" s="15">
        <f>'Exptl Setup'!D197</f>
        <v>40</v>
      </c>
      <c r="D101" s="15" t="str">
        <f>'Exptl Setup'!E197</f>
        <v>-</v>
      </c>
      <c r="E101" s="22">
        <f>'Exptl Setup'!K197</f>
        <v>19.994360628111693</v>
      </c>
      <c r="F101" s="127">
        <v>183.9</v>
      </c>
      <c r="G101" s="127">
        <v>184.7</v>
      </c>
      <c r="H101" s="127">
        <v>183.6</v>
      </c>
      <c r="I101" s="125">
        <f t="shared" si="32"/>
        <v>184.06666666666669</v>
      </c>
      <c r="J101" s="123">
        <f t="shared" si="22"/>
        <v>60.349999999999994</v>
      </c>
      <c r="K101" s="126">
        <f t="shared" si="33"/>
        <v>2763.2293540813703</v>
      </c>
      <c r="L101" s="91">
        <f t="shared" si="34"/>
        <v>0.3031373833117364</v>
      </c>
      <c r="M101" s="177">
        <f t="shared" si="23"/>
        <v>305.21599327687244</v>
      </c>
      <c r="N101" s="178">
        <f t="shared" si="24"/>
        <v>16648.145087829405</v>
      </c>
      <c r="T101" s="15">
        <v>32.006</v>
      </c>
      <c r="U101" s="19">
        <v>77.486999999999995</v>
      </c>
      <c r="V101" s="3">
        <f t="shared" si="25"/>
        <v>20.190787589999999</v>
      </c>
      <c r="W101" s="3">
        <f t="shared" si="26"/>
        <v>314.76635038226806</v>
      </c>
      <c r="X101" s="75">
        <f t="shared" si="27"/>
        <v>16648.145087829405</v>
      </c>
      <c r="Y101" s="75">
        <f t="shared" si="28"/>
        <v>16962.911438211675</v>
      </c>
      <c r="Z101" s="3">
        <f t="shared" si="29"/>
        <v>16.962911438211673</v>
      </c>
      <c r="AA101" s="307"/>
      <c r="AB101" s="307"/>
      <c r="AC101" s="308"/>
      <c r="AF101" s="309"/>
      <c r="AG101" s="270"/>
      <c r="AH101" s="270"/>
      <c r="AI101" s="270"/>
      <c r="AJ101" s="270"/>
      <c r="AK101" s="270"/>
      <c r="AL101" s="270"/>
      <c r="AM101" s="230"/>
      <c r="AN101" s="230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</row>
    <row r="102" spans="1:104" ht="15">
      <c r="A102" s="15">
        <f>'Exptl Setup'!A198</f>
        <v>191</v>
      </c>
      <c r="B102" s="15" t="str">
        <f>'Exptl Setup'!C198</f>
        <v>e</v>
      </c>
      <c r="C102" s="15">
        <f>'Exptl Setup'!D198</f>
        <v>40</v>
      </c>
      <c r="D102" s="15" t="str">
        <f>'Exptl Setup'!E198</f>
        <v>-</v>
      </c>
      <c r="E102" s="22">
        <f>'Exptl Setup'!K198</f>
        <v>19.999984569282837</v>
      </c>
      <c r="F102" s="127">
        <v>217.6</v>
      </c>
      <c r="G102" s="127">
        <v>217.5</v>
      </c>
      <c r="H102" s="127">
        <v>217.6</v>
      </c>
      <c r="I102" s="125">
        <f t="shared" si="32"/>
        <v>217.56666666666669</v>
      </c>
      <c r="J102" s="123">
        <f t="shared" si="22"/>
        <v>60.349999999999994</v>
      </c>
      <c r="K102" s="126">
        <f t="shared" si="33"/>
        <v>3349.4303366074355</v>
      </c>
      <c r="L102" s="91">
        <f t="shared" si="34"/>
        <v>0.36744599080219065</v>
      </c>
      <c r="M102" s="177">
        <f t="shared" si="23"/>
        <v>369.96556423713474</v>
      </c>
      <c r="N102" s="178">
        <f t="shared" si="24"/>
        <v>20179.93986748008</v>
      </c>
      <c r="T102" s="15">
        <v>31.997</v>
      </c>
      <c r="U102" s="19">
        <v>102.09</v>
      </c>
      <c r="V102" s="3">
        <f t="shared" si="25"/>
        <v>26.601591299999999</v>
      </c>
      <c r="W102" s="3">
        <f t="shared" si="26"/>
        <v>414.82487881968996</v>
      </c>
      <c r="X102" s="75">
        <f t="shared" si="27"/>
        <v>20179.93986748008</v>
      </c>
      <c r="Y102" s="75">
        <f t="shared" si="28"/>
        <v>20594.76474629977</v>
      </c>
      <c r="Z102" s="3">
        <f t="shared" si="29"/>
        <v>20.59476474629977</v>
      </c>
      <c r="AA102" s="307"/>
      <c r="AB102" s="307"/>
      <c r="AC102" s="308"/>
      <c r="AF102" s="310"/>
      <c r="AG102" s="270"/>
      <c r="AH102" s="270"/>
      <c r="AI102" s="270"/>
      <c r="AJ102" s="270"/>
      <c r="AK102" s="270"/>
      <c r="AL102" s="270"/>
      <c r="AM102" s="230"/>
      <c r="AN102" s="230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</row>
    <row r="103" spans="1:104" ht="15.75" thickBot="1">
      <c r="A103" s="97">
        <f>'Exptl Setup'!A199</f>
        <v>192</v>
      </c>
      <c r="B103" s="97" t="str">
        <f>'Exptl Setup'!C199</f>
        <v>f</v>
      </c>
      <c r="C103" s="97">
        <f>'Exptl Setup'!D199</f>
        <v>40</v>
      </c>
      <c r="D103" s="97" t="str">
        <f>'Exptl Setup'!E199</f>
        <v>-</v>
      </c>
      <c r="E103" s="98">
        <f>'Exptl Setup'!K199</f>
        <v>19.999984569282837</v>
      </c>
      <c r="F103" s="128">
        <v>140.1</v>
      </c>
      <c r="G103" s="128">
        <v>139</v>
      </c>
      <c r="H103" s="128">
        <v>139</v>
      </c>
      <c r="I103" s="99">
        <f t="shared" si="32"/>
        <v>139.36666666666667</v>
      </c>
      <c r="J103" s="124">
        <f t="shared" si="22"/>
        <v>60.349999999999994</v>
      </c>
      <c r="K103" s="124">
        <f t="shared" si="33"/>
        <v>1981.0447594868888</v>
      </c>
      <c r="L103" s="99">
        <f>((K103/1000000)*J103)*((101.3*273)/(101.3*(273+22)))*(44/22.4)</f>
        <v>0.21732858466029437</v>
      </c>
      <c r="M103" s="177">
        <f t="shared" si="23"/>
        <v>218.81880456273129</v>
      </c>
      <c r="N103" s="178">
        <f t="shared" si="24"/>
        <v>11935.571157967161</v>
      </c>
      <c r="T103" s="15">
        <v>31.997</v>
      </c>
      <c r="U103" s="19">
        <v>99.828000000000003</v>
      </c>
      <c r="V103" s="3">
        <f t="shared" si="25"/>
        <v>26.012181960000003</v>
      </c>
      <c r="W103" s="3">
        <f t="shared" si="26"/>
        <v>405.63363701451686</v>
      </c>
      <c r="X103" s="75">
        <f t="shared" si="27"/>
        <v>11935.571157967161</v>
      </c>
      <c r="Y103" s="75">
        <f t="shared" si="28"/>
        <v>12341.204794981677</v>
      </c>
      <c r="Z103" s="3">
        <f t="shared" si="29"/>
        <v>12.341204794981676</v>
      </c>
      <c r="AA103" s="307"/>
      <c r="AB103" s="307"/>
      <c r="AC103" s="308"/>
      <c r="AF103" s="309"/>
      <c r="AG103" s="270"/>
      <c r="AH103" s="270"/>
      <c r="AI103" s="270"/>
      <c r="AJ103" s="270"/>
      <c r="AK103" s="270"/>
      <c r="AL103" s="270"/>
      <c r="AM103" s="230"/>
      <c r="AN103" s="230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</row>
    <row r="104" spans="1:104" ht="15.75" thickBot="1">
      <c r="A104" s="14">
        <f>'Exptl Setup'!A203</f>
        <v>196</v>
      </c>
      <c r="B104" s="14" t="str">
        <f>'Exptl Setup'!C203</f>
        <v>d</v>
      </c>
      <c r="C104" s="14">
        <f>'Exptl Setup'!D203</f>
        <v>48</v>
      </c>
      <c r="D104" s="14" t="str">
        <f>'Exptl Setup'!E203</f>
        <v>+</v>
      </c>
      <c r="E104" s="26">
        <f>'Exptl Setup'!K203</f>
        <v>0</v>
      </c>
      <c r="F104" s="129">
        <v>58.25</v>
      </c>
      <c r="G104" s="129">
        <v>58.09</v>
      </c>
      <c r="H104" s="129">
        <v>58.01</v>
      </c>
      <c r="I104" s="125">
        <f t="shared" si="32"/>
        <v>58.116666666666667</v>
      </c>
      <c r="J104" s="124">
        <f t="shared" ref="J104:J126" si="36">$N$4-$N$3-$N$2</f>
        <v>60.349999999999994</v>
      </c>
      <c r="K104" s="125">
        <f t="shared" si="33"/>
        <v>559.28864515128271</v>
      </c>
      <c r="L104" s="99">
        <f t="shared" ref="L104:L127" si="37">((K104/1000000)*J104)*((101.3*273)/(101.3*(273+22)))*(44/22.4)</f>
        <v>6.1356215746879147E-2</v>
      </c>
      <c r="M104" s="177">
        <f t="shared" si="23"/>
        <v>61.776934696423382</v>
      </c>
      <c r="N104" s="178">
        <f t="shared" si="24"/>
        <v>3369.6509834412755</v>
      </c>
      <c r="O104" s="152" t="s">
        <v>163</v>
      </c>
      <c r="P104" s="4" t="s">
        <v>156</v>
      </c>
      <c r="Q104" s="40" t="s">
        <v>157</v>
      </c>
      <c r="R104" s="3" t="s">
        <v>158</v>
      </c>
      <c r="S104" s="3" t="s">
        <v>159</v>
      </c>
      <c r="T104" s="15">
        <v>31.995999999999999</v>
      </c>
      <c r="U104" s="19">
        <v>4955.5169999999998</v>
      </c>
      <c r="V104" s="3">
        <f t="shared" si="25"/>
        <v>1291.2590646899998</v>
      </c>
      <c r="W104" s="3">
        <f t="shared" si="26"/>
        <v>20136.506874196584</v>
      </c>
      <c r="X104" s="75">
        <f t="shared" si="27"/>
        <v>3369.6509834412755</v>
      </c>
      <c r="Y104" s="75">
        <f t="shared" si="28"/>
        <v>23506.15785763786</v>
      </c>
      <c r="Z104" s="3">
        <f t="shared" si="29"/>
        <v>23.506157857637859</v>
      </c>
      <c r="AA104" s="307"/>
      <c r="AB104" s="307"/>
      <c r="AC104" s="308"/>
      <c r="AF104" s="310"/>
      <c r="AG104" s="270"/>
      <c r="AH104" s="270"/>
      <c r="AI104" s="270"/>
      <c r="AJ104" s="270"/>
      <c r="AK104" s="270"/>
      <c r="AL104" s="270"/>
      <c r="AM104" s="230"/>
      <c r="AN104" s="230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</row>
    <row r="105" spans="1:104" ht="15.75" thickBot="1">
      <c r="A105" s="15">
        <f>'Exptl Setup'!A204</f>
        <v>197</v>
      </c>
      <c r="B105" s="15" t="str">
        <f>'Exptl Setup'!C204</f>
        <v>e</v>
      </c>
      <c r="C105" s="15">
        <f>'Exptl Setup'!D204</f>
        <v>48</v>
      </c>
      <c r="D105" s="15" t="str">
        <f>'Exptl Setup'!E204</f>
        <v>+</v>
      </c>
      <c r="E105" s="22">
        <f>'Exptl Setup'!K204</f>
        <v>0</v>
      </c>
      <c r="F105" s="127">
        <v>59.44</v>
      </c>
      <c r="G105" s="127">
        <v>59.48</v>
      </c>
      <c r="H105" s="127">
        <v>59.38</v>
      </c>
      <c r="I105" s="91">
        <f t="shared" si="32"/>
        <v>59.43333333333333</v>
      </c>
      <c r="J105" s="124">
        <f t="shared" si="36"/>
        <v>60.349999999999994</v>
      </c>
      <c r="K105" s="91">
        <f t="shared" si="33"/>
        <v>582.32838526051614</v>
      </c>
      <c r="L105" s="99">
        <f t="shared" si="37"/>
        <v>6.3883767981578604E-2</v>
      </c>
      <c r="M105" s="177">
        <f t="shared" si="23"/>
        <v>64.321818331179969</v>
      </c>
      <c r="N105" s="178">
        <f t="shared" si="24"/>
        <v>3508.4628180643617</v>
      </c>
      <c r="O105" s="92" t="s">
        <v>164</v>
      </c>
      <c r="P105" s="4">
        <v>24.17</v>
      </c>
      <c r="Q105" s="40">
        <v>23.98</v>
      </c>
      <c r="R105" s="3">
        <v>23.98</v>
      </c>
      <c r="S105" s="75">
        <f>AVERAGE(P105:R105)</f>
        <v>24.043333333333337</v>
      </c>
      <c r="T105" s="15">
        <v>32.002000000000002</v>
      </c>
      <c r="U105" s="19">
        <v>3818.0169999999998</v>
      </c>
      <c r="V105" s="3">
        <f t="shared" si="25"/>
        <v>994.86068968999996</v>
      </c>
      <c r="W105" s="3">
        <f t="shared" si="26"/>
        <v>15511.421145594861</v>
      </c>
      <c r="X105" s="75">
        <f t="shared" si="27"/>
        <v>3508.4628180643617</v>
      </c>
      <c r="Y105" s="75">
        <f t="shared" si="28"/>
        <v>19019.883963659224</v>
      </c>
      <c r="Z105" s="3">
        <f t="shared" si="29"/>
        <v>19.019883963659225</v>
      </c>
      <c r="AA105" s="307"/>
      <c r="AB105" s="307"/>
      <c r="AC105" s="308"/>
      <c r="AF105" s="309"/>
      <c r="AG105" s="270"/>
      <c r="AH105" s="270"/>
      <c r="AI105" s="270"/>
      <c r="AJ105" s="270"/>
      <c r="AK105" s="270"/>
      <c r="AL105" s="270"/>
      <c r="AM105" s="230"/>
      <c r="AN105" s="230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</row>
    <row r="106" spans="1:104" ht="15.75" thickBot="1">
      <c r="A106" s="15">
        <f>'Exptl Setup'!A205</f>
        <v>198</v>
      </c>
      <c r="B106" s="15" t="str">
        <f>'Exptl Setup'!C205</f>
        <v>f</v>
      </c>
      <c r="C106" s="15">
        <f>'Exptl Setup'!D205</f>
        <v>48</v>
      </c>
      <c r="D106" s="15" t="str">
        <f>'Exptl Setup'!E205</f>
        <v>+</v>
      </c>
      <c r="E106" s="22">
        <f>'Exptl Setup'!K205</f>
        <v>0</v>
      </c>
      <c r="F106" s="127">
        <v>64.069999999999993</v>
      </c>
      <c r="G106" s="127">
        <v>63.86</v>
      </c>
      <c r="H106" s="127">
        <v>63.68</v>
      </c>
      <c r="I106" s="91">
        <f t="shared" si="32"/>
        <v>63.87</v>
      </c>
      <c r="J106" s="124">
        <f t="shared" si="36"/>
        <v>60.349999999999994</v>
      </c>
      <c r="K106" s="91">
        <f t="shared" si="33"/>
        <v>659.96356016023685</v>
      </c>
      <c r="L106" s="99">
        <f t="shared" si="37"/>
        <v>7.2400659182553201E-2</v>
      </c>
      <c r="M106" s="177">
        <f t="shared" si="23"/>
        <v>72.897109768802778</v>
      </c>
      <c r="N106" s="178">
        <f t="shared" si="24"/>
        <v>3976.2059873892422</v>
      </c>
      <c r="O106" s="29">
        <v>357</v>
      </c>
      <c r="P106" s="4">
        <v>21.43</v>
      </c>
      <c r="Q106" s="40">
        <v>21.43</v>
      </c>
      <c r="R106" s="3">
        <v>21.42</v>
      </c>
      <c r="S106" s="75">
        <f>AVERAGE(P106:R106)</f>
        <v>21.426666666666666</v>
      </c>
      <c r="T106" s="15">
        <v>31.998000000000001</v>
      </c>
      <c r="U106" s="19">
        <v>3734.5360000000001</v>
      </c>
      <c r="V106" s="3">
        <f t="shared" si="25"/>
        <v>973.10804552000002</v>
      </c>
      <c r="W106" s="3">
        <f t="shared" si="26"/>
        <v>15174.16033691329</v>
      </c>
      <c r="X106" s="75">
        <f t="shared" si="27"/>
        <v>3976.2059873892422</v>
      </c>
      <c r="Y106" s="75">
        <f t="shared" si="28"/>
        <v>19150.366324302533</v>
      </c>
      <c r="Z106" s="3">
        <f t="shared" si="29"/>
        <v>19.150366324302531</v>
      </c>
      <c r="AA106" s="307"/>
      <c r="AB106" s="307"/>
      <c r="AC106" s="308"/>
      <c r="AF106" s="310"/>
      <c r="AG106" s="270"/>
      <c r="AH106" s="270"/>
      <c r="AI106" s="270"/>
      <c r="AJ106" s="270"/>
      <c r="AK106" s="270"/>
      <c r="AL106" s="270"/>
      <c r="AM106" s="230"/>
      <c r="AN106" s="230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</row>
    <row r="107" spans="1:104" ht="15.75" thickBot="1">
      <c r="A107" s="15">
        <f>'Exptl Setup'!A209</f>
        <v>202</v>
      </c>
      <c r="B107" s="15" t="str">
        <f>'Exptl Setup'!C209</f>
        <v>d</v>
      </c>
      <c r="C107" s="15">
        <f>'Exptl Setup'!D209</f>
        <v>48</v>
      </c>
      <c r="D107" s="15" t="str">
        <f>'Exptl Setup'!E209</f>
        <v>+</v>
      </c>
      <c r="E107" s="22">
        <f>'Exptl Setup'!K209</f>
        <v>6.0005579758393095</v>
      </c>
      <c r="F107" s="127">
        <v>102.1</v>
      </c>
      <c r="G107" s="127">
        <v>101.9</v>
      </c>
      <c r="H107" s="127">
        <v>101.8</v>
      </c>
      <c r="I107" s="91">
        <f t="shared" si="32"/>
        <v>101.93333333333334</v>
      </c>
      <c r="J107" s="124">
        <f t="shared" si="36"/>
        <v>60.349999999999994</v>
      </c>
      <c r="K107" s="91">
        <f t="shared" si="33"/>
        <v>1326.016198912987</v>
      </c>
      <c r="L107" s="99">
        <f t="shared" si="37"/>
        <v>0.14546931479782654</v>
      </c>
      <c r="M107" s="177">
        <f t="shared" si="23"/>
        <v>146.46679641509485</v>
      </c>
      <c r="N107" s="178">
        <f t="shared" si="24"/>
        <v>7989.0979862779013</v>
      </c>
      <c r="O107" s="93">
        <v>10000</v>
      </c>
      <c r="P107" s="4">
        <v>635.70000000000005</v>
      </c>
      <c r="Q107" s="40">
        <v>636.20000000000005</v>
      </c>
      <c r="R107" s="3">
        <v>634.79999999999995</v>
      </c>
      <c r="S107" s="75">
        <f t="shared" ref="S107:S108" si="38">AVERAGE(P107:R107)</f>
        <v>635.56666666666672</v>
      </c>
      <c r="T107" s="15">
        <v>31.994</v>
      </c>
      <c r="U107" s="19">
        <v>9901.9110000000001</v>
      </c>
      <c r="V107" s="3">
        <f t="shared" si="25"/>
        <v>2580.14094927</v>
      </c>
      <c r="W107" s="3">
        <f t="shared" si="26"/>
        <v>40238.458091235247</v>
      </c>
      <c r="X107" s="75">
        <f t="shared" si="27"/>
        <v>7989.0979862779013</v>
      </c>
      <c r="Y107" s="75">
        <f t="shared" si="28"/>
        <v>48227.556077513145</v>
      </c>
      <c r="Z107" s="3">
        <f t="shared" si="29"/>
        <v>48.227556077513142</v>
      </c>
      <c r="AA107" s="307"/>
      <c r="AB107" s="307"/>
      <c r="AC107" s="308"/>
      <c r="AF107" s="309"/>
      <c r="AG107" s="270"/>
      <c r="AH107" s="270"/>
      <c r="AI107" s="270"/>
      <c r="AJ107" s="270"/>
      <c r="AK107" s="270"/>
      <c r="AL107" s="270"/>
      <c r="AM107" s="230"/>
      <c r="AN107" s="230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</row>
    <row r="108" spans="1:104" ht="15.75" thickBot="1">
      <c r="A108" s="15">
        <f>'Exptl Setup'!A210</f>
        <v>203</v>
      </c>
      <c r="B108" s="15" t="str">
        <f>'Exptl Setup'!C210</f>
        <v>e</v>
      </c>
      <c r="C108" s="15">
        <f>'Exptl Setup'!D210</f>
        <v>48</v>
      </c>
      <c r="D108" s="15" t="str">
        <f>'Exptl Setup'!E210</f>
        <v>+</v>
      </c>
      <c r="E108" s="22">
        <f>'Exptl Setup'!K210</f>
        <v>6.0011206864118929</v>
      </c>
      <c r="F108" s="127">
        <v>115.7</v>
      </c>
      <c r="G108" s="127">
        <v>114.9</v>
      </c>
      <c r="H108" s="127">
        <v>114.8</v>
      </c>
      <c r="I108" s="91">
        <f t="shared" si="32"/>
        <v>115.13333333333334</v>
      </c>
      <c r="J108" s="124">
        <f t="shared" si="36"/>
        <v>60.349999999999994</v>
      </c>
      <c r="K108" s="91">
        <f t="shared" si="33"/>
        <v>1556.9968845650485</v>
      </c>
      <c r="L108" s="99">
        <f t="shared" si="37"/>
        <v>0.17080882580899062</v>
      </c>
      <c r="M108" s="177">
        <f t="shared" si="23"/>
        <v>171.98006019645194</v>
      </c>
      <c r="N108" s="178">
        <f t="shared" si="24"/>
        <v>9380.7305561701069</v>
      </c>
      <c r="O108" s="94">
        <v>50000</v>
      </c>
      <c r="P108" s="4">
        <v>2939</v>
      </c>
      <c r="Q108" s="4">
        <v>2902</v>
      </c>
      <c r="R108" s="3">
        <v>2895</v>
      </c>
      <c r="S108" s="75">
        <f t="shared" si="38"/>
        <v>2912</v>
      </c>
      <c r="T108" s="15">
        <v>31.991</v>
      </c>
      <c r="U108" s="19">
        <v>9862.1049999999996</v>
      </c>
      <c r="V108" s="3">
        <f t="shared" si="25"/>
        <v>2569.7686998499998</v>
      </c>
      <c r="W108" s="3">
        <f t="shared" si="26"/>
        <v>40080.456445807096</v>
      </c>
      <c r="X108" s="75">
        <f t="shared" si="27"/>
        <v>9380.7305561701069</v>
      </c>
      <c r="Y108" s="75">
        <f t="shared" si="28"/>
        <v>49461.187001977203</v>
      </c>
      <c r="Z108" s="3">
        <f t="shared" si="29"/>
        <v>49.461187001977201</v>
      </c>
      <c r="AA108" s="307"/>
      <c r="AB108" s="307"/>
      <c r="AC108" s="308"/>
      <c r="AF108" s="310"/>
      <c r="AG108" s="270"/>
      <c r="AH108" s="270"/>
      <c r="AI108" s="270"/>
      <c r="AJ108" s="270"/>
      <c r="AK108" s="270"/>
      <c r="AL108" s="270"/>
      <c r="AM108" s="230"/>
      <c r="AN108" s="230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</row>
    <row r="109" spans="1:104" ht="15.75" thickBot="1">
      <c r="A109" s="15">
        <f>'Exptl Setup'!A211</f>
        <v>204</v>
      </c>
      <c r="B109" s="15" t="str">
        <f>'Exptl Setup'!C211</f>
        <v>f</v>
      </c>
      <c r="C109" s="15">
        <f>'Exptl Setup'!D211</f>
        <v>48</v>
      </c>
      <c r="D109" s="15" t="str">
        <f>'Exptl Setup'!E211</f>
        <v>+</v>
      </c>
      <c r="E109" s="22">
        <f>'Exptl Setup'!K211</f>
        <v>5.9973712748431112</v>
      </c>
      <c r="F109" s="127">
        <v>112.3</v>
      </c>
      <c r="G109" s="127">
        <v>112.1</v>
      </c>
      <c r="H109" s="127">
        <v>112.1</v>
      </c>
      <c r="I109" s="91">
        <f t="shared" si="32"/>
        <v>112.16666666666667</v>
      </c>
      <c r="J109" s="124">
        <f t="shared" si="36"/>
        <v>60.349999999999994</v>
      </c>
      <c r="K109" s="91">
        <f t="shared" si="33"/>
        <v>1505.0845587493075</v>
      </c>
      <c r="L109" s="99">
        <f t="shared" si="37"/>
        <v>0.16511383469789567</v>
      </c>
      <c r="M109" s="177">
        <f t="shared" si="23"/>
        <v>166.24601858902577</v>
      </c>
      <c r="N109" s="178">
        <f t="shared" si="24"/>
        <v>9067.9646503104959</v>
      </c>
      <c r="T109" s="15">
        <v>32.011000000000003</v>
      </c>
      <c r="U109" s="19">
        <v>8277.0689999999995</v>
      </c>
      <c r="V109" s="3">
        <f t="shared" si="25"/>
        <v>2156.7558693299998</v>
      </c>
      <c r="W109" s="3">
        <f t="shared" si="26"/>
        <v>33617.714662677237</v>
      </c>
      <c r="X109" s="75">
        <f t="shared" si="27"/>
        <v>9067.9646503104959</v>
      </c>
      <c r="Y109" s="75">
        <f t="shared" si="28"/>
        <v>42685.679312987733</v>
      </c>
      <c r="Z109" s="3">
        <f t="shared" si="29"/>
        <v>42.68567931298773</v>
      </c>
      <c r="AA109" s="307"/>
      <c r="AB109" s="307"/>
      <c r="AC109" s="308"/>
      <c r="AF109" s="310"/>
      <c r="AG109" s="270"/>
      <c r="AH109" s="270"/>
      <c r="AI109" s="270"/>
      <c r="AJ109" s="270"/>
      <c r="AK109" s="270"/>
      <c r="AL109" s="270"/>
      <c r="AM109" s="230"/>
      <c r="AN109" s="230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</row>
    <row r="110" spans="1:104" ht="15.75" thickBot="1">
      <c r="A110" s="15">
        <f>'Exptl Setup'!A215</f>
        <v>208</v>
      </c>
      <c r="B110" s="15" t="str">
        <f>'Exptl Setup'!C215</f>
        <v>d</v>
      </c>
      <c r="C110" s="15">
        <f>'Exptl Setup'!D215</f>
        <v>48</v>
      </c>
      <c r="D110" s="15" t="str">
        <f>'Exptl Setup'!E215</f>
        <v>+</v>
      </c>
      <c r="E110" s="22">
        <f>'Exptl Setup'!K215</f>
        <v>16.000987810929029</v>
      </c>
      <c r="F110" s="127">
        <v>390.5</v>
      </c>
      <c r="G110" s="127">
        <v>389.2</v>
      </c>
      <c r="H110" s="127">
        <v>388.8</v>
      </c>
      <c r="I110" s="91">
        <f t="shared" si="32"/>
        <v>389.5</v>
      </c>
      <c r="J110" s="124">
        <f t="shared" si="36"/>
        <v>60.349999999999994</v>
      </c>
      <c r="K110" s="91">
        <f t="shared" si="33"/>
        <v>6358.012095681509</v>
      </c>
      <c r="L110" s="99">
        <f t="shared" si="37"/>
        <v>0.69749952058901954</v>
      </c>
      <c r="M110" s="177">
        <f t="shared" si="23"/>
        <v>702.28226773269</v>
      </c>
      <c r="N110" s="178">
        <f t="shared" si="24"/>
        <v>38306.305512692183</v>
      </c>
      <c r="R110" s="95" t="s">
        <v>165</v>
      </c>
      <c r="S110" s="40">
        <f>INTERCEPT(O106:O107,S106:S107)</f>
        <v>20.566374659415487</v>
      </c>
      <c r="T110" s="15">
        <v>31.995000000000001</v>
      </c>
      <c r="U110" s="19">
        <v>4250.9030000000002</v>
      </c>
      <c r="V110" s="3">
        <f t="shared" si="25"/>
        <v>1107.65779471</v>
      </c>
      <c r="W110" s="3">
        <f t="shared" si="26"/>
        <v>17273.88138253085</v>
      </c>
      <c r="X110" s="75">
        <f t="shared" si="27"/>
        <v>38306.305512692183</v>
      </c>
      <c r="Y110" s="75">
        <f t="shared" si="28"/>
        <v>55580.186895223029</v>
      </c>
      <c r="Z110" s="3">
        <f t="shared" si="29"/>
        <v>55.580186895223029</v>
      </c>
      <c r="AA110" s="307"/>
      <c r="AB110" s="307"/>
      <c r="AC110" s="308"/>
      <c r="AF110" s="310"/>
      <c r="AG110" s="270"/>
      <c r="AH110" s="270"/>
      <c r="AI110" s="270"/>
      <c r="AJ110" s="270"/>
      <c r="AK110" s="270"/>
      <c r="AL110" s="270"/>
      <c r="AM110" s="230"/>
      <c r="AN110" s="23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</row>
    <row r="111" spans="1:104" ht="15.75" thickBot="1">
      <c r="A111" s="15">
        <f>'Exptl Setup'!A216</f>
        <v>209</v>
      </c>
      <c r="B111" s="15" t="str">
        <f>'Exptl Setup'!C216</f>
        <v>e</v>
      </c>
      <c r="C111" s="15">
        <f>'Exptl Setup'!D216</f>
        <v>48</v>
      </c>
      <c r="D111" s="15" t="str">
        <f>'Exptl Setup'!E216</f>
        <v>+</v>
      </c>
      <c r="E111" s="22">
        <f>'Exptl Setup'!K216</f>
        <v>16.000487717548268</v>
      </c>
      <c r="F111" s="127">
        <v>582.79999999999995</v>
      </c>
      <c r="G111" s="127">
        <v>583.79999999999995</v>
      </c>
      <c r="H111" s="127">
        <v>581</v>
      </c>
      <c r="I111" s="91">
        <f t="shared" si="32"/>
        <v>582.5333333333333</v>
      </c>
      <c r="J111" s="124">
        <f t="shared" si="36"/>
        <v>60.349999999999994</v>
      </c>
      <c r="K111" s="91">
        <f t="shared" si="33"/>
        <v>9735.8129810630453</v>
      </c>
      <c r="L111" s="99">
        <f t="shared" si="37"/>
        <v>1.0680578747952094</v>
      </c>
      <c r="M111" s="177">
        <f t="shared" si="23"/>
        <v>1075.3815368181417</v>
      </c>
      <c r="N111" s="178">
        <f t="shared" si="24"/>
        <v>58657.174735535009</v>
      </c>
      <c r="R111" s="96" t="s">
        <v>166</v>
      </c>
      <c r="S111" s="5">
        <f>SLOPE(O106:O108,S106:S108)</f>
        <v>17.282132139463624</v>
      </c>
      <c r="T111" s="15">
        <v>31.995999999999999</v>
      </c>
      <c r="U111" s="19">
        <v>4392.4340000000002</v>
      </c>
      <c r="V111" s="3">
        <f t="shared" si="25"/>
        <v>1144.5365273800001</v>
      </c>
      <c r="W111" s="3">
        <f t="shared" si="26"/>
        <v>17848.4459715212</v>
      </c>
      <c r="X111" s="75">
        <f t="shared" si="27"/>
        <v>58657.174735535009</v>
      </c>
      <c r="Y111" s="75">
        <f t="shared" si="28"/>
        <v>76505.620707056209</v>
      </c>
      <c r="Z111" s="3">
        <f t="shared" si="29"/>
        <v>76.50562070705621</v>
      </c>
      <c r="AA111" s="307"/>
      <c r="AB111" s="307"/>
      <c r="AC111" s="308"/>
      <c r="AF111" s="309"/>
      <c r="AG111" s="270"/>
      <c r="AH111" s="270"/>
      <c r="AI111" s="270"/>
      <c r="AJ111" s="270"/>
      <c r="AK111" s="270"/>
      <c r="AL111" s="270"/>
      <c r="AM111" s="230"/>
      <c r="AN111" s="230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</row>
    <row r="112" spans="1:104" ht="15.75" thickBot="1">
      <c r="A112" s="15">
        <f>'Exptl Setup'!A217</f>
        <v>210</v>
      </c>
      <c r="B112" s="15" t="str">
        <f>'Exptl Setup'!C217</f>
        <v>f</v>
      </c>
      <c r="C112" s="15">
        <f>'Exptl Setup'!D217</f>
        <v>48</v>
      </c>
      <c r="D112" s="15" t="str">
        <f>'Exptl Setup'!E217</f>
        <v>+</v>
      </c>
      <c r="E112" s="22">
        <f>'Exptl Setup'!K217</f>
        <v>16.000987810929029</v>
      </c>
      <c r="F112" s="127">
        <v>484.6</v>
      </c>
      <c r="G112" s="127">
        <v>483.8</v>
      </c>
      <c r="H112" s="127">
        <v>482.1</v>
      </c>
      <c r="I112" s="91">
        <f t="shared" si="32"/>
        <v>483.5</v>
      </c>
      <c r="J112" s="124">
        <f t="shared" si="36"/>
        <v>60.349999999999994</v>
      </c>
      <c r="K112" s="91">
        <f t="shared" si="33"/>
        <v>8002.8745541128565</v>
      </c>
      <c r="L112" s="99">
        <f t="shared" si="37"/>
        <v>0.87794755354730913</v>
      </c>
      <c r="M112" s="177">
        <f t="shared" si="23"/>
        <v>883.96763102417242</v>
      </c>
      <c r="N112" s="178">
        <f t="shared" si="24"/>
        <v>48216.416237682126</v>
      </c>
      <c r="T112" s="15">
        <v>31.995000000000001</v>
      </c>
      <c r="U112" s="19">
        <v>2426.2049999999999</v>
      </c>
      <c r="V112" s="3">
        <f t="shared" si="25"/>
        <v>632.19623684999999</v>
      </c>
      <c r="W112" s="3">
        <f t="shared" si="26"/>
        <v>9859.0763844066241</v>
      </c>
      <c r="X112" s="75">
        <f t="shared" si="27"/>
        <v>48216.416237682126</v>
      </c>
      <c r="Y112" s="75">
        <f t="shared" si="28"/>
        <v>58075.49262208875</v>
      </c>
      <c r="Z112" s="3">
        <f t="shared" si="29"/>
        <v>58.075492622088753</v>
      </c>
      <c r="AA112" s="307"/>
      <c r="AB112" s="307"/>
      <c r="AC112" s="308"/>
      <c r="AF112" s="310"/>
      <c r="AG112" s="270"/>
      <c r="AH112" s="270"/>
      <c r="AI112" s="270"/>
      <c r="AJ112" s="270"/>
      <c r="AK112" s="270"/>
      <c r="AL112" s="270"/>
      <c r="AM112" s="230"/>
      <c r="AN112" s="230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</row>
    <row r="113" spans="1:104" ht="15.75" thickBot="1">
      <c r="A113" s="15">
        <f>'Exptl Setup'!A221</f>
        <v>214</v>
      </c>
      <c r="B113" s="15" t="str">
        <f>'Exptl Setup'!C221</f>
        <v>d</v>
      </c>
      <c r="C113" s="15">
        <f>'Exptl Setup'!D221</f>
        <v>48</v>
      </c>
      <c r="D113" s="15" t="str">
        <f>'Exptl Setup'!E221</f>
        <v>+</v>
      </c>
      <c r="E113" s="22">
        <f>'Exptl Setup'!K221</f>
        <v>20.000609646935334</v>
      </c>
      <c r="F113" s="127">
        <v>398.9</v>
      </c>
      <c r="G113" s="127">
        <v>397.9</v>
      </c>
      <c r="H113" s="127">
        <v>396.5</v>
      </c>
      <c r="I113" s="91">
        <f t="shared" si="32"/>
        <v>397.76666666666665</v>
      </c>
      <c r="J113" s="124">
        <f t="shared" si="36"/>
        <v>60.349999999999994</v>
      </c>
      <c r="K113" s="91">
        <f t="shared" si="33"/>
        <v>6502.6666664939112</v>
      </c>
      <c r="L113" s="99">
        <f t="shared" si="37"/>
        <v>0.71336870930308183</v>
      </c>
      <c r="M113" s="177">
        <f t="shared" si="23"/>
        <v>718.26027131293392</v>
      </c>
      <c r="N113" s="178">
        <f t="shared" si="24"/>
        <v>39177.832980705483</v>
      </c>
      <c r="T113" s="15">
        <v>31.995999999999999</v>
      </c>
      <c r="U113" s="19">
        <v>246.02099999999999</v>
      </c>
      <c r="V113" s="3">
        <f t="shared" si="25"/>
        <v>64.105691969999995</v>
      </c>
      <c r="W113" s="3">
        <f t="shared" si="26"/>
        <v>999.69459446849214</v>
      </c>
      <c r="X113" s="75">
        <f t="shared" si="27"/>
        <v>39177.832980705483</v>
      </c>
      <c r="Y113" s="75">
        <f t="shared" si="28"/>
        <v>40177.527575173975</v>
      </c>
      <c r="Z113" s="3">
        <f t="shared" si="29"/>
        <v>40.177527575173976</v>
      </c>
      <c r="AA113" s="307"/>
      <c r="AB113" s="307"/>
      <c r="AC113" s="308"/>
      <c r="AF113" s="309"/>
      <c r="AG113" s="270"/>
      <c r="AH113" s="270"/>
      <c r="AI113" s="270"/>
      <c r="AJ113" s="270"/>
      <c r="AK113" s="270"/>
      <c r="AL113" s="270"/>
      <c r="AM113" s="230"/>
      <c r="AN113" s="230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</row>
    <row r="114" spans="1:104" ht="15.75" thickBot="1">
      <c r="A114" s="15">
        <f>'Exptl Setup'!A222</f>
        <v>215</v>
      </c>
      <c r="B114" s="15" t="str">
        <f>'Exptl Setup'!C222</f>
        <v>e</v>
      </c>
      <c r="C114" s="15">
        <f>'Exptl Setup'!D222</f>
        <v>48</v>
      </c>
      <c r="D114" s="15" t="str">
        <f>'Exptl Setup'!E222</f>
        <v>+</v>
      </c>
      <c r="E114" s="22">
        <f>'Exptl Setup'!K222</f>
        <v>19.996234923705366</v>
      </c>
      <c r="F114" s="127">
        <v>459.9</v>
      </c>
      <c r="G114" s="127">
        <v>460.6</v>
      </c>
      <c r="H114" s="127">
        <v>459.3</v>
      </c>
      <c r="I114" s="91">
        <f t="shared" si="32"/>
        <v>459.93333333333334</v>
      </c>
      <c r="J114" s="124">
        <f t="shared" si="36"/>
        <v>60.349999999999994</v>
      </c>
      <c r="K114" s="91">
        <f t="shared" si="33"/>
        <v>7590.4923703855648</v>
      </c>
      <c r="L114" s="99">
        <f t="shared" si="37"/>
        <v>0.83270756797939749</v>
      </c>
      <c r="M114" s="177">
        <f t="shared" si="23"/>
        <v>838.41743533371925</v>
      </c>
      <c r="N114" s="178">
        <f t="shared" si="24"/>
        <v>45731.860109111949</v>
      </c>
      <c r="T114" s="15">
        <v>32.003</v>
      </c>
      <c r="U114" s="19">
        <v>265.64699999999999</v>
      </c>
      <c r="V114" s="3">
        <f t="shared" si="25"/>
        <v>69.219638790000005</v>
      </c>
      <c r="W114" s="3">
        <f t="shared" si="26"/>
        <v>1079.2078027826383</v>
      </c>
      <c r="X114" s="75">
        <f t="shared" si="27"/>
        <v>45731.860109111949</v>
      </c>
      <c r="Y114" s="75">
        <f t="shared" si="28"/>
        <v>46811.067911894585</v>
      </c>
      <c r="Z114" s="3">
        <f t="shared" si="29"/>
        <v>46.811067911894582</v>
      </c>
      <c r="AA114" s="307"/>
      <c r="AB114" s="307"/>
      <c r="AC114" s="308"/>
      <c r="AF114" s="310"/>
      <c r="AG114" s="270"/>
      <c r="AH114" s="270"/>
      <c r="AI114" s="270"/>
      <c r="AJ114" s="270"/>
      <c r="AK114" s="270"/>
      <c r="AL114" s="270"/>
      <c r="AM114" s="230"/>
      <c r="AN114" s="230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</row>
    <row r="115" spans="1:104" ht="15.75" thickBot="1">
      <c r="A115" s="15">
        <f>'Exptl Setup'!A223</f>
        <v>216</v>
      </c>
      <c r="B115" s="15" t="str">
        <f>'Exptl Setup'!C223</f>
        <v>f</v>
      </c>
      <c r="C115" s="15">
        <f>'Exptl Setup'!D223</f>
        <v>48</v>
      </c>
      <c r="D115" s="15" t="str">
        <f>'Exptl Setup'!E223</f>
        <v>+</v>
      </c>
      <c r="E115" s="22">
        <f>'Exptl Setup'!K223</f>
        <v>19.998734531183562</v>
      </c>
      <c r="F115" s="127">
        <v>236.1</v>
      </c>
      <c r="G115" s="127">
        <v>232</v>
      </c>
      <c r="H115" s="127">
        <v>230.5</v>
      </c>
      <c r="I115" s="91">
        <f t="shared" si="32"/>
        <v>232.86666666666667</v>
      </c>
      <c r="J115" s="124">
        <f t="shared" si="36"/>
        <v>60.349999999999994</v>
      </c>
      <c r="K115" s="91">
        <f t="shared" si="33"/>
        <v>3617.157949522325</v>
      </c>
      <c r="L115" s="99">
        <f t="shared" si="37"/>
        <v>0.39681678765603984</v>
      </c>
      <c r="M115" s="177">
        <f t="shared" si="23"/>
        <v>399.5377563473441</v>
      </c>
      <c r="N115" s="178">
        <f t="shared" si="24"/>
        <v>21792.968528036952</v>
      </c>
      <c r="T115" s="15">
        <v>31.998999999999999</v>
      </c>
      <c r="U115" s="19">
        <v>474.62599999999998</v>
      </c>
      <c r="V115" s="3">
        <f t="shared" si="25"/>
        <v>123.67329681999999</v>
      </c>
      <c r="W115" s="3">
        <f t="shared" si="26"/>
        <v>1928.4392901661229</v>
      </c>
      <c r="X115" s="75">
        <f t="shared" si="27"/>
        <v>21792.968528036952</v>
      </c>
      <c r="Y115" s="75">
        <f t="shared" si="28"/>
        <v>23721.407818203075</v>
      </c>
      <c r="Z115" s="3">
        <f t="shared" si="29"/>
        <v>23.721407818203076</v>
      </c>
      <c r="AA115" s="307"/>
      <c r="AB115" s="307"/>
      <c r="AC115" s="308"/>
      <c r="AF115" s="309"/>
      <c r="AG115" s="270"/>
      <c r="AH115" s="270"/>
      <c r="AI115" s="270"/>
      <c r="AJ115" s="270"/>
      <c r="AK115" s="270"/>
      <c r="AL115" s="270"/>
      <c r="AM115" s="230"/>
      <c r="AN115" s="230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</row>
    <row r="116" spans="1:104" ht="15.75" thickBot="1">
      <c r="A116" s="15">
        <f>'Exptl Setup'!A227</f>
        <v>220</v>
      </c>
      <c r="B116" s="15" t="str">
        <f>'Exptl Setup'!C227</f>
        <v>d</v>
      </c>
      <c r="C116" s="15">
        <f>'Exptl Setup'!D227</f>
        <v>48</v>
      </c>
      <c r="D116" s="15" t="str">
        <f>'Exptl Setup'!E227</f>
        <v>-</v>
      </c>
      <c r="E116" s="22">
        <f>'Exptl Setup'!K227</f>
        <v>0</v>
      </c>
      <c r="F116" s="127">
        <v>70.63</v>
      </c>
      <c r="G116" s="127">
        <v>70.52</v>
      </c>
      <c r="H116" s="127">
        <v>70.37</v>
      </c>
      <c r="I116" s="91">
        <f t="shared" si="32"/>
        <v>70.506666666666661</v>
      </c>
      <c r="J116" s="124">
        <f t="shared" si="36"/>
        <v>60.349999999999994</v>
      </c>
      <c r="K116" s="91">
        <f t="shared" si="33"/>
        <v>776.09551600196755</v>
      </c>
      <c r="L116" s="99">
        <f t="shared" si="37"/>
        <v>8.5140802218721778E-2</v>
      </c>
      <c r="M116" s="177">
        <f t="shared" si="23"/>
        <v>85.724611836651746</v>
      </c>
      <c r="N116" s="178">
        <f t="shared" si="24"/>
        <v>4675.8879183628214</v>
      </c>
      <c r="T116" s="15">
        <v>31.997</v>
      </c>
      <c r="U116" s="19">
        <v>4144.7539999999999</v>
      </c>
      <c r="V116" s="3">
        <f t="shared" si="25"/>
        <v>1079.9985497800001</v>
      </c>
      <c r="W116" s="3">
        <f t="shared" si="26"/>
        <v>16841.483747550454</v>
      </c>
      <c r="X116" s="75">
        <f t="shared" si="27"/>
        <v>4675.8879183628214</v>
      </c>
      <c r="Y116" s="75">
        <f t="shared" si="28"/>
        <v>21517.371665913277</v>
      </c>
      <c r="Z116" s="3">
        <f t="shared" si="29"/>
        <v>21.517371665913277</v>
      </c>
      <c r="AA116" s="307"/>
      <c r="AB116" s="307"/>
      <c r="AC116" s="308"/>
      <c r="AF116" s="310"/>
      <c r="AG116" s="270"/>
      <c r="AH116" s="270"/>
      <c r="AI116" s="270"/>
      <c r="AJ116" s="270"/>
      <c r="AK116" s="270"/>
      <c r="AL116" s="270"/>
      <c r="AM116" s="230"/>
      <c r="AN116" s="230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</row>
    <row r="117" spans="1:104" ht="15.75" thickBot="1">
      <c r="A117" s="15">
        <f>'Exptl Setup'!A228</f>
        <v>221</v>
      </c>
      <c r="B117" s="15" t="str">
        <f>'Exptl Setup'!C228</f>
        <v>e</v>
      </c>
      <c r="C117" s="15">
        <f>'Exptl Setup'!D228</f>
        <v>48</v>
      </c>
      <c r="D117" s="15" t="str">
        <f>'Exptl Setup'!E228</f>
        <v>-</v>
      </c>
      <c r="E117" s="22">
        <f>'Exptl Setup'!K228</f>
        <v>0</v>
      </c>
      <c r="F117" s="127">
        <v>75.150000000000006</v>
      </c>
      <c r="G117" s="127">
        <v>75.099999999999994</v>
      </c>
      <c r="H117" s="127">
        <v>74.900000000000006</v>
      </c>
      <c r="I117" s="91">
        <f t="shared" si="32"/>
        <v>75.05</v>
      </c>
      <c r="J117" s="124">
        <f t="shared" si="36"/>
        <v>60.349999999999994</v>
      </c>
      <c r="K117" s="91">
        <f t="shared" si="33"/>
        <v>855.59720149281611</v>
      </c>
      <c r="L117" s="99">
        <f t="shared" si="37"/>
        <v>9.3862457145039102E-2</v>
      </c>
      <c r="M117" s="177">
        <f t="shared" si="23"/>
        <v>94.506071062406704</v>
      </c>
      <c r="N117" s="178">
        <f t="shared" si="24"/>
        <v>5154.8766034040027</v>
      </c>
      <c r="T117" s="15">
        <v>31.997</v>
      </c>
      <c r="U117" s="19">
        <v>4202.5280000000002</v>
      </c>
      <c r="V117" s="3">
        <f t="shared" si="25"/>
        <v>1095.05272096</v>
      </c>
      <c r="W117" s="3">
        <f t="shared" si="26"/>
        <v>17076.238302834307</v>
      </c>
      <c r="X117" s="75">
        <f t="shared" si="27"/>
        <v>5154.8766034040027</v>
      </c>
      <c r="Y117" s="75">
        <f t="shared" si="28"/>
        <v>22231.114906238308</v>
      </c>
      <c r="Z117" s="3">
        <f t="shared" si="29"/>
        <v>22.231114906238307</v>
      </c>
      <c r="AA117" s="307"/>
      <c r="AB117" s="307"/>
      <c r="AC117" s="308"/>
      <c r="AF117" s="309"/>
      <c r="AG117" s="270"/>
      <c r="AH117" s="270"/>
      <c r="AI117" s="270"/>
      <c r="AJ117" s="270"/>
      <c r="AK117" s="270"/>
      <c r="AL117" s="270"/>
      <c r="AM117" s="230"/>
      <c r="AN117" s="230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</row>
    <row r="118" spans="1:104" ht="15.75" thickBot="1">
      <c r="A118" s="15">
        <f>'Exptl Setup'!A229</f>
        <v>222</v>
      </c>
      <c r="B118" s="15" t="str">
        <f>'Exptl Setup'!C229</f>
        <v>f</v>
      </c>
      <c r="C118" s="15">
        <f>'Exptl Setup'!D229</f>
        <v>48</v>
      </c>
      <c r="D118" s="15" t="str">
        <f>'Exptl Setup'!E229</f>
        <v>-</v>
      </c>
      <c r="E118" s="22">
        <f>'Exptl Setup'!K229</f>
        <v>0</v>
      </c>
      <c r="F118" s="127">
        <v>63.98</v>
      </c>
      <c r="G118" s="127">
        <v>64.010000000000005</v>
      </c>
      <c r="H118" s="127">
        <v>63.39</v>
      </c>
      <c r="I118" s="91">
        <f t="shared" si="32"/>
        <v>63.793333333333329</v>
      </c>
      <c r="J118" s="124">
        <f t="shared" si="36"/>
        <v>60.349999999999994</v>
      </c>
      <c r="K118" s="91">
        <f t="shared" si="33"/>
        <v>658.62200567286368</v>
      </c>
      <c r="L118" s="99">
        <f t="shared" si="37"/>
        <v>7.2253485254963098E-2</v>
      </c>
      <c r="M118" s="177">
        <f t="shared" si="23"/>
        <v>72.748926671082756</v>
      </c>
      <c r="N118" s="178">
        <f t="shared" si="24"/>
        <v>3968.1232729681506</v>
      </c>
      <c r="T118" s="15">
        <v>31.998000000000001</v>
      </c>
      <c r="U118" s="19">
        <v>4294.3019999999997</v>
      </c>
      <c r="V118" s="3">
        <f t="shared" si="25"/>
        <v>1118.9662721399998</v>
      </c>
      <c r="W118" s="3">
        <f t="shared" si="26"/>
        <v>17448.600598073601</v>
      </c>
      <c r="X118" s="75">
        <f t="shared" si="27"/>
        <v>3968.1232729681506</v>
      </c>
      <c r="Y118" s="75">
        <f t="shared" si="28"/>
        <v>21416.723871041751</v>
      </c>
      <c r="Z118" s="3">
        <f t="shared" si="29"/>
        <v>21.41672387104175</v>
      </c>
      <c r="AA118" s="307"/>
      <c r="AB118" s="307"/>
      <c r="AC118" s="308"/>
      <c r="AF118" s="310"/>
      <c r="AG118" s="270"/>
      <c r="AH118" s="270"/>
      <c r="AI118" s="270"/>
      <c r="AJ118" s="270"/>
      <c r="AK118" s="270"/>
      <c r="AL118" s="270"/>
      <c r="AM118" s="230"/>
      <c r="AN118" s="230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</row>
    <row r="119" spans="1:104" ht="15.75" thickBot="1">
      <c r="A119" s="15">
        <f>'Exptl Setup'!A233</f>
        <v>226</v>
      </c>
      <c r="B119" s="15" t="str">
        <f>'Exptl Setup'!C233</f>
        <v>d</v>
      </c>
      <c r="C119" s="15">
        <f>'Exptl Setup'!D233</f>
        <v>48</v>
      </c>
      <c r="D119" s="15" t="str">
        <f>'Exptl Setup'!E233</f>
        <v>-</v>
      </c>
      <c r="E119" s="22">
        <f>'Exptl Setup'!K233</f>
        <v>5.9986830358393597</v>
      </c>
      <c r="F119" s="127">
        <v>144.80000000000001</v>
      </c>
      <c r="G119" s="127">
        <v>144.30000000000001</v>
      </c>
      <c r="H119" s="127">
        <v>143.6</v>
      </c>
      <c r="I119" s="91">
        <f t="shared" si="32"/>
        <v>144.23333333333335</v>
      </c>
      <c r="J119" s="124">
        <f t="shared" si="36"/>
        <v>60.349999999999994</v>
      </c>
      <c r="K119" s="91">
        <f t="shared" si="33"/>
        <v>2066.2043052070935</v>
      </c>
      <c r="L119" s="99">
        <f t="shared" si="37"/>
        <v>0.22667092962905688</v>
      </c>
      <c r="M119" s="177">
        <f t="shared" si="23"/>
        <v>228.22520989626193</v>
      </c>
      <c r="N119" s="178">
        <f t="shared" si="24"/>
        <v>12448.647812523379</v>
      </c>
      <c r="T119" s="15">
        <v>32.003999999999998</v>
      </c>
      <c r="U119" s="19">
        <v>10549.027</v>
      </c>
      <c r="V119" s="3">
        <f t="shared" si="25"/>
        <v>2748.7599653900002</v>
      </c>
      <c r="W119" s="3">
        <f t="shared" si="26"/>
        <v>42854.752834108469</v>
      </c>
      <c r="X119" s="75">
        <f t="shared" si="27"/>
        <v>12448.647812523379</v>
      </c>
      <c r="Y119" s="75">
        <f t="shared" si="28"/>
        <v>55303.400646631846</v>
      </c>
      <c r="Z119" s="3">
        <f t="shared" si="29"/>
        <v>55.303400646631843</v>
      </c>
      <c r="AA119" s="307"/>
      <c r="AB119" s="307"/>
      <c r="AC119" s="308"/>
      <c r="AF119" s="310"/>
      <c r="AG119" s="270"/>
      <c r="AH119" s="270"/>
      <c r="AI119" s="270"/>
      <c r="AJ119" s="270"/>
      <c r="AK119" s="270"/>
      <c r="AL119" s="270"/>
      <c r="AM119" s="230"/>
      <c r="AN119" s="230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</row>
    <row r="120" spans="1:104" ht="15.75" thickBot="1">
      <c r="A120" s="15">
        <f>'Exptl Setup'!A234</f>
        <v>227</v>
      </c>
      <c r="B120" s="15" t="str">
        <f>'Exptl Setup'!C234</f>
        <v>e</v>
      </c>
      <c r="C120" s="15">
        <f>'Exptl Setup'!D234</f>
        <v>48</v>
      </c>
      <c r="D120" s="15" t="str">
        <f>'Exptl Setup'!E234</f>
        <v>-</v>
      </c>
      <c r="E120" s="22">
        <f>'Exptl Setup'!K234</f>
        <v>6.0001828940805995</v>
      </c>
      <c r="F120" s="127">
        <v>145.1</v>
      </c>
      <c r="G120" s="127">
        <v>146.6</v>
      </c>
      <c r="H120" s="127">
        <v>143.69999999999999</v>
      </c>
      <c r="I120" s="91">
        <f t="shared" si="32"/>
        <v>145.13333333333333</v>
      </c>
      <c r="J120" s="124">
        <f t="shared" si="36"/>
        <v>60.349999999999994</v>
      </c>
      <c r="K120" s="91">
        <f t="shared" si="33"/>
        <v>2081.9529883197338</v>
      </c>
      <c r="L120" s="99">
        <f t="shared" si="37"/>
        <v>0.22839862356163626</v>
      </c>
      <c r="M120" s="177">
        <f t="shared" si="23"/>
        <v>229.96475060862718</v>
      </c>
      <c r="N120" s="178">
        <f t="shared" si="24"/>
        <v>12543.531851379666</v>
      </c>
      <c r="T120" s="15">
        <v>31.995999999999999</v>
      </c>
      <c r="U120" s="19">
        <v>10285.868</v>
      </c>
      <c r="V120" s="3">
        <f t="shared" si="25"/>
        <v>2680.18862476</v>
      </c>
      <c r="W120" s="3">
        <f t="shared" si="26"/>
        <v>41796.133821976342</v>
      </c>
      <c r="X120" s="75">
        <f t="shared" si="27"/>
        <v>12543.531851379666</v>
      </c>
      <c r="Y120" s="75">
        <f t="shared" si="28"/>
        <v>54339.665673356008</v>
      </c>
      <c r="Z120" s="3">
        <f t="shared" si="29"/>
        <v>54.339665673356009</v>
      </c>
      <c r="AA120" s="307"/>
      <c r="AB120" s="307"/>
      <c r="AC120" s="308"/>
      <c r="AF120" s="309"/>
      <c r="AG120" s="270"/>
      <c r="AH120" s="270"/>
      <c r="AI120" s="270"/>
      <c r="AJ120" s="270"/>
      <c r="AK120" s="270"/>
      <c r="AL120" s="270"/>
      <c r="AM120" s="230"/>
      <c r="AN120" s="23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</row>
    <row r="121" spans="1:104" ht="15.75" thickBot="1">
      <c r="A121" s="15">
        <f>'Exptl Setup'!A235</f>
        <v>228</v>
      </c>
      <c r="B121" s="15" t="str">
        <f>'Exptl Setup'!C235</f>
        <v>f</v>
      </c>
      <c r="C121" s="15">
        <f>'Exptl Setup'!D235</f>
        <v>48</v>
      </c>
      <c r="D121" s="15" t="str">
        <f>'Exptl Setup'!E235</f>
        <v>-</v>
      </c>
      <c r="E121" s="22">
        <f>'Exptl Setup'!K235</f>
        <v>5.9999953707848501</v>
      </c>
      <c r="F121" s="127">
        <v>140.1</v>
      </c>
      <c r="G121" s="127">
        <v>138.19999999999999</v>
      </c>
      <c r="H121" s="127">
        <v>139.5</v>
      </c>
      <c r="I121" s="91">
        <f t="shared" si="32"/>
        <v>139.26666666666665</v>
      </c>
      <c r="J121" s="124">
        <f t="shared" si="36"/>
        <v>60.349999999999994</v>
      </c>
      <c r="K121" s="91">
        <f t="shared" si="33"/>
        <v>1979.2949058077061</v>
      </c>
      <c r="L121" s="99">
        <f t="shared" si="37"/>
        <v>0.2171366186677855</v>
      </c>
      <c r="M121" s="177">
        <f t="shared" si="23"/>
        <v>218.62552226135733</v>
      </c>
      <c r="N121" s="178">
        <f t="shared" si="24"/>
        <v>11925.028486983127</v>
      </c>
      <c r="T121" s="15">
        <v>31.997</v>
      </c>
      <c r="U121" s="19">
        <v>8375.4779999999992</v>
      </c>
      <c r="V121" s="3">
        <f t="shared" si="25"/>
        <v>2182.3983024599997</v>
      </c>
      <c r="W121" s="3">
        <f t="shared" si="26"/>
        <v>34032.291570251546</v>
      </c>
      <c r="X121" s="75">
        <f t="shared" si="27"/>
        <v>11925.028486983127</v>
      </c>
      <c r="Y121" s="75">
        <f t="shared" si="28"/>
        <v>45957.320057234669</v>
      </c>
      <c r="Z121" s="3">
        <f t="shared" si="29"/>
        <v>45.957320057234668</v>
      </c>
      <c r="AA121" s="307"/>
      <c r="AB121" s="307"/>
      <c r="AC121" s="308"/>
      <c r="AF121" s="310"/>
      <c r="AG121" s="270"/>
      <c r="AH121" s="270"/>
      <c r="AI121" s="270"/>
      <c r="AJ121" s="270"/>
      <c r="AK121" s="270"/>
      <c r="AL121" s="270"/>
      <c r="AM121" s="230"/>
      <c r="AN121" s="230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</row>
    <row r="122" spans="1:104" ht="15.75" thickBot="1">
      <c r="A122" s="15">
        <f>'Exptl Setup'!A239</f>
        <v>232</v>
      </c>
      <c r="B122" s="15" t="str">
        <f>'Exptl Setup'!C239</f>
        <v>d</v>
      </c>
      <c r="C122" s="15">
        <f>'Exptl Setup'!D239</f>
        <v>48</v>
      </c>
      <c r="D122" s="15" t="str">
        <f>'Exptl Setup'!E239</f>
        <v>-</v>
      </c>
      <c r="E122" s="22">
        <f>'Exptl Setup'!K239</f>
        <v>15.996987938964294</v>
      </c>
      <c r="F122" s="127">
        <v>711.7</v>
      </c>
      <c r="G122" s="127">
        <v>710</v>
      </c>
      <c r="H122" s="127">
        <v>708.1</v>
      </c>
      <c r="I122" s="91">
        <f t="shared" si="32"/>
        <v>709.93333333333339</v>
      </c>
      <c r="J122" s="124">
        <f t="shared" si="36"/>
        <v>60.349999999999994</v>
      </c>
      <c r="K122" s="91">
        <f t="shared" si="33"/>
        <v>11965.126568341278</v>
      </c>
      <c r="L122" s="99">
        <f t="shared" si="37"/>
        <v>1.3126225492514445</v>
      </c>
      <c r="M122" s="177">
        <f t="shared" si="23"/>
        <v>1321.623188768513</v>
      </c>
      <c r="N122" s="178">
        <f t="shared" si="24"/>
        <v>72088.537569191627</v>
      </c>
      <c r="T122" s="15">
        <v>32.003</v>
      </c>
      <c r="U122" s="19">
        <v>5281.701</v>
      </c>
      <c r="V122" s="3">
        <f t="shared" si="25"/>
        <v>1376.2528295700001</v>
      </c>
      <c r="W122" s="3">
        <f t="shared" si="26"/>
        <v>21457.245634864546</v>
      </c>
      <c r="X122" s="75">
        <f t="shared" si="27"/>
        <v>72088.537569191627</v>
      </c>
      <c r="Y122" s="75">
        <f t="shared" si="28"/>
        <v>93545.783204056177</v>
      </c>
      <c r="Z122" s="3">
        <f t="shared" si="29"/>
        <v>93.545783204056178</v>
      </c>
      <c r="AA122" s="307"/>
      <c r="AB122" s="307"/>
      <c r="AC122" s="308"/>
      <c r="AF122" s="310"/>
      <c r="AG122" s="270"/>
      <c r="AH122" s="270"/>
      <c r="AI122" s="270"/>
      <c r="AJ122" s="270"/>
      <c r="AK122" s="270"/>
      <c r="AL122" s="270"/>
      <c r="AM122" s="230"/>
      <c r="AN122" s="230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</row>
    <row r="123" spans="1:104" ht="15.75" thickBot="1">
      <c r="A123" s="15">
        <f>'Exptl Setup'!A240</f>
        <v>233</v>
      </c>
      <c r="B123" s="15" t="str">
        <f>'Exptl Setup'!C240</f>
        <v>e</v>
      </c>
      <c r="C123" s="15">
        <f>'Exptl Setup'!D240</f>
        <v>48</v>
      </c>
      <c r="D123" s="15" t="str">
        <f>'Exptl Setup'!E240</f>
        <v>-</v>
      </c>
      <c r="E123" s="22">
        <f>'Exptl Setup'!K240</f>
        <v>16.000987810929029</v>
      </c>
      <c r="F123" s="127">
        <v>768.3</v>
      </c>
      <c r="G123" s="127">
        <v>764.3</v>
      </c>
      <c r="H123" s="127">
        <v>762.3</v>
      </c>
      <c r="I123" s="91">
        <f t="shared" si="32"/>
        <v>764.96666666666658</v>
      </c>
      <c r="J123" s="124">
        <f t="shared" si="36"/>
        <v>60.349999999999994</v>
      </c>
      <c r="K123" s="91">
        <f t="shared" si="33"/>
        <v>12928.129376451259</v>
      </c>
      <c r="L123" s="99">
        <f t="shared" si="37"/>
        <v>1.4182678337954642</v>
      </c>
      <c r="M123" s="177">
        <f t="shared" si="23"/>
        <v>1427.9928819579586</v>
      </c>
      <c r="N123" s="178">
        <f t="shared" si="24"/>
        <v>77890.520834070456</v>
      </c>
      <c r="T123" s="15">
        <v>31.995000000000001</v>
      </c>
      <c r="U123" s="19">
        <v>4888.0680000000002</v>
      </c>
      <c r="V123" s="3">
        <f t="shared" si="25"/>
        <v>1273.68387876</v>
      </c>
      <c r="W123" s="3">
        <f t="shared" si="26"/>
        <v>19863.05187903484</v>
      </c>
      <c r="X123" s="75">
        <f t="shared" si="27"/>
        <v>77890.520834070456</v>
      </c>
      <c r="Y123" s="75">
        <f t="shared" si="28"/>
        <v>97753.572713105299</v>
      </c>
      <c r="Z123" s="3">
        <f t="shared" si="29"/>
        <v>97.753572713105299</v>
      </c>
      <c r="AA123" s="307"/>
      <c r="AB123" s="307"/>
      <c r="AC123" s="308"/>
      <c r="AF123" s="309"/>
      <c r="AG123" s="270"/>
      <c r="AH123" s="270"/>
      <c r="AI123" s="270"/>
      <c r="AJ123" s="270"/>
      <c r="AK123" s="270"/>
      <c r="AL123" s="270"/>
      <c r="AM123" s="230"/>
      <c r="AN123" s="230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</row>
    <row r="124" spans="1:104" ht="15.75" thickBot="1">
      <c r="A124" s="15">
        <f>'Exptl Setup'!A241</f>
        <v>234</v>
      </c>
      <c r="B124" s="15" t="str">
        <f>'Exptl Setup'!C241</f>
        <v>f</v>
      </c>
      <c r="C124" s="15">
        <f>'Exptl Setup'!D241</f>
        <v>48</v>
      </c>
      <c r="D124" s="15" t="str">
        <f>'Exptl Setup'!E241</f>
        <v>-</v>
      </c>
      <c r="E124" s="22">
        <f>'Exptl Setup'!K241</f>
        <v>15.997987719467337</v>
      </c>
      <c r="F124" s="127">
        <v>670.4</v>
      </c>
      <c r="G124" s="127">
        <v>668.6</v>
      </c>
      <c r="H124" s="127">
        <v>666.2</v>
      </c>
      <c r="I124" s="91">
        <f t="shared" si="32"/>
        <v>668.4</v>
      </c>
      <c r="J124" s="124">
        <f t="shared" si="36"/>
        <v>60.349999999999994</v>
      </c>
      <c r="K124" s="91">
        <f t="shared" si="33"/>
        <v>11238.354006920901</v>
      </c>
      <c r="L124" s="99">
        <f t="shared" si="37"/>
        <v>1.232892673696115</v>
      </c>
      <c r="M124" s="177">
        <f t="shared" si="23"/>
        <v>1241.3466062645457</v>
      </c>
      <c r="N124" s="178">
        <f t="shared" si="24"/>
        <v>67709.81488715703</v>
      </c>
      <c r="T124" s="15">
        <v>32.000999999999998</v>
      </c>
      <c r="U124" s="19">
        <v>2793.8530000000001</v>
      </c>
      <c r="V124" s="3">
        <f t="shared" si="25"/>
        <v>727.99427621000007</v>
      </c>
      <c r="W124" s="3">
        <f t="shared" si="26"/>
        <v>11350.914553095819</v>
      </c>
      <c r="X124" s="75">
        <f t="shared" si="27"/>
        <v>67709.81488715703</v>
      </c>
      <c r="Y124" s="75">
        <f t="shared" si="28"/>
        <v>79060.72944025285</v>
      </c>
      <c r="Z124" s="3">
        <f t="shared" si="29"/>
        <v>79.060729440252857</v>
      </c>
      <c r="AA124" s="307"/>
      <c r="AB124" s="307"/>
      <c r="AC124" s="308"/>
      <c r="AF124" s="310"/>
      <c r="AG124" s="270"/>
      <c r="AH124" s="270"/>
      <c r="AI124" s="270"/>
      <c r="AJ124" s="270"/>
      <c r="AK124" s="270"/>
      <c r="AL124" s="270"/>
      <c r="AM124" s="230"/>
      <c r="AN124" s="230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</row>
    <row r="125" spans="1:104" ht="15.75" thickBot="1">
      <c r="A125" s="15">
        <f>'Exptl Setup'!A245</f>
        <v>238</v>
      </c>
      <c r="B125" s="15" t="str">
        <f>'Exptl Setup'!C245</f>
        <v>d</v>
      </c>
      <c r="C125" s="15">
        <f>'Exptl Setup'!D245</f>
        <v>48</v>
      </c>
      <c r="D125" s="15" t="str">
        <f>'Exptl Setup'!E245</f>
        <v>-</v>
      </c>
      <c r="E125" s="22">
        <f>'Exptl Setup'!K245</f>
        <v>19.993735940992373</v>
      </c>
      <c r="F125" s="127">
        <v>346.5</v>
      </c>
      <c r="G125" s="127">
        <v>340.2</v>
      </c>
      <c r="H125" s="127">
        <v>336.3</v>
      </c>
      <c r="I125" s="91">
        <f t="shared" si="32"/>
        <v>341</v>
      </c>
      <c r="J125" s="124">
        <f t="shared" si="36"/>
        <v>60.349999999999994</v>
      </c>
      <c r="K125" s="91">
        <f t="shared" si="33"/>
        <v>5509.333061278101</v>
      </c>
      <c r="L125" s="99">
        <f t="shared" si="37"/>
        <v>0.60439601422224243</v>
      </c>
      <c r="M125" s="177">
        <f t="shared" si="23"/>
        <v>608.54035156634006</v>
      </c>
      <c r="N125" s="178">
        <f t="shared" si="24"/>
        <v>33193.110085436725</v>
      </c>
      <c r="T125" s="15">
        <v>32.006999999999998</v>
      </c>
      <c r="U125" s="19">
        <v>463.56900000000002</v>
      </c>
      <c r="V125" s="3">
        <f t="shared" si="25"/>
        <v>120.79217432999999</v>
      </c>
      <c r="W125" s="3">
        <f t="shared" si="26"/>
        <v>1883.0431350425279</v>
      </c>
      <c r="X125" s="75">
        <f t="shared" si="27"/>
        <v>33193.110085436725</v>
      </c>
      <c r="Y125" s="75">
        <f t="shared" si="28"/>
        <v>35076.153220479253</v>
      </c>
      <c r="Z125" s="3">
        <f t="shared" si="29"/>
        <v>35.076153220479256</v>
      </c>
      <c r="AA125" s="307"/>
      <c r="AB125" s="307"/>
      <c r="AC125" s="308"/>
      <c r="AF125" s="309"/>
      <c r="AG125" s="270"/>
      <c r="AH125" s="270"/>
      <c r="AI125" s="270"/>
      <c r="AJ125" s="270"/>
      <c r="AK125" s="270"/>
      <c r="AL125" s="270"/>
      <c r="AM125" s="230"/>
      <c r="AN125" s="230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</row>
    <row r="126" spans="1:104" ht="15.75" thickBot="1">
      <c r="A126" s="15">
        <f>'Exptl Setup'!A246</f>
        <v>239</v>
      </c>
      <c r="B126" s="15" t="str">
        <f>'Exptl Setup'!C246</f>
        <v>e</v>
      </c>
      <c r="C126" s="15">
        <f>'Exptl Setup'!D246</f>
        <v>48</v>
      </c>
      <c r="D126" s="15" t="str">
        <f>'Exptl Setup'!E246</f>
        <v>-</v>
      </c>
      <c r="E126" s="22">
        <f>'Exptl Setup'!K246</f>
        <v>20.004986284764851</v>
      </c>
      <c r="F126" s="127">
        <v>610.29999999999995</v>
      </c>
      <c r="G126" s="127">
        <v>605.4</v>
      </c>
      <c r="H126" s="127">
        <v>597.70000000000005</v>
      </c>
      <c r="I126" s="91">
        <f t="shared" si="32"/>
        <v>604.46666666666658</v>
      </c>
      <c r="J126" s="124">
        <f t="shared" si="36"/>
        <v>60.349999999999994</v>
      </c>
      <c r="K126" s="91">
        <f t="shared" si="33"/>
        <v>10119.614221363692</v>
      </c>
      <c r="L126" s="99">
        <f t="shared" si="37"/>
        <v>1.1101624158188101</v>
      </c>
      <c r="M126" s="177">
        <f t="shared" si="23"/>
        <v>1117.7747882528211</v>
      </c>
      <c r="N126" s="178">
        <f t="shared" si="24"/>
        <v>60969.533904699332</v>
      </c>
      <c r="T126" s="15">
        <v>31.989000000000001</v>
      </c>
      <c r="U126" s="19">
        <v>348.02199999999999</v>
      </c>
      <c r="V126" s="3">
        <f>U126*260.57*10^-3</f>
        <v>90.684092539999995</v>
      </c>
      <c r="W126" s="3">
        <f t="shared" si="26"/>
        <v>1414.4802471690407</v>
      </c>
      <c r="X126" s="75">
        <f>N126</f>
        <v>60969.533904699332</v>
      </c>
      <c r="Y126" s="75">
        <f>W126+X126</f>
        <v>62384.014151868374</v>
      </c>
      <c r="Z126" s="3">
        <f t="shared" si="29"/>
        <v>62.384014151868371</v>
      </c>
      <c r="AA126" s="307"/>
      <c r="AB126" s="307"/>
      <c r="AC126" s="308"/>
      <c r="AF126" s="310"/>
      <c r="AG126" s="270"/>
      <c r="AH126" s="270"/>
      <c r="AI126" s="270"/>
      <c r="AJ126" s="270"/>
      <c r="AK126" s="270"/>
      <c r="AL126" s="270"/>
      <c r="AM126" s="230"/>
      <c r="AN126" s="230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</row>
    <row r="127" spans="1:104" ht="15.75" thickBot="1">
      <c r="A127" s="97">
        <f>'Exptl Setup'!A247</f>
        <v>240</v>
      </c>
      <c r="B127" s="97" t="str">
        <f>'Exptl Setup'!C247</f>
        <v>f</v>
      </c>
      <c r="C127" s="97">
        <f>'Exptl Setup'!D247</f>
        <v>48</v>
      </c>
      <c r="D127" s="97" t="str">
        <f>'Exptl Setup'!E247</f>
        <v>-</v>
      </c>
      <c r="E127" s="98">
        <f>'Exptl Setup'!K247</f>
        <v>20.001234763661284</v>
      </c>
      <c r="F127" s="128">
        <v>277.3</v>
      </c>
      <c r="G127" s="128">
        <v>276.7</v>
      </c>
      <c r="H127" s="128">
        <v>274.8</v>
      </c>
      <c r="I127" s="99">
        <f t="shared" si="32"/>
        <v>276.26666666666665</v>
      </c>
      <c r="J127" s="124">
        <f>$N$4-$N$3-$N$2</f>
        <v>60.349999999999994</v>
      </c>
      <c r="K127" s="99">
        <f t="shared" si="33"/>
        <v>4376.5944462874359</v>
      </c>
      <c r="L127" s="99">
        <f t="shared" si="37"/>
        <v>0.48013002840486713</v>
      </c>
      <c r="M127" s="177">
        <f t="shared" si="23"/>
        <v>483.42227514362423</v>
      </c>
      <c r="N127" s="178">
        <f t="shared" si="24"/>
        <v>26368.487735106773</v>
      </c>
      <c r="T127" s="15">
        <v>31.995000000000001</v>
      </c>
      <c r="U127" s="19">
        <v>115.547</v>
      </c>
      <c r="V127" s="3">
        <f t="shared" si="25"/>
        <v>30.10808179</v>
      </c>
      <c r="W127" s="3">
        <f t="shared" si="26"/>
        <v>469.53439589360005</v>
      </c>
      <c r="X127" s="75">
        <f t="shared" si="27"/>
        <v>26368.487735106773</v>
      </c>
      <c r="Y127" s="75">
        <f t="shared" si="28"/>
        <v>26838.022131000373</v>
      </c>
      <c r="Z127" s="3">
        <f t="shared" si="29"/>
        <v>26.838022131000372</v>
      </c>
      <c r="AA127" s="307"/>
      <c r="AB127" s="307"/>
      <c r="AC127" s="308"/>
      <c r="AF127" s="310"/>
      <c r="AG127" s="270"/>
      <c r="AH127" s="270"/>
      <c r="AI127" s="270"/>
      <c r="AJ127" s="270"/>
      <c r="AK127" s="270"/>
      <c r="AL127" s="270"/>
      <c r="AM127" s="230"/>
      <c r="AN127" s="230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</row>
    <row r="128" spans="1:104" ht="15">
      <c r="AA128" s="30"/>
      <c r="AB128" s="30"/>
      <c r="AC128" s="30"/>
      <c r="AF128" s="309"/>
      <c r="AG128" s="270"/>
      <c r="AH128" s="270"/>
      <c r="AI128" s="270"/>
      <c r="AJ128" s="270"/>
      <c r="AK128" s="270"/>
      <c r="AL128" s="270"/>
      <c r="AM128" s="230"/>
      <c r="AN128" s="230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</row>
    <row r="129" spans="27:104" ht="15">
      <c r="AA129" s="30"/>
      <c r="AB129" s="30"/>
      <c r="AC129" s="30"/>
      <c r="AF129" s="310"/>
      <c r="AG129" s="270"/>
      <c r="AH129" s="270"/>
      <c r="AI129" s="270"/>
      <c r="AJ129" s="270"/>
      <c r="AK129" s="270"/>
      <c r="AL129" s="270"/>
      <c r="AM129" s="230"/>
      <c r="AN129" s="230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</row>
    <row r="130" spans="27:104" ht="15">
      <c r="AF130" s="310"/>
      <c r="AG130" s="270"/>
      <c r="AH130" s="270"/>
      <c r="AI130" s="270"/>
      <c r="AJ130" s="270"/>
      <c r="AK130" s="270"/>
      <c r="AL130" s="270"/>
      <c r="AM130" s="230"/>
      <c r="AN130" s="2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</row>
    <row r="131" spans="27:104" ht="15">
      <c r="AF131" s="309"/>
      <c r="AG131" s="270"/>
      <c r="AH131" s="270"/>
      <c r="AI131" s="270"/>
      <c r="AJ131" s="270"/>
      <c r="AK131" s="270"/>
      <c r="AL131" s="270"/>
      <c r="AM131" s="230"/>
      <c r="AN131" s="230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</row>
    <row r="132" spans="27:104" ht="15">
      <c r="AF132" s="310"/>
      <c r="AG132" s="270"/>
      <c r="AH132" s="270"/>
      <c r="AI132" s="270"/>
      <c r="AJ132" s="270"/>
      <c r="AK132" s="270"/>
      <c r="AL132" s="270"/>
      <c r="AM132" s="230"/>
      <c r="AN132" s="230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</row>
    <row r="133" spans="27:104" ht="15">
      <c r="AF133" s="310"/>
      <c r="AG133" s="270"/>
      <c r="AH133" s="270"/>
      <c r="AI133" s="270"/>
      <c r="AJ133" s="270"/>
      <c r="AK133" s="270"/>
      <c r="AL133" s="270"/>
      <c r="AM133" s="230"/>
      <c r="AN133" s="230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</row>
    <row r="134" spans="27:104" ht="15">
      <c r="AF134" s="309"/>
      <c r="AG134" s="270"/>
      <c r="AH134" s="270"/>
      <c r="AI134" s="270"/>
      <c r="AJ134" s="270"/>
      <c r="AK134" s="270"/>
      <c r="AL134" s="270"/>
      <c r="AM134" s="230"/>
      <c r="AN134" s="230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</row>
    <row r="135" spans="27:104" ht="15">
      <c r="AF135" s="310"/>
      <c r="AG135" s="270"/>
      <c r="AH135" s="270"/>
      <c r="AI135" s="270"/>
      <c r="AJ135" s="270"/>
      <c r="AK135" s="270"/>
      <c r="AL135" s="270"/>
      <c r="AM135" s="230"/>
      <c r="AN135" s="230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</row>
    <row r="136" spans="27:104" ht="15">
      <c r="AF136" s="309"/>
      <c r="AG136" s="270"/>
      <c r="AH136" s="270"/>
      <c r="AI136" s="270"/>
      <c r="AJ136" s="270"/>
      <c r="AK136" s="270"/>
      <c r="AL136" s="270"/>
      <c r="AM136" s="230"/>
      <c r="AN136" s="230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</row>
    <row r="137" spans="27:104" ht="15">
      <c r="AF137" s="310"/>
      <c r="AG137" s="270"/>
      <c r="AH137" s="270"/>
      <c r="AI137" s="270"/>
      <c r="AJ137" s="270"/>
      <c r="AK137" s="270"/>
      <c r="AL137" s="270"/>
      <c r="AM137" s="230"/>
      <c r="AN137" s="230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</row>
    <row r="138" spans="27:104" ht="15">
      <c r="AF138" s="310"/>
      <c r="AG138" s="270"/>
      <c r="AH138" s="270"/>
      <c r="AI138" s="270"/>
      <c r="AJ138" s="270"/>
      <c r="AK138" s="270"/>
      <c r="AL138" s="270"/>
      <c r="AM138" s="230"/>
      <c r="AN138" s="230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</row>
    <row r="139" spans="27:104" ht="15">
      <c r="AF139" s="310"/>
      <c r="AG139" s="270"/>
      <c r="AH139" s="270"/>
      <c r="AI139" s="270"/>
      <c r="AJ139" s="270"/>
      <c r="AK139" s="270"/>
      <c r="AL139" s="270"/>
    </row>
    <row r="140" spans="27:104" ht="15">
      <c r="AF140" s="310"/>
      <c r="AG140" s="270"/>
      <c r="AH140" s="270"/>
      <c r="AI140" s="270"/>
      <c r="AJ140" s="270"/>
      <c r="AK140" s="270"/>
      <c r="AL140" s="270"/>
    </row>
    <row r="141" spans="27:104" ht="15">
      <c r="AF141" s="309"/>
      <c r="AG141" s="270"/>
      <c r="AH141" s="270"/>
      <c r="AI141" s="270"/>
      <c r="AJ141" s="270"/>
      <c r="AK141" s="270"/>
      <c r="AL141" s="270"/>
    </row>
    <row r="142" spans="27:104" ht="15">
      <c r="AF142" s="310"/>
      <c r="AG142" s="270"/>
      <c r="AH142" s="270"/>
      <c r="AI142" s="270"/>
      <c r="AJ142" s="270"/>
      <c r="AK142" s="270"/>
      <c r="AL142" s="270"/>
    </row>
    <row r="143" spans="27:104" ht="15">
      <c r="AF143" s="310"/>
      <c r="AG143" s="270"/>
      <c r="AH143" s="270"/>
      <c r="AI143" s="270"/>
      <c r="AJ143" s="270"/>
      <c r="AK143" s="270"/>
      <c r="AL143" s="270"/>
    </row>
    <row r="144" spans="27:104" ht="15">
      <c r="AF144" s="309"/>
      <c r="AG144" s="270"/>
      <c r="AH144" s="270"/>
      <c r="AI144" s="270"/>
      <c r="AJ144" s="270"/>
      <c r="AK144" s="270"/>
      <c r="AL144" s="270"/>
    </row>
    <row r="145" spans="32:38" ht="15">
      <c r="AF145" s="310"/>
      <c r="AG145" s="270"/>
      <c r="AH145" s="270"/>
      <c r="AI145" s="270"/>
      <c r="AJ145" s="270"/>
      <c r="AK145" s="270"/>
      <c r="AL145" s="270"/>
    </row>
    <row r="146" spans="32:38" ht="15">
      <c r="AF146" s="309"/>
      <c r="AG146" s="270"/>
      <c r="AH146" s="270"/>
      <c r="AI146" s="270"/>
      <c r="AJ146" s="270"/>
      <c r="AK146" s="270"/>
      <c r="AL146" s="270"/>
    </row>
    <row r="147" spans="32:38" ht="15">
      <c r="AF147" s="310"/>
      <c r="AG147" s="270"/>
      <c r="AH147" s="270"/>
      <c r="AI147" s="270"/>
      <c r="AJ147" s="270"/>
      <c r="AK147" s="270"/>
      <c r="AL147" s="270"/>
    </row>
    <row r="148" spans="32:38" ht="15">
      <c r="AF148" s="309"/>
      <c r="AG148" s="270"/>
      <c r="AH148" s="270"/>
      <c r="AI148" s="270"/>
      <c r="AJ148" s="270"/>
      <c r="AK148" s="270"/>
      <c r="AL148" s="270"/>
    </row>
    <row r="149" spans="32:38" ht="15">
      <c r="AF149" s="310"/>
      <c r="AG149" s="270"/>
      <c r="AH149" s="270"/>
      <c r="AI149" s="270"/>
      <c r="AJ149" s="270"/>
      <c r="AK149" s="270"/>
      <c r="AL149" s="270"/>
    </row>
    <row r="150" spans="32:38" ht="15">
      <c r="AF150" s="309"/>
      <c r="AG150" s="270"/>
      <c r="AH150" s="270"/>
      <c r="AI150" s="270"/>
      <c r="AJ150" s="270"/>
      <c r="AK150" s="270"/>
      <c r="AL150" s="270"/>
    </row>
    <row r="151" spans="32:38" ht="15">
      <c r="AF151" s="230"/>
      <c r="AG151" s="230"/>
    </row>
    <row r="152" spans="32:38" ht="15">
      <c r="AF152" s="230"/>
      <c r="AG152" s="230"/>
    </row>
    <row r="153" spans="32:38" ht="15">
      <c r="AF153" s="230"/>
      <c r="AG153" s="230"/>
    </row>
    <row r="154" spans="32:38" ht="15">
      <c r="AF154" s="230"/>
      <c r="AG154" s="230"/>
    </row>
    <row r="155" spans="32:38" ht="15">
      <c r="AF155" s="230"/>
      <c r="AG155" s="230"/>
    </row>
    <row r="156" spans="32:38" ht="15">
      <c r="AF156" s="230"/>
      <c r="AG156" s="230"/>
    </row>
    <row r="157" spans="32:38" ht="15">
      <c r="AF157" s="230"/>
      <c r="AG157" s="230"/>
    </row>
    <row r="158" spans="32:38" ht="15">
      <c r="AF158" s="230"/>
      <c r="AG158" s="230"/>
    </row>
    <row r="159" spans="32:38" ht="15">
      <c r="AF159" s="230"/>
      <c r="AG159" s="230"/>
    </row>
    <row r="160" spans="32:38" ht="15">
      <c r="AF160" s="230"/>
      <c r="AG160" s="230"/>
    </row>
    <row r="161" spans="32:33" ht="15">
      <c r="AF161" s="230"/>
      <c r="AG161" s="230"/>
    </row>
    <row r="162" spans="32:33" ht="15">
      <c r="AF162" s="230"/>
      <c r="AG162" s="230"/>
    </row>
    <row r="163" spans="32:33" ht="15">
      <c r="AF163" s="230"/>
      <c r="AG163" s="230"/>
    </row>
    <row r="164" spans="32:33" ht="15">
      <c r="AF164" s="230"/>
      <c r="AG164" s="230"/>
    </row>
    <row r="165" spans="32:33" ht="15">
      <c r="AF165" s="230"/>
      <c r="AG165" s="230"/>
    </row>
    <row r="166" spans="32:33" ht="15">
      <c r="AF166" s="230"/>
      <c r="AG166" s="230"/>
    </row>
    <row r="167" spans="32:33" ht="15">
      <c r="AF167" s="230"/>
      <c r="AG167" s="230"/>
    </row>
    <row r="168" spans="32:33" ht="15">
      <c r="AF168" s="230"/>
      <c r="AG168" s="230"/>
    </row>
    <row r="169" spans="32:33" ht="15">
      <c r="AF169" s="230"/>
      <c r="AG169" s="230"/>
    </row>
    <row r="170" spans="32:33" ht="15">
      <c r="AF170" s="230"/>
      <c r="AG170" s="230"/>
    </row>
    <row r="171" spans="32:33" ht="15">
      <c r="AF171" s="230"/>
      <c r="AG171" s="230"/>
    </row>
    <row r="172" spans="32:33" ht="15">
      <c r="AF172" s="230"/>
      <c r="AG172" s="230"/>
    </row>
    <row r="173" spans="32:33" ht="15">
      <c r="AF173" s="230"/>
      <c r="AG173" s="230"/>
    </row>
    <row r="174" spans="32:33" ht="15">
      <c r="AF174" s="230"/>
      <c r="AG174" s="230"/>
    </row>
    <row r="175" spans="32:33" ht="15">
      <c r="AF175" s="230"/>
      <c r="AG175" s="230"/>
    </row>
    <row r="176" spans="32:33" ht="15">
      <c r="AF176" s="230"/>
      <c r="AG176" s="230"/>
    </row>
    <row r="177" spans="32:33" ht="15">
      <c r="AF177" s="230"/>
      <c r="AG177" s="230"/>
    </row>
    <row r="178" spans="32:33" ht="15">
      <c r="AF178" s="230"/>
      <c r="AG178" s="230"/>
    </row>
    <row r="179" spans="32:33" ht="15">
      <c r="AF179" s="230"/>
      <c r="AG179" s="230"/>
    </row>
    <row r="180" spans="32:33" ht="15">
      <c r="AF180" s="230"/>
      <c r="AG180" s="230"/>
    </row>
    <row r="181" spans="32:33" ht="15">
      <c r="AF181" s="230"/>
      <c r="AG181" s="230"/>
    </row>
    <row r="182" spans="32:33" ht="15">
      <c r="AF182" s="230"/>
      <c r="AG182" s="230"/>
    </row>
    <row r="183" spans="32:33" ht="15">
      <c r="AF183" s="230"/>
      <c r="AG183" s="230"/>
    </row>
    <row r="184" spans="32:33" ht="15">
      <c r="AF184" s="230"/>
      <c r="AG184" s="230"/>
    </row>
    <row r="185" spans="32:33" ht="15">
      <c r="AF185" s="230"/>
      <c r="AG185" s="230"/>
    </row>
    <row r="186" spans="32:33" ht="15">
      <c r="AF186" s="230"/>
      <c r="AG186" s="230"/>
    </row>
    <row r="187" spans="32:33" ht="15">
      <c r="AF187" s="230"/>
      <c r="AG187" s="230"/>
    </row>
    <row r="188" spans="32:33" ht="15">
      <c r="AF188" s="230"/>
      <c r="AG188" s="230"/>
    </row>
    <row r="189" spans="32:33" ht="15">
      <c r="AF189" s="230"/>
      <c r="AG189" s="230"/>
    </row>
    <row r="190" spans="32:33" ht="15">
      <c r="AF190" s="230"/>
      <c r="AG190" s="230"/>
    </row>
    <row r="191" spans="32:33" ht="15">
      <c r="AF191" s="230"/>
      <c r="AG191" s="230"/>
    </row>
    <row r="192" spans="32:33" ht="15">
      <c r="AF192" s="230"/>
      <c r="AG192" s="230"/>
    </row>
    <row r="193" spans="32:33" ht="15">
      <c r="AF193" s="230"/>
      <c r="AG193" s="230"/>
    </row>
    <row r="194" spans="32:33" ht="15">
      <c r="AF194" s="230"/>
      <c r="AG194" s="230"/>
    </row>
    <row r="195" spans="32:33" ht="15">
      <c r="AF195" s="230"/>
      <c r="AG195" s="230"/>
    </row>
    <row r="196" spans="32:33" ht="15">
      <c r="AF196" s="230"/>
      <c r="AG196" s="230"/>
    </row>
    <row r="197" spans="32:33" ht="15">
      <c r="AF197" s="230"/>
      <c r="AG197" s="230"/>
    </row>
    <row r="198" spans="32:33" ht="15">
      <c r="AF198" s="230"/>
      <c r="AG198" s="230"/>
    </row>
    <row r="199" spans="32:33" ht="15">
      <c r="AF199" s="230"/>
      <c r="AG199" s="230"/>
    </row>
  </sheetData>
  <phoneticPr fontId="46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121"/>
  <sheetViews>
    <sheetView topLeftCell="E1" workbookViewId="0">
      <selection activeCell="F3" sqref="F3:J7"/>
    </sheetView>
  </sheetViews>
  <sheetFormatPr defaultRowHeight="15"/>
  <cols>
    <col min="6" max="6" width="14.5703125" customWidth="1"/>
    <col min="7" max="7" width="16.28515625" customWidth="1"/>
    <col min="8" max="11" width="12" bestFit="1" customWidth="1"/>
  </cols>
  <sheetData>
    <row r="1" spans="1:11">
      <c r="A1" t="s">
        <v>79</v>
      </c>
      <c r="B1" t="s">
        <v>80</v>
      </c>
      <c r="C1" t="s">
        <v>67</v>
      </c>
      <c r="D1" t="s">
        <v>200</v>
      </c>
      <c r="F1" s="314" t="s">
        <v>206</v>
      </c>
      <c r="G1" s="314" t="s">
        <v>189</v>
      </c>
      <c r="H1" s="299"/>
      <c r="I1" s="299"/>
      <c r="J1" s="299"/>
      <c r="K1" s="296"/>
    </row>
    <row r="2" spans="1:11">
      <c r="A2">
        <v>16</v>
      </c>
      <c r="B2" t="s">
        <v>81</v>
      </c>
      <c r="C2">
        <v>0</v>
      </c>
      <c r="D2">
        <v>7764.3781006223635</v>
      </c>
      <c r="F2" s="314" t="s">
        <v>188</v>
      </c>
      <c r="G2" s="313">
        <v>0</v>
      </c>
      <c r="H2" s="300">
        <v>6</v>
      </c>
      <c r="I2" s="300">
        <v>16</v>
      </c>
      <c r="J2" s="300">
        <v>20</v>
      </c>
      <c r="K2" s="335" t="s">
        <v>199</v>
      </c>
    </row>
    <row r="3" spans="1:11">
      <c r="A3">
        <v>16</v>
      </c>
      <c r="B3" t="s">
        <v>81</v>
      </c>
      <c r="C3">
        <v>0</v>
      </c>
      <c r="D3">
        <v>7042.7676937671276</v>
      </c>
      <c r="F3" s="333">
        <v>16</v>
      </c>
      <c r="G3" s="315">
        <v>952.91212803083511</v>
      </c>
      <c r="H3" s="301">
        <v>796.08618628565273</v>
      </c>
      <c r="I3" s="301">
        <v>1472.4978738745963</v>
      </c>
      <c r="J3" s="301">
        <v>1640.6474084510351</v>
      </c>
      <c r="K3" s="334">
        <v>3707.3395929930207</v>
      </c>
    </row>
    <row r="4" spans="1:11">
      <c r="A4">
        <v>16</v>
      </c>
      <c r="B4" t="s">
        <v>81</v>
      </c>
      <c r="C4">
        <v>0</v>
      </c>
      <c r="D4">
        <v>8312.9303858607345</v>
      </c>
      <c r="F4" s="293">
        <v>24</v>
      </c>
      <c r="G4" s="297">
        <v>4925.30658338388</v>
      </c>
      <c r="H4" s="302">
        <v>3453.5679298115879</v>
      </c>
      <c r="I4" s="302">
        <v>3663.5580254485103</v>
      </c>
      <c r="J4" s="302">
        <v>1097.3285088196074</v>
      </c>
      <c r="K4" s="294">
        <v>9526.0546257653259</v>
      </c>
    </row>
    <row r="5" spans="1:11">
      <c r="A5">
        <v>16</v>
      </c>
      <c r="B5" t="s">
        <v>81</v>
      </c>
      <c r="C5">
        <v>6</v>
      </c>
      <c r="D5">
        <v>16173.088658006302</v>
      </c>
      <c r="F5" s="293">
        <v>32</v>
      </c>
      <c r="G5" s="297">
        <v>2268.0385364812309</v>
      </c>
      <c r="H5" s="302">
        <v>14576.366634365913</v>
      </c>
      <c r="I5" s="302">
        <v>8546.3590502069765</v>
      </c>
      <c r="J5" s="302">
        <v>1087.269579808144</v>
      </c>
      <c r="K5" s="294">
        <v>19504.785588172454</v>
      </c>
    </row>
    <row r="6" spans="1:11">
      <c r="A6">
        <v>16</v>
      </c>
      <c r="B6" t="s">
        <v>81</v>
      </c>
      <c r="C6">
        <v>6</v>
      </c>
      <c r="D6">
        <v>17542.554114705839</v>
      </c>
      <c r="F6" s="293">
        <v>40</v>
      </c>
      <c r="G6" s="297">
        <v>4256.0400503550763</v>
      </c>
      <c r="H6" s="302">
        <v>4892.6798326025164</v>
      </c>
      <c r="I6" s="302">
        <v>3171.7601804549299</v>
      </c>
      <c r="J6" s="302">
        <v>4923.8868093537631</v>
      </c>
      <c r="K6" s="294">
        <v>18444.46970452321</v>
      </c>
    </row>
    <row r="7" spans="1:11">
      <c r="A7">
        <v>16</v>
      </c>
      <c r="B7" t="s">
        <v>81</v>
      </c>
      <c r="C7">
        <v>6</v>
      </c>
      <c r="D7">
        <v>17194.340495842513</v>
      </c>
      <c r="F7" s="293">
        <v>48</v>
      </c>
      <c r="G7" s="297">
        <v>1758.5081151530444</v>
      </c>
      <c r="H7" s="302">
        <v>4848.3568551090384</v>
      </c>
      <c r="I7" s="302">
        <v>17467.37374886237</v>
      </c>
      <c r="J7" s="302">
        <v>14183.001942270692</v>
      </c>
      <c r="K7" s="294">
        <v>23205.165888047639</v>
      </c>
    </row>
    <row r="8" spans="1:11">
      <c r="A8">
        <v>16</v>
      </c>
      <c r="B8" t="s">
        <v>81</v>
      </c>
      <c r="C8">
        <v>16</v>
      </c>
      <c r="D8">
        <v>13410.055462259246</v>
      </c>
      <c r="F8" s="295" t="s">
        <v>199</v>
      </c>
      <c r="G8" s="298">
        <v>6731.6502991736506</v>
      </c>
      <c r="H8" s="303">
        <v>15383.350704087812</v>
      </c>
      <c r="I8" s="303">
        <v>24716.637064652121</v>
      </c>
      <c r="J8" s="303">
        <v>12835.873974211974</v>
      </c>
      <c r="K8" s="292">
        <v>19828.772910067808</v>
      </c>
    </row>
    <row r="9" spans="1:11">
      <c r="A9">
        <v>16</v>
      </c>
      <c r="B9" t="s">
        <v>81</v>
      </c>
      <c r="C9">
        <v>16</v>
      </c>
      <c r="D9">
        <v>15795.341038263336</v>
      </c>
    </row>
    <row r="10" spans="1:11">
      <c r="A10">
        <v>16</v>
      </c>
      <c r="B10" t="s">
        <v>81</v>
      </c>
      <c r="C10">
        <v>16</v>
      </c>
      <c r="D10">
        <v>13719.62925508529</v>
      </c>
    </row>
    <row r="11" spans="1:11">
      <c r="A11">
        <v>16</v>
      </c>
      <c r="B11" t="s">
        <v>81</v>
      </c>
      <c r="C11">
        <v>20</v>
      </c>
      <c r="D11">
        <v>11760.789250337762</v>
      </c>
    </row>
    <row r="12" spans="1:11">
      <c r="A12">
        <v>16</v>
      </c>
      <c r="B12" t="s">
        <v>81</v>
      </c>
      <c r="C12">
        <v>20</v>
      </c>
      <c r="D12">
        <v>12170.676590788076</v>
      </c>
      <c r="G12">
        <v>0</v>
      </c>
      <c r="H12">
        <v>6</v>
      </c>
      <c r="I12">
        <v>16</v>
      </c>
      <c r="J12">
        <v>20</v>
      </c>
    </row>
    <row r="13" spans="1:11">
      <c r="A13">
        <v>16</v>
      </c>
      <c r="B13" t="s">
        <v>81</v>
      </c>
      <c r="C13">
        <v>20</v>
      </c>
      <c r="D13">
        <v>12646.399461265859</v>
      </c>
      <c r="F13">
        <v>16</v>
      </c>
      <c r="G13">
        <v>8187.4197511344864</v>
      </c>
      <c r="H13">
        <v>17452.301242818208</v>
      </c>
      <c r="I13">
        <v>15394.128458529243</v>
      </c>
      <c r="J13">
        <v>13536.461556005212</v>
      </c>
    </row>
    <row r="14" spans="1:11">
      <c r="A14">
        <v>16</v>
      </c>
      <c r="B14" t="s">
        <v>82</v>
      </c>
      <c r="C14">
        <v>0</v>
      </c>
      <c r="D14">
        <v>8161.2322219012731</v>
      </c>
      <c r="F14">
        <v>24</v>
      </c>
      <c r="G14">
        <v>14611.086071515274</v>
      </c>
      <c r="H14">
        <v>34393.041391898041</v>
      </c>
      <c r="I14">
        <v>22974.517029968982</v>
      </c>
      <c r="J14">
        <v>11976.385410031558</v>
      </c>
    </row>
    <row r="15" spans="1:11">
      <c r="A15">
        <v>16</v>
      </c>
      <c r="B15" t="s">
        <v>82</v>
      </c>
      <c r="C15">
        <v>0</v>
      </c>
      <c r="D15">
        <v>7932.534723901872</v>
      </c>
      <c r="F15">
        <v>32</v>
      </c>
      <c r="G15">
        <v>25494.711469670059</v>
      </c>
      <c r="H15">
        <v>56641.758393054864</v>
      </c>
      <c r="I15">
        <v>34063.397749347569</v>
      </c>
      <c r="J15">
        <v>8240.4037994969658</v>
      </c>
    </row>
    <row r="16" spans="1:11">
      <c r="A16">
        <v>16</v>
      </c>
      <c r="B16" t="s">
        <v>82</v>
      </c>
      <c r="C16">
        <v>0</v>
      </c>
      <c r="D16">
        <v>9910.6753807535497</v>
      </c>
      <c r="F16">
        <v>40</v>
      </c>
      <c r="G16">
        <v>19576.361524241929</v>
      </c>
      <c r="H16">
        <v>43653.35171011449</v>
      </c>
      <c r="I16">
        <v>58629.961936996981</v>
      </c>
      <c r="J16">
        <v>15745.040404840098</v>
      </c>
    </row>
    <row r="17" spans="1:11">
      <c r="A17">
        <v>16</v>
      </c>
      <c r="B17" t="s">
        <v>82</v>
      </c>
      <c r="C17">
        <v>6</v>
      </c>
      <c r="D17">
        <v>17975.97420748994</v>
      </c>
      <c r="F17">
        <v>48</v>
      </c>
      <c r="G17">
        <v>21140.269764798824</v>
      </c>
      <c r="H17">
        <v>49329.1347949501</v>
      </c>
      <c r="I17">
        <v>76753.564263630382</v>
      </c>
      <c r="J17">
        <v>39168.032134769943</v>
      </c>
    </row>
    <row r="18" spans="1:11">
      <c r="A18">
        <v>16</v>
      </c>
      <c r="B18" t="s">
        <v>82</v>
      </c>
      <c r="C18">
        <v>6</v>
      </c>
      <c r="D18">
        <v>18529.256434581868</v>
      </c>
    </row>
    <row r="19" spans="1:11">
      <c r="A19">
        <v>16</v>
      </c>
      <c r="B19" t="s">
        <v>82</v>
      </c>
      <c r="C19">
        <v>6</v>
      </c>
      <c r="D19">
        <v>17298.593546282787</v>
      </c>
      <c r="G19">
        <v>16</v>
      </c>
      <c r="H19">
        <v>24</v>
      </c>
      <c r="I19">
        <v>32</v>
      </c>
      <c r="J19">
        <v>40</v>
      </c>
      <c r="K19">
        <v>48</v>
      </c>
    </row>
    <row r="20" spans="1:11">
      <c r="A20">
        <v>16</v>
      </c>
      <c r="B20" t="s">
        <v>82</v>
      </c>
      <c r="C20">
        <v>16</v>
      </c>
      <c r="D20">
        <v>16024.314671536911</v>
      </c>
      <c r="F20">
        <v>0</v>
      </c>
      <c r="G20">
        <v>8187.4197511344864</v>
      </c>
      <c r="H20">
        <v>14611.086071515274</v>
      </c>
      <c r="I20">
        <v>25494.711469670059</v>
      </c>
      <c r="J20">
        <v>19576.361524241929</v>
      </c>
      <c r="K20">
        <v>21140.269764798824</v>
      </c>
    </row>
    <row r="21" spans="1:11">
      <c r="A21">
        <v>16</v>
      </c>
      <c r="B21" t="s">
        <v>82</v>
      </c>
      <c r="C21">
        <v>16</v>
      </c>
      <c r="D21">
        <v>16921.760079743635</v>
      </c>
      <c r="F21">
        <v>6</v>
      </c>
      <c r="G21">
        <v>17452.301242818208</v>
      </c>
      <c r="H21">
        <v>34393.041391898041</v>
      </c>
      <c r="I21">
        <v>56641.758393054864</v>
      </c>
      <c r="J21">
        <v>43653.35171011449</v>
      </c>
      <c r="K21">
        <v>49329.1347949501</v>
      </c>
    </row>
    <row r="22" spans="1:11">
      <c r="A22">
        <v>16</v>
      </c>
      <c r="B22" t="s">
        <v>82</v>
      </c>
      <c r="C22">
        <v>16</v>
      </c>
      <c r="D22">
        <v>16493.670244287045</v>
      </c>
      <c r="F22">
        <v>16</v>
      </c>
      <c r="G22">
        <v>15394.128458529243</v>
      </c>
      <c r="H22">
        <v>22974.517029968982</v>
      </c>
      <c r="I22">
        <v>34063.397749347569</v>
      </c>
      <c r="J22">
        <v>58629.961936996981</v>
      </c>
      <c r="K22">
        <v>76753.564263630382</v>
      </c>
    </row>
    <row r="23" spans="1:11">
      <c r="A23">
        <v>16</v>
      </c>
      <c r="B23" t="s">
        <v>82</v>
      </c>
      <c r="C23">
        <v>20</v>
      </c>
      <c r="D23">
        <v>14231.089386173553</v>
      </c>
      <c r="F23">
        <v>20</v>
      </c>
      <c r="G23">
        <v>13536.461556005212</v>
      </c>
      <c r="H23">
        <v>11976.385410031558</v>
      </c>
      <c r="I23">
        <v>8240.4037994969658</v>
      </c>
      <c r="J23">
        <v>15745.040404840098</v>
      </c>
      <c r="K23">
        <v>39168.032134769943</v>
      </c>
    </row>
    <row r="24" spans="1:11">
      <c r="A24">
        <v>16</v>
      </c>
      <c r="B24" t="s">
        <v>82</v>
      </c>
      <c r="C24">
        <v>20</v>
      </c>
      <c r="D24">
        <v>16098.802723465065</v>
      </c>
    </row>
    <row r="25" spans="1:11">
      <c r="A25">
        <v>16</v>
      </c>
      <c r="B25" t="s">
        <v>82</v>
      </c>
      <c r="C25">
        <v>20</v>
      </c>
      <c r="D25">
        <v>14311.011924000952</v>
      </c>
    </row>
    <row r="26" spans="1:11">
      <c r="A26">
        <v>24</v>
      </c>
      <c r="B26" t="s">
        <v>81</v>
      </c>
      <c r="C26">
        <v>0</v>
      </c>
      <c r="D26">
        <v>16600.794409739516</v>
      </c>
    </row>
    <row r="27" spans="1:11">
      <c r="A27">
        <v>24</v>
      </c>
      <c r="B27" t="s">
        <v>81</v>
      </c>
      <c r="C27">
        <v>0</v>
      </c>
      <c r="D27">
        <v>16743.190962324486</v>
      </c>
    </row>
    <row r="28" spans="1:11">
      <c r="A28">
        <v>24</v>
      </c>
      <c r="B28" t="s">
        <v>81</v>
      </c>
      <c r="C28">
        <v>0</v>
      </c>
      <c r="D28">
        <v>17134.815596273169</v>
      </c>
    </row>
    <row r="29" spans="1:11">
      <c r="A29">
        <v>24</v>
      </c>
      <c r="B29" t="s">
        <v>81</v>
      </c>
      <c r="C29">
        <v>6</v>
      </c>
      <c r="D29">
        <v>29983.129485493962</v>
      </c>
    </row>
    <row r="30" spans="1:11">
      <c r="A30">
        <v>24</v>
      </c>
      <c r="B30" t="s">
        <v>81</v>
      </c>
      <c r="C30">
        <v>6</v>
      </c>
      <c r="D30">
        <v>33300.791461777357</v>
      </c>
    </row>
    <row r="31" spans="1:11">
      <c r="A31">
        <v>24</v>
      </c>
      <c r="B31" t="s">
        <v>81</v>
      </c>
      <c r="C31">
        <v>6</v>
      </c>
      <c r="D31">
        <v>32884.096142389972</v>
      </c>
    </row>
    <row r="32" spans="1:11">
      <c r="A32">
        <v>24</v>
      </c>
      <c r="B32" t="s">
        <v>81</v>
      </c>
      <c r="C32">
        <v>16</v>
      </c>
      <c r="D32">
        <v>22036.696789806876</v>
      </c>
    </row>
    <row r="33" spans="1:4">
      <c r="A33">
        <v>24</v>
      </c>
      <c r="B33" t="s">
        <v>81</v>
      </c>
      <c r="C33">
        <v>16</v>
      </c>
      <c r="D33">
        <v>26074.883273635602</v>
      </c>
    </row>
    <row r="34" spans="1:4">
      <c r="A34">
        <v>24</v>
      </c>
      <c r="B34" t="s">
        <v>81</v>
      </c>
      <c r="C34">
        <v>16</v>
      </c>
      <c r="D34">
        <v>16207.785737439608</v>
      </c>
    </row>
    <row r="35" spans="1:4">
      <c r="A35">
        <v>24</v>
      </c>
      <c r="B35" t="s">
        <v>81</v>
      </c>
      <c r="C35">
        <v>20</v>
      </c>
      <c r="D35">
        <v>12088.714016109683</v>
      </c>
    </row>
    <row r="36" spans="1:4">
      <c r="A36">
        <v>24</v>
      </c>
      <c r="B36" t="s">
        <v>81</v>
      </c>
      <c r="C36">
        <v>20</v>
      </c>
      <c r="D36">
        <v>12730.835553159468</v>
      </c>
    </row>
    <row r="37" spans="1:4">
      <c r="A37">
        <v>24</v>
      </c>
      <c r="B37" t="s">
        <v>81</v>
      </c>
      <c r="C37">
        <v>20</v>
      </c>
      <c r="D37">
        <v>11964.856341097158</v>
      </c>
    </row>
    <row r="38" spans="1:4">
      <c r="A38">
        <v>24</v>
      </c>
      <c r="B38" t="s">
        <v>82</v>
      </c>
      <c r="C38">
        <v>0</v>
      </c>
      <c r="D38">
        <v>4631.3039105547514</v>
      </c>
    </row>
    <row r="39" spans="1:4">
      <c r="A39">
        <v>24</v>
      </c>
      <c r="B39" t="s">
        <v>82</v>
      </c>
      <c r="C39">
        <v>0</v>
      </c>
      <c r="D39">
        <v>17073.370933570244</v>
      </c>
    </row>
    <row r="40" spans="1:4">
      <c r="A40">
        <v>24</v>
      </c>
      <c r="B40" t="s">
        <v>82</v>
      </c>
      <c r="C40">
        <v>0</v>
      </c>
      <c r="D40">
        <v>15483.040616629489</v>
      </c>
    </row>
    <row r="41" spans="1:4">
      <c r="A41">
        <v>24</v>
      </c>
      <c r="B41" t="s">
        <v>82</v>
      </c>
      <c r="C41">
        <v>6</v>
      </c>
      <c r="D41">
        <v>36131.958713187283</v>
      </c>
    </row>
    <row r="42" spans="1:4">
      <c r="A42">
        <v>24</v>
      </c>
      <c r="B42" t="s">
        <v>82</v>
      </c>
      <c r="C42">
        <v>6</v>
      </c>
      <c r="D42">
        <v>40175.291278636054</v>
      </c>
    </row>
    <row r="43" spans="1:4">
      <c r="A43">
        <v>24</v>
      </c>
      <c r="B43" t="s">
        <v>82</v>
      </c>
      <c r="C43">
        <v>6</v>
      </c>
      <c r="D43">
        <v>33882.98126990359</v>
      </c>
    </row>
    <row r="44" spans="1:4">
      <c r="A44">
        <v>24</v>
      </c>
      <c r="B44" t="s">
        <v>82</v>
      </c>
      <c r="C44">
        <v>16</v>
      </c>
      <c r="D44">
        <v>23931.130126949662</v>
      </c>
    </row>
    <row r="45" spans="1:4">
      <c r="A45">
        <v>24</v>
      </c>
      <c r="B45" t="s">
        <v>82</v>
      </c>
      <c r="C45">
        <v>16</v>
      </c>
      <c r="D45">
        <v>26075.087549987489</v>
      </c>
    </row>
    <row r="46" spans="1:4">
      <c r="A46">
        <v>24</v>
      </c>
      <c r="B46" t="s">
        <v>82</v>
      </c>
      <c r="C46">
        <v>16</v>
      </c>
      <c r="D46">
        <v>23521.518701994632</v>
      </c>
    </row>
    <row r="47" spans="1:4">
      <c r="A47">
        <v>24</v>
      </c>
      <c r="B47" t="s">
        <v>82</v>
      </c>
      <c r="C47">
        <v>20</v>
      </c>
      <c r="D47">
        <v>13330.174619452328</v>
      </c>
    </row>
    <row r="48" spans="1:4">
      <c r="A48">
        <v>24</v>
      </c>
      <c r="B48" t="s">
        <v>82</v>
      </c>
      <c r="C48">
        <v>20</v>
      </c>
      <c r="D48">
        <v>11635.420808032546</v>
      </c>
    </row>
    <row r="49" spans="1:4">
      <c r="A49">
        <v>24</v>
      </c>
      <c r="B49" t="s">
        <v>82</v>
      </c>
      <c r="C49">
        <v>20</v>
      </c>
      <c r="D49">
        <v>10108.311122338169</v>
      </c>
    </row>
    <row r="50" spans="1:4">
      <c r="A50">
        <v>32</v>
      </c>
      <c r="B50" t="s">
        <v>81</v>
      </c>
      <c r="C50">
        <v>0</v>
      </c>
      <c r="D50">
        <v>28259.852970029038</v>
      </c>
    </row>
    <row r="51" spans="1:4">
      <c r="A51">
        <v>32</v>
      </c>
      <c r="B51" t="s">
        <v>81</v>
      </c>
      <c r="C51">
        <v>0</v>
      </c>
      <c r="D51">
        <v>23741.740334326234</v>
      </c>
    </row>
    <row r="52" spans="1:4">
      <c r="A52">
        <v>32</v>
      </c>
      <c r="B52" t="s">
        <v>81</v>
      </c>
      <c r="C52">
        <v>0</v>
      </c>
      <c r="D52">
        <v>24587.643048372582</v>
      </c>
    </row>
    <row r="53" spans="1:4">
      <c r="A53">
        <v>32</v>
      </c>
      <c r="B53" t="s">
        <v>81</v>
      </c>
      <c r="C53">
        <v>6</v>
      </c>
      <c r="D53">
        <v>55340.640316612036</v>
      </c>
    </row>
    <row r="54" spans="1:4">
      <c r="A54">
        <v>32</v>
      </c>
      <c r="B54" t="s">
        <v>81</v>
      </c>
      <c r="C54">
        <v>6</v>
      </c>
      <c r="D54">
        <v>54134.850693342501</v>
      </c>
    </row>
    <row r="55" spans="1:4">
      <c r="A55">
        <v>32</v>
      </c>
      <c r="B55" t="s">
        <v>81</v>
      </c>
      <c r="C55">
        <v>6</v>
      </c>
      <c r="D55">
        <v>52860.302618756454</v>
      </c>
    </row>
    <row r="56" spans="1:4">
      <c r="A56">
        <v>32</v>
      </c>
      <c r="B56" t="s">
        <v>81</v>
      </c>
      <c r="C56">
        <v>16</v>
      </c>
      <c r="D56">
        <v>25827.832508096551</v>
      </c>
    </row>
    <row r="57" spans="1:4">
      <c r="A57">
        <v>32</v>
      </c>
      <c r="B57" t="s">
        <v>81</v>
      </c>
      <c r="C57">
        <v>16</v>
      </c>
      <c r="D57">
        <v>32520.992499752316</v>
      </c>
    </row>
    <row r="58" spans="1:4">
      <c r="A58">
        <v>32</v>
      </c>
      <c r="B58" t="s">
        <v>81</v>
      </c>
      <c r="C58">
        <v>16</v>
      </c>
      <c r="D58">
        <v>29069.750113510767</v>
      </c>
    </row>
    <row r="59" spans="1:4">
      <c r="A59">
        <v>32</v>
      </c>
      <c r="B59" t="s">
        <v>81</v>
      </c>
      <c r="C59">
        <v>20</v>
      </c>
      <c r="D59">
        <v>8322.2410492317904</v>
      </c>
    </row>
    <row r="60" spans="1:4">
      <c r="A60">
        <v>32</v>
      </c>
      <c r="B60" t="s">
        <v>81</v>
      </c>
      <c r="C60">
        <v>20</v>
      </c>
      <c r="D60">
        <v>7123.1771586028517</v>
      </c>
    </row>
    <row r="61" spans="1:4">
      <c r="A61">
        <v>32</v>
      </c>
      <c r="B61" t="s">
        <v>81</v>
      </c>
      <c r="C61">
        <v>20</v>
      </c>
      <c r="D61">
        <v>6803.4833723040574</v>
      </c>
    </row>
    <row r="62" spans="1:4">
      <c r="A62">
        <v>32</v>
      </c>
      <c r="B62" t="s">
        <v>82</v>
      </c>
      <c r="C62">
        <v>0</v>
      </c>
      <c r="D62">
        <v>22535.237147766962</v>
      </c>
    </row>
    <row r="63" spans="1:4">
      <c r="A63">
        <v>32</v>
      </c>
      <c r="B63" t="s">
        <v>82</v>
      </c>
      <c r="C63">
        <v>0</v>
      </c>
      <c r="D63">
        <v>27742.292830880877</v>
      </c>
    </row>
    <row r="64" spans="1:4">
      <c r="A64">
        <v>32</v>
      </c>
      <c r="B64" t="s">
        <v>82</v>
      </c>
      <c r="C64">
        <v>0</v>
      </c>
      <c r="D64">
        <v>26101.502486644673</v>
      </c>
    </row>
    <row r="65" spans="1:4">
      <c r="A65">
        <v>32</v>
      </c>
      <c r="B65" t="s">
        <v>82</v>
      </c>
      <c r="C65">
        <v>6</v>
      </c>
      <c r="D65">
        <v>84855.717117489054</v>
      </c>
    </row>
    <row r="66" spans="1:4">
      <c r="A66">
        <v>32</v>
      </c>
      <c r="B66" t="s">
        <v>82</v>
      </c>
      <c r="C66">
        <v>6</v>
      </c>
      <c r="D66">
        <v>50289.533872105341</v>
      </c>
    </row>
    <row r="67" spans="1:4">
      <c r="A67">
        <v>32</v>
      </c>
      <c r="B67" t="s">
        <v>82</v>
      </c>
      <c r="C67">
        <v>6</v>
      </c>
      <c r="D67">
        <v>42369.505740023829</v>
      </c>
    </row>
    <row r="68" spans="1:4">
      <c r="A68">
        <v>32</v>
      </c>
      <c r="B68" t="s">
        <v>82</v>
      </c>
      <c r="C68">
        <v>16</v>
      </c>
      <c r="D68">
        <v>32665.521140571247</v>
      </c>
    </row>
    <row r="69" spans="1:4">
      <c r="A69">
        <v>32</v>
      </c>
      <c r="B69" t="s">
        <v>82</v>
      </c>
      <c r="C69">
        <v>16</v>
      </c>
      <c r="D69">
        <v>33860.17610910839</v>
      </c>
    </row>
    <row r="70" spans="1:4">
      <c r="A70">
        <v>32</v>
      </c>
      <c r="B70" t="s">
        <v>82</v>
      </c>
      <c r="C70">
        <v>16</v>
      </c>
      <c r="D70">
        <v>50436.114125046151</v>
      </c>
    </row>
    <row r="71" spans="1:4">
      <c r="A71">
        <v>32</v>
      </c>
      <c r="B71" t="s">
        <v>82</v>
      </c>
      <c r="C71">
        <v>20</v>
      </c>
      <c r="D71">
        <v>9551.0108991501402</v>
      </c>
    </row>
    <row r="72" spans="1:4">
      <c r="A72">
        <v>32</v>
      </c>
      <c r="B72" t="s">
        <v>82</v>
      </c>
      <c r="C72">
        <v>20</v>
      </c>
      <c r="D72">
        <v>9136.4337639668793</v>
      </c>
    </row>
    <row r="73" spans="1:4">
      <c r="A73">
        <v>32</v>
      </c>
      <c r="B73" t="s">
        <v>82</v>
      </c>
      <c r="C73">
        <v>20</v>
      </c>
      <c r="D73">
        <v>8506.0765537260759</v>
      </c>
    </row>
    <row r="74" spans="1:4">
      <c r="A74">
        <v>40</v>
      </c>
      <c r="B74" t="s">
        <v>81</v>
      </c>
      <c r="C74">
        <v>0</v>
      </c>
      <c r="D74">
        <v>20826.846262154391</v>
      </c>
    </row>
    <row r="75" spans="1:4">
      <c r="A75">
        <v>40</v>
      </c>
      <c r="B75" t="s">
        <v>81</v>
      </c>
      <c r="C75">
        <v>0</v>
      </c>
      <c r="D75">
        <v>18425.416144470753</v>
      </c>
    </row>
    <row r="76" spans="1:4">
      <c r="A76">
        <v>40</v>
      </c>
      <c r="B76" t="s">
        <v>81</v>
      </c>
      <c r="C76">
        <v>0</v>
      </c>
      <c r="D76">
        <v>27047.412849314762</v>
      </c>
    </row>
    <row r="77" spans="1:4">
      <c r="A77">
        <v>40</v>
      </c>
      <c r="B77" t="s">
        <v>81</v>
      </c>
      <c r="C77">
        <v>6</v>
      </c>
      <c r="D77">
        <v>41331.389812465364</v>
      </c>
    </row>
    <row r="78" spans="1:4">
      <c r="A78">
        <v>40</v>
      </c>
      <c r="B78" t="s">
        <v>81</v>
      </c>
      <c r="C78">
        <v>6</v>
      </c>
      <c r="D78">
        <v>41832.968561021684</v>
      </c>
    </row>
    <row r="79" spans="1:4">
      <c r="A79">
        <v>40</v>
      </c>
      <c r="B79" t="s">
        <v>81</v>
      </c>
      <c r="C79">
        <v>6</v>
      </c>
      <c r="D79">
        <v>41088.854671141875</v>
      </c>
    </row>
    <row r="80" spans="1:4">
      <c r="A80">
        <v>40</v>
      </c>
      <c r="B80" t="s">
        <v>81</v>
      </c>
      <c r="C80">
        <v>16</v>
      </c>
      <c r="D80">
        <v>56355.314995253095</v>
      </c>
    </row>
    <row r="81" spans="1:4">
      <c r="A81">
        <v>40</v>
      </c>
      <c r="B81" t="s">
        <v>81</v>
      </c>
      <c r="C81">
        <v>16</v>
      </c>
      <c r="D81">
        <v>60525.404296460059</v>
      </c>
    </row>
    <row r="82" spans="1:4">
      <c r="A82">
        <v>40</v>
      </c>
      <c r="B82" t="s">
        <v>81</v>
      </c>
      <c r="C82">
        <v>16</v>
      </c>
      <c r="D82">
        <v>57642.884928595828</v>
      </c>
    </row>
    <row r="83" spans="1:4">
      <c r="A83">
        <v>40</v>
      </c>
      <c r="B83" t="s">
        <v>81</v>
      </c>
      <c r="C83">
        <v>20</v>
      </c>
      <c r="D83">
        <v>17629.584219240747</v>
      </c>
    </row>
    <row r="84" spans="1:4">
      <c r="A84">
        <v>40</v>
      </c>
      <c r="B84" t="s">
        <v>81</v>
      </c>
      <c r="C84">
        <v>20</v>
      </c>
      <c r="D84">
        <v>19418.120557080678</v>
      </c>
    </row>
    <row r="85" spans="1:4">
      <c r="A85">
        <v>40</v>
      </c>
      <c r="B85" t="s">
        <v>81</v>
      </c>
      <c r="C85">
        <v>20</v>
      </c>
      <c r="D85">
        <v>7523.6566732260499</v>
      </c>
    </row>
    <row r="86" spans="1:4">
      <c r="A86">
        <v>40</v>
      </c>
      <c r="B86" t="s">
        <v>82</v>
      </c>
      <c r="C86">
        <v>0</v>
      </c>
      <c r="D86">
        <v>14825.726222887406</v>
      </c>
    </row>
    <row r="87" spans="1:4">
      <c r="A87">
        <v>40</v>
      </c>
      <c r="B87" t="s">
        <v>82</v>
      </c>
      <c r="C87">
        <v>0</v>
      </c>
      <c r="D87">
        <v>16535.467011709065</v>
      </c>
    </row>
    <row r="88" spans="1:4">
      <c r="A88">
        <v>40</v>
      </c>
      <c r="B88" t="s">
        <v>82</v>
      </c>
      <c r="C88">
        <v>0</v>
      </c>
      <c r="D88">
        <v>19797.300654915194</v>
      </c>
    </row>
    <row r="89" spans="1:4">
      <c r="A89">
        <v>40</v>
      </c>
      <c r="B89" t="s">
        <v>82</v>
      </c>
      <c r="C89">
        <v>6</v>
      </c>
      <c r="D89">
        <v>42779.682010264485</v>
      </c>
    </row>
    <row r="90" spans="1:4">
      <c r="A90">
        <v>40</v>
      </c>
      <c r="B90" t="s">
        <v>82</v>
      </c>
      <c r="C90">
        <v>6</v>
      </c>
      <c r="D90">
        <v>41323.384788927258</v>
      </c>
    </row>
    <row r="91" spans="1:4">
      <c r="A91">
        <v>40</v>
      </c>
      <c r="B91" t="s">
        <v>82</v>
      </c>
      <c r="C91">
        <v>6</v>
      </c>
      <c r="D91">
        <v>53563.830416866265</v>
      </c>
    </row>
    <row r="92" spans="1:4">
      <c r="A92">
        <v>40</v>
      </c>
      <c r="B92" t="s">
        <v>82</v>
      </c>
      <c r="C92">
        <v>16</v>
      </c>
      <c r="D92">
        <v>59612.31723406996</v>
      </c>
    </row>
    <row r="93" spans="1:4">
      <c r="A93">
        <v>40</v>
      </c>
      <c r="B93" t="s">
        <v>82</v>
      </c>
      <c r="C93">
        <v>16</v>
      </c>
      <c r="D93">
        <v>63267.178176388246</v>
      </c>
    </row>
    <row r="94" spans="1:4">
      <c r="A94">
        <v>40</v>
      </c>
      <c r="B94" t="s">
        <v>82</v>
      </c>
      <c r="C94">
        <v>16</v>
      </c>
      <c r="D94">
        <v>54376.671991214673</v>
      </c>
    </row>
    <row r="95" spans="1:4">
      <c r="A95">
        <v>40</v>
      </c>
      <c r="B95" t="s">
        <v>82</v>
      </c>
      <c r="C95">
        <v>20</v>
      </c>
      <c r="D95">
        <v>16962.911438211675</v>
      </c>
    </row>
    <row r="96" spans="1:4">
      <c r="A96">
        <v>40</v>
      </c>
      <c r="B96" t="s">
        <v>82</v>
      </c>
      <c r="C96">
        <v>20</v>
      </c>
      <c r="D96">
        <v>20594.76474629977</v>
      </c>
    </row>
    <row r="97" spans="1:4">
      <c r="A97">
        <v>40</v>
      </c>
      <c r="B97" t="s">
        <v>82</v>
      </c>
      <c r="C97">
        <v>20</v>
      </c>
      <c r="D97">
        <v>12341.204794981677</v>
      </c>
    </row>
    <row r="98" spans="1:4">
      <c r="A98">
        <v>48</v>
      </c>
      <c r="B98" t="s">
        <v>81</v>
      </c>
      <c r="C98">
        <v>0</v>
      </c>
      <c r="D98">
        <v>23506.15785763786</v>
      </c>
    </row>
    <row r="99" spans="1:4">
      <c r="A99">
        <v>48</v>
      </c>
      <c r="B99" t="s">
        <v>81</v>
      </c>
      <c r="C99">
        <v>0</v>
      </c>
      <c r="D99">
        <v>19019.883963659224</v>
      </c>
    </row>
    <row r="100" spans="1:4">
      <c r="A100">
        <v>48</v>
      </c>
      <c r="B100" t="s">
        <v>81</v>
      </c>
      <c r="C100">
        <v>0</v>
      </c>
      <c r="D100">
        <v>19150.366324302533</v>
      </c>
    </row>
    <row r="101" spans="1:4">
      <c r="A101">
        <v>48</v>
      </c>
      <c r="B101" t="s">
        <v>81</v>
      </c>
      <c r="C101">
        <v>6</v>
      </c>
      <c r="D101">
        <v>48227.556077513145</v>
      </c>
    </row>
    <row r="102" spans="1:4">
      <c r="A102">
        <v>48</v>
      </c>
      <c r="B102" t="s">
        <v>81</v>
      </c>
      <c r="C102">
        <v>6</v>
      </c>
      <c r="D102">
        <v>49461.187001977203</v>
      </c>
    </row>
    <row r="103" spans="1:4">
      <c r="A103">
        <v>48</v>
      </c>
      <c r="B103" t="s">
        <v>81</v>
      </c>
      <c r="C103">
        <v>6</v>
      </c>
      <c r="D103">
        <v>42685.679312987733</v>
      </c>
    </row>
    <row r="104" spans="1:4">
      <c r="A104">
        <v>48</v>
      </c>
      <c r="B104" t="s">
        <v>81</v>
      </c>
      <c r="C104">
        <v>16</v>
      </c>
      <c r="D104">
        <v>55580.186895223029</v>
      </c>
    </row>
    <row r="105" spans="1:4">
      <c r="A105">
        <v>48</v>
      </c>
      <c r="B105" t="s">
        <v>81</v>
      </c>
      <c r="C105">
        <v>16</v>
      </c>
      <c r="D105">
        <v>76505.620707056209</v>
      </c>
    </row>
    <row r="106" spans="1:4">
      <c r="A106">
        <v>48</v>
      </c>
      <c r="B106" t="s">
        <v>81</v>
      </c>
      <c r="C106">
        <v>16</v>
      </c>
      <c r="D106">
        <v>58075.49262208875</v>
      </c>
    </row>
    <row r="107" spans="1:4">
      <c r="A107">
        <v>48</v>
      </c>
      <c r="B107" t="s">
        <v>81</v>
      </c>
      <c r="C107">
        <v>20</v>
      </c>
      <c r="D107">
        <v>40177.527575173975</v>
      </c>
    </row>
    <row r="108" spans="1:4">
      <c r="A108">
        <v>48</v>
      </c>
      <c r="B108" t="s">
        <v>81</v>
      </c>
      <c r="C108">
        <v>20</v>
      </c>
      <c r="D108">
        <v>46811.067911894585</v>
      </c>
    </row>
    <row r="109" spans="1:4">
      <c r="A109">
        <v>48</v>
      </c>
      <c r="B109" t="s">
        <v>81</v>
      </c>
      <c r="C109">
        <v>20</v>
      </c>
      <c r="D109">
        <v>23721.407818203075</v>
      </c>
    </row>
    <row r="110" spans="1:4">
      <c r="A110">
        <v>48</v>
      </c>
      <c r="B110" t="s">
        <v>82</v>
      </c>
      <c r="C110">
        <v>0</v>
      </c>
      <c r="D110">
        <v>21517.371665913277</v>
      </c>
    </row>
    <row r="111" spans="1:4">
      <c r="A111">
        <v>48</v>
      </c>
      <c r="B111" t="s">
        <v>82</v>
      </c>
      <c r="C111">
        <v>0</v>
      </c>
      <c r="D111">
        <v>22231.114906238308</v>
      </c>
    </row>
    <row r="112" spans="1:4">
      <c r="A112">
        <v>48</v>
      </c>
      <c r="B112" t="s">
        <v>82</v>
      </c>
      <c r="C112">
        <v>0</v>
      </c>
      <c r="D112">
        <v>21416.723871041751</v>
      </c>
    </row>
    <row r="113" spans="1:4">
      <c r="A113">
        <v>48</v>
      </c>
      <c r="B113" t="s">
        <v>82</v>
      </c>
      <c r="C113">
        <v>6</v>
      </c>
      <c r="D113">
        <v>55303.400646631846</v>
      </c>
    </row>
    <row r="114" spans="1:4">
      <c r="A114">
        <v>48</v>
      </c>
      <c r="B114" t="s">
        <v>82</v>
      </c>
      <c r="C114">
        <v>6</v>
      </c>
      <c r="D114">
        <v>54339.665673356008</v>
      </c>
    </row>
    <row r="115" spans="1:4">
      <c r="A115">
        <v>48</v>
      </c>
      <c r="B115" t="s">
        <v>82</v>
      </c>
      <c r="C115">
        <v>6</v>
      </c>
      <c r="D115">
        <v>45957.320057234669</v>
      </c>
    </row>
    <row r="116" spans="1:4">
      <c r="A116">
        <v>48</v>
      </c>
      <c r="B116" t="s">
        <v>82</v>
      </c>
      <c r="C116">
        <v>16</v>
      </c>
      <c r="D116">
        <v>93545.783204056177</v>
      </c>
    </row>
    <row r="117" spans="1:4">
      <c r="A117">
        <v>48</v>
      </c>
      <c r="B117" t="s">
        <v>82</v>
      </c>
      <c r="C117">
        <v>16</v>
      </c>
      <c r="D117">
        <v>97753.572713105299</v>
      </c>
    </row>
    <row r="118" spans="1:4">
      <c r="A118">
        <v>48</v>
      </c>
      <c r="B118" t="s">
        <v>82</v>
      </c>
      <c r="C118">
        <v>16</v>
      </c>
      <c r="D118">
        <v>79060.72944025285</v>
      </c>
    </row>
    <row r="119" spans="1:4">
      <c r="A119">
        <v>48</v>
      </c>
      <c r="B119" t="s">
        <v>82</v>
      </c>
      <c r="C119">
        <v>20</v>
      </c>
      <c r="D119">
        <v>35076.153220479253</v>
      </c>
    </row>
    <row r="120" spans="1:4">
      <c r="A120">
        <v>48</v>
      </c>
      <c r="B120" t="s">
        <v>82</v>
      </c>
      <c r="C120">
        <v>20</v>
      </c>
      <c r="D120">
        <v>62384.014151868374</v>
      </c>
    </row>
    <row r="121" spans="1:4">
      <c r="A121">
        <v>48</v>
      </c>
      <c r="B121" t="s">
        <v>82</v>
      </c>
      <c r="C121">
        <v>20</v>
      </c>
      <c r="D121">
        <v>26838.022131000373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R473"/>
  <sheetViews>
    <sheetView workbookViewId="0">
      <selection activeCell="T10" sqref="T10"/>
    </sheetView>
  </sheetViews>
  <sheetFormatPr defaultColWidth="8.85546875" defaultRowHeight="15"/>
  <cols>
    <col min="1" max="1" width="4.28515625" style="3" customWidth="1"/>
    <col min="2" max="2" width="3.42578125" style="3" bestFit="1" customWidth="1"/>
    <col min="3" max="3" width="4.7109375" style="3" bestFit="1" customWidth="1"/>
    <col min="4" max="4" width="8.42578125" style="3" bestFit="1" customWidth="1"/>
    <col min="5" max="5" width="14" style="3" bestFit="1" customWidth="1"/>
    <col min="6" max="6" width="7" style="3" bestFit="1" customWidth="1"/>
    <col min="7" max="7" width="8" style="3" bestFit="1" customWidth="1"/>
    <col min="8" max="8" width="6.28515625" style="3" bestFit="1" customWidth="1"/>
    <col min="9" max="9" width="4.42578125" style="3" bestFit="1" customWidth="1"/>
    <col min="10" max="10" width="8.140625" style="3" bestFit="1" customWidth="1"/>
    <col min="11" max="11" width="7.42578125" style="3" bestFit="1" customWidth="1"/>
    <col min="12" max="12" width="5.42578125" style="3" bestFit="1" customWidth="1"/>
    <col min="13" max="13" width="4.42578125" style="3" bestFit="1" customWidth="1"/>
    <col min="14" max="14" width="7.42578125" style="3" bestFit="1" customWidth="1"/>
    <col min="15" max="15" width="8.140625" bestFit="1" customWidth="1"/>
    <col min="16" max="16" width="6" style="3" bestFit="1" customWidth="1"/>
    <col min="17" max="17" width="9.42578125" style="3" bestFit="1" customWidth="1"/>
    <col min="18" max="18" width="10.28515625" style="3" bestFit="1" customWidth="1"/>
    <col min="19" max="19" width="12.7109375" style="3" bestFit="1" customWidth="1"/>
    <col min="20" max="20" width="8.140625" style="3" bestFit="1" customWidth="1"/>
    <col min="21" max="21" width="11.85546875" style="3" bestFit="1" customWidth="1"/>
    <col min="22" max="22" width="11.85546875" style="3" customWidth="1"/>
    <col min="23" max="23" width="6" style="3" bestFit="1" customWidth="1"/>
    <col min="24" max="24" width="9.42578125" style="3" bestFit="1" customWidth="1"/>
    <col min="25" max="25" width="10.28515625" style="3" bestFit="1" customWidth="1"/>
    <col min="26" max="26" width="12.7109375" style="3" bestFit="1" customWidth="1"/>
    <col min="27" max="27" width="8.140625" style="3" bestFit="1" customWidth="1"/>
    <col min="28" max="28" width="11.85546875" style="3" bestFit="1" customWidth="1"/>
    <col min="29" max="29" width="11.85546875" style="3" customWidth="1"/>
    <col min="30" max="30" width="6" style="3" bestFit="1" customWidth="1"/>
    <col min="31" max="31" width="9.42578125" style="3" bestFit="1" customWidth="1"/>
    <col min="32" max="32" width="10.28515625" style="3" bestFit="1" customWidth="1"/>
    <col min="33" max="33" width="12.7109375" style="3" bestFit="1" customWidth="1"/>
    <col min="34" max="34" width="8.140625" style="3" bestFit="1" customWidth="1"/>
    <col min="35" max="35" width="11.85546875" style="3" bestFit="1" customWidth="1"/>
    <col min="36" max="36" width="11.85546875" style="3" customWidth="1"/>
    <col min="37" max="37" width="6" style="3" bestFit="1" customWidth="1"/>
    <col min="38" max="38" width="9.42578125" style="3" bestFit="1" customWidth="1"/>
    <col min="39" max="39" width="10.28515625" style="3" bestFit="1" customWidth="1"/>
    <col min="40" max="40" width="12.7109375" style="3" bestFit="1" customWidth="1"/>
    <col min="41" max="41" width="8.140625" style="3" bestFit="1" customWidth="1"/>
    <col min="42" max="42" width="11.85546875" style="3" bestFit="1" customWidth="1"/>
    <col min="43" max="44" width="11.85546875" style="3" customWidth="1"/>
    <col min="45" max="45" width="7" style="3" bestFit="1" customWidth="1"/>
    <col min="46" max="46" width="7.140625" style="3" bestFit="1" customWidth="1"/>
    <col min="47" max="48" width="7" style="3" bestFit="1" customWidth="1"/>
    <col min="49" max="49" width="6.85546875" style="3" bestFit="1" customWidth="1"/>
    <col min="50" max="50" width="9" style="3" bestFit="1" customWidth="1"/>
    <col min="51" max="51" width="16.7109375" style="3" bestFit="1" customWidth="1"/>
    <col min="52" max="52" width="16.7109375" style="3" customWidth="1"/>
    <col min="53" max="53" width="5.7109375" style="3" customWidth="1"/>
    <col min="54" max="54" width="9" style="3" customWidth="1"/>
    <col min="55" max="61" width="8.85546875" style="3"/>
    <col min="62" max="62" width="15.42578125" style="3" customWidth="1"/>
    <col min="63" max="64" width="8.85546875" style="3"/>
    <col min="65" max="65" width="12.85546875" style="3" customWidth="1"/>
    <col min="66" max="66" width="8.85546875" style="3"/>
    <col min="67" max="67" width="8.85546875" style="233"/>
    <col min="68" max="69" width="8.85546875" style="3"/>
    <col min="70" max="70" width="8.140625" style="30" customWidth="1"/>
    <col min="71" max="72" width="13.140625" style="30" customWidth="1"/>
    <col min="73" max="73" width="12.85546875" style="3" bestFit="1" customWidth="1"/>
    <col min="74" max="76" width="12.85546875" style="3" customWidth="1"/>
    <col min="77" max="77" width="12.85546875" style="3" bestFit="1" customWidth="1"/>
    <col min="78" max="79" width="12.85546875" style="3" customWidth="1"/>
    <col min="80" max="80" width="4.28515625" style="3" customWidth="1"/>
    <col min="81" max="81" width="8" style="3" customWidth="1"/>
    <col min="82" max="82" width="9" style="3" customWidth="1"/>
    <col min="83" max="91" width="10.42578125" style="3" customWidth="1"/>
    <col min="92" max="93" width="14.42578125" style="3" customWidth="1"/>
    <col min="94" max="121" width="10.42578125" style="3" customWidth="1"/>
    <col min="122" max="122" width="12.85546875" style="3" bestFit="1" customWidth="1"/>
    <col min="123" max="123" width="12.85546875" style="3" customWidth="1"/>
    <col min="124" max="124" width="12.85546875" style="3" bestFit="1" customWidth="1"/>
    <col min="125" max="125" width="12.85546875" style="3" customWidth="1"/>
    <col min="126" max="126" width="12.85546875" style="3" bestFit="1" customWidth="1"/>
    <col min="127" max="127" width="12.85546875" style="3" customWidth="1"/>
    <col min="128" max="128" width="12.85546875" style="3" bestFit="1" customWidth="1"/>
    <col min="129" max="129" width="12.85546875" style="3" customWidth="1"/>
    <col min="130" max="130" width="12.85546875" style="3" bestFit="1" customWidth="1"/>
    <col min="131" max="131" width="12.85546875" style="3" customWidth="1"/>
    <col min="132" max="132" width="12.85546875" style="3" bestFit="1" customWidth="1"/>
    <col min="133" max="133" width="12.85546875" style="3" customWidth="1"/>
    <col min="134" max="134" width="12.85546875" style="3" bestFit="1" customWidth="1"/>
    <col min="135" max="135" width="12.85546875" style="3" customWidth="1"/>
    <col min="136" max="136" width="12.85546875" style="3" bestFit="1" customWidth="1"/>
    <col min="137" max="137" width="12.85546875" style="3" customWidth="1"/>
    <col min="138" max="138" width="12.85546875" style="3" bestFit="1" customWidth="1"/>
    <col min="139" max="139" width="12.85546875" style="3" customWidth="1"/>
    <col min="140" max="140" width="12.85546875" style="3" bestFit="1" customWidth="1"/>
    <col min="141" max="141" width="12.85546875" style="3" customWidth="1"/>
    <col min="142" max="142" width="12.85546875" style="3" bestFit="1" customWidth="1"/>
    <col min="143" max="143" width="12.85546875" style="3" customWidth="1"/>
    <col min="144" max="144" width="12.85546875" style="3" bestFit="1" customWidth="1"/>
    <col min="145" max="145" width="12.85546875" style="3" customWidth="1"/>
    <col min="146" max="146" width="12.85546875" style="3" bestFit="1" customWidth="1"/>
    <col min="147" max="147" width="12.85546875" style="3" customWidth="1"/>
    <col min="148" max="148" width="12.85546875" style="3" bestFit="1" customWidth="1"/>
    <col min="149" max="149" width="12.85546875" style="3" customWidth="1"/>
    <col min="150" max="150" width="12.85546875" style="3" bestFit="1" customWidth="1"/>
    <col min="151" max="151" width="12.85546875" style="3" customWidth="1"/>
    <col min="152" max="152" width="12.85546875" style="3" bestFit="1" customWidth="1"/>
    <col min="153" max="153" width="12.85546875" style="3" customWidth="1"/>
    <col min="154" max="154" width="12.85546875" style="3" bestFit="1" customWidth="1"/>
    <col min="155" max="155" width="12.85546875" style="3" customWidth="1"/>
    <col min="156" max="156" width="12.85546875" style="3" bestFit="1" customWidth="1"/>
    <col min="157" max="157" width="12.85546875" style="3" customWidth="1"/>
    <col min="158" max="158" width="12.85546875" style="3" bestFit="1" customWidth="1"/>
    <col min="159" max="159" width="12.85546875" style="3" customWidth="1"/>
    <col min="160" max="160" width="12.85546875" style="3" bestFit="1" customWidth="1"/>
    <col min="161" max="161" width="12.85546875" style="3" customWidth="1"/>
    <col min="162" max="162" width="12.85546875" style="3" bestFit="1" customWidth="1"/>
    <col min="163" max="163" width="12.85546875" style="3" customWidth="1"/>
    <col min="164" max="164" width="12.85546875" style="3" bestFit="1" customWidth="1"/>
    <col min="165" max="165" width="12.85546875" style="3" customWidth="1"/>
    <col min="166" max="166" width="12.85546875" style="3" bestFit="1" customWidth="1"/>
    <col min="167" max="167" width="12.85546875" style="3" customWidth="1"/>
    <col min="168" max="168" width="12.85546875" style="3" bestFit="1" customWidth="1"/>
    <col min="169" max="169" width="19.7109375" style="3" bestFit="1" customWidth="1"/>
    <col min="170" max="170" width="12.140625" style="3" bestFit="1" customWidth="1"/>
    <col min="171" max="171" width="19.7109375" style="3" bestFit="1" customWidth="1"/>
    <col min="172" max="172" width="12.140625" style="3" bestFit="1" customWidth="1"/>
    <col min="173" max="173" width="19.7109375" style="3" bestFit="1" customWidth="1"/>
    <col min="174" max="174" width="12.140625" style="3" bestFit="1" customWidth="1"/>
    <col min="175" max="175" width="19.7109375" style="3" bestFit="1" customWidth="1"/>
    <col min="176" max="176" width="12.140625" style="3" bestFit="1" customWidth="1"/>
    <col min="177" max="177" width="19.7109375" style="3" bestFit="1" customWidth="1"/>
    <col min="178" max="178" width="12.140625" style="3" bestFit="1" customWidth="1"/>
    <col min="179" max="179" width="19.7109375" style="3" bestFit="1" customWidth="1"/>
    <col min="180" max="180" width="12.140625" style="3" bestFit="1" customWidth="1"/>
    <col min="181" max="181" width="19.7109375" style="3" bestFit="1" customWidth="1"/>
    <col min="182" max="182" width="12.85546875" style="3" bestFit="1" customWidth="1"/>
    <col min="183" max="183" width="19.7109375" style="3" bestFit="1" customWidth="1"/>
    <col min="184" max="184" width="12.140625" style="3" bestFit="1" customWidth="1"/>
    <col min="185" max="185" width="19.7109375" style="3" bestFit="1" customWidth="1"/>
    <col min="186" max="186" width="12.140625" style="3" bestFit="1" customWidth="1"/>
    <col min="187" max="187" width="19.7109375" style="3" bestFit="1" customWidth="1"/>
    <col min="188" max="188" width="12.140625" style="3" bestFit="1" customWidth="1"/>
    <col min="189" max="189" width="19.7109375" style="3" bestFit="1" customWidth="1"/>
    <col min="190" max="190" width="12.140625" style="3" bestFit="1" customWidth="1"/>
    <col min="191" max="191" width="19.7109375" style="3" bestFit="1" customWidth="1"/>
    <col min="192" max="192" width="12.140625" style="3" bestFit="1" customWidth="1"/>
    <col min="193" max="193" width="19.7109375" style="3" bestFit="1" customWidth="1"/>
    <col min="194" max="194" width="12.140625" style="3" bestFit="1" customWidth="1"/>
    <col min="195" max="195" width="19.7109375" style="3" bestFit="1" customWidth="1"/>
    <col min="196" max="196" width="12.140625" style="3" bestFit="1" customWidth="1"/>
    <col min="197" max="197" width="19.7109375" style="3" bestFit="1" customWidth="1"/>
    <col min="198" max="198" width="12.140625" style="3" bestFit="1" customWidth="1"/>
    <col min="199" max="199" width="18.85546875" style="3" bestFit="1" customWidth="1"/>
    <col min="200" max="200" width="12.140625" style="3" bestFit="1" customWidth="1"/>
    <col min="201" max="201" width="19.7109375" style="3" bestFit="1" customWidth="1"/>
    <col min="202" max="202" width="12.140625" style="3" bestFit="1" customWidth="1"/>
    <col min="203" max="203" width="19.7109375" style="3" bestFit="1" customWidth="1"/>
    <col min="204" max="204" width="12.85546875" style="3" bestFit="1" customWidth="1"/>
    <col min="205" max="205" width="19.7109375" style="3" bestFit="1" customWidth="1"/>
    <col min="206" max="206" width="12.85546875" style="3" bestFit="1" customWidth="1"/>
    <col min="207" max="207" width="19.7109375" style="3" bestFit="1" customWidth="1"/>
    <col min="208" max="208" width="12.85546875" style="3" bestFit="1" customWidth="1"/>
    <col min="209" max="209" width="19.7109375" style="3" bestFit="1" customWidth="1"/>
    <col min="210" max="210" width="12.140625" style="3" bestFit="1" customWidth="1"/>
    <col min="211" max="211" width="19.7109375" style="3" bestFit="1" customWidth="1"/>
    <col min="212" max="212" width="12.140625" style="3" bestFit="1" customWidth="1"/>
    <col min="213" max="213" width="19.7109375" style="3" bestFit="1" customWidth="1"/>
    <col min="214" max="214" width="12.140625" style="3" bestFit="1" customWidth="1"/>
    <col min="215" max="215" width="19.7109375" style="3" bestFit="1" customWidth="1"/>
    <col min="216" max="216" width="12.140625" style="3" bestFit="1" customWidth="1"/>
    <col min="217" max="217" width="19.7109375" style="3" bestFit="1" customWidth="1"/>
    <col min="218" max="218" width="12.140625" style="3" bestFit="1" customWidth="1"/>
    <col min="219" max="219" width="19.7109375" style="3" bestFit="1" customWidth="1"/>
    <col min="220" max="220" width="12.85546875" style="3" bestFit="1" customWidth="1"/>
    <col min="221" max="221" width="19.7109375" style="3" bestFit="1" customWidth="1"/>
    <col min="222" max="222" width="12.140625" style="3" bestFit="1" customWidth="1"/>
    <col min="223" max="223" width="19.7109375" style="3" bestFit="1" customWidth="1"/>
    <col min="224" max="224" width="12.140625" style="3" bestFit="1" customWidth="1"/>
    <col min="225" max="225" width="19.7109375" style="3" bestFit="1" customWidth="1"/>
    <col min="226" max="226" width="12.85546875" style="3" bestFit="1" customWidth="1"/>
    <col min="227" max="227" width="19.7109375" style="3" bestFit="1" customWidth="1"/>
    <col min="228" max="228" width="12.140625" style="3" bestFit="1" customWidth="1"/>
    <col min="229" max="229" width="18.85546875" style="3" bestFit="1" customWidth="1"/>
    <col min="230" max="230" width="12.140625" style="3" bestFit="1" customWidth="1"/>
    <col min="231" max="231" width="19.7109375" style="3" bestFit="1" customWidth="1"/>
    <col min="232" max="232" width="12.140625" style="3" bestFit="1" customWidth="1"/>
    <col min="233" max="233" width="19.7109375" style="3" bestFit="1" customWidth="1"/>
    <col min="234" max="234" width="12.140625" style="3" bestFit="1" customWidth="1"/>
    <col min="235" max="235" width="19.7109375" style="3" bestFit="1" customWidth="1"/>
    <col min="236" max="236" width="12.140625" style="3" bestFit="1" customWidth="1"/>
    <col min="237" max="237" width="19.7109375" style="3" bestFit="1" customWidth="1"/>
    <col min="238" max="238" width="12.140625" style="3" bestFit="1" customWidth="1"/>
    <col min="239" max="239" width="19.7109375" style="3" bestFit="1" customWidth="1"/>
    <col min="240" max="240" width="12.140625" style="3" bestFit="1" customWidth="1"/>
    <col min="241" max="241" width="19.7109375" style="3" bestFit="1" customWidth="1"/>
    <col min="242" max="242" width="12.140625" style="3" bestFit="1" customWidth="1"/>
    <col min="243" max="243" width="19.7109375" style="3" bestFit="1" customWidth="1"/>
    <col min="244" max="244" width="12.140625" style="3" bestFit="1" customWidth="1"/>
    <col min="245" max="245" width="19.7109375" style="3" bestFit="1" customWidth="1"/>
    <col min="246" max="246" width="12.140625" style="3" bestFit="1" customWidth="1"/>
    <col min="247" max="247" width="19.7109375" style="3" bestFit="1" customWidth="1"/>
    <col min="248" max="248" width="12.140625" style="3" bestFit="1" customWidth="1"/>
    <col min="249" max="249" width="19.7109375" style="3" bestFit="1" customWidth="1"/>
    <col min="250" max="250" width="12.140625" style="3" bestFit="1" customWidth="1"/>
    <col min="251" max="251" width="18.85546875" style="3" bestFit="1" customWidth="1"/>
    <col min="252" max="252" width="12.140625" style="3" bestFit="1" customWidth="1"/>
    <col min="253" max="253" width="19.7109375" style="3" bestFit="1" customWidth="1"/>
    <col min="254" max="254" width="12.140625" style="3" bestFit="1" customWidth="1"/>
    <col min="255" max="255" width="19.7109375" style="3" bestFit="1" customWidth="1"/>
    <col min="256" max="256" width="12.140625" style="3" bestFit="1" customWidth="1"/>
    <col min="257" max="257" width="19.7109375" style="3" bestFit="1" customWidth="1"/>
    <col min="258" max="258" width="12.140625" style="3" bestFit="1" customWidth="1"/>
    <col min="259" max="259" width="19.7109375" style="3" bestFit="1" customWidth="1"/>
    <col min="260" max="260" width="12.140625" style="3" bestFit="1" customWidth="1"/>
    <col min="261" max="261" width="19.7109375" style="3" bestFit="1" customWidth="1"/>
    <col min="262" max="381" width="15.7109375" style="3" bestFit="1" customWidth="1"/>
    <col min="382" max="382" width="12.85546875" style="3" bestFit="1" customWidth="1"/>
    <col min="383" max="16384" width="8.85546875" style="3"/>
  </cols>
  <sheetData>
    <row r="1" spans="1:382" ht="12.75">
      <c r="A1" s="76" t="s">
        <v>106</v>
      </c>
      <c r="B1" s="76"/>
      <c r="C1" s="76"/>
      <c r="D1" s="77"/>
      <c r="E1" s="44">
        <v>2.65</v>
      </c>
      <c r="I1" s="3" t="s">
        <v>19</v>
      </c>
      <c r="O1" s="3"/>
    </row>
    <row r="2" spans="1:382" ht="12.75">
      <c r="A2" s="76" t="s">
        <v>20</v>
      </c>
      <c r="B2" s="76"/>
      <c r="C2" s="76"/>
      <c r="D2" s="77"/>
      <c r="E2" s="78">
        <v>0.75900000000000001</v>
      </c>
      <c r="I2" s="3" t="s">
        <v>135</v>
      </c>
      <c r="O2" s="3"/>
    </row>
    <row r="3" spans="1:382">
      <c r="A3" s="76" t="s">
        <v>108</v>
      </c>
      <c r="B3" s="76"/>
      <c r="C3" s="76"/>
      <c r="D3" s="77"/>
      <c r="E3" s="44">
        <v>101.325</v>
      </c>
      <c r="I3" s="74" t="s">
        <v>136</v>
      </c>
      <c r="J3" s="79">
        <f>4.45*10^-7</f>
        <v>4.4499999999999997E-7</v>
      </c>
      <c r="L3" s="3" t="s">
        <v>137</v>
      </c>
      <c r="O3" s="3"/>
      <c r="BR3" s="230"/>
      <c r="BS3" s="230"/>
      <c r="BT3" s="230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</row>
    <row r="4" spans="1:382">
      <c r="A4" s="76" t="s">
        <v>138</v>
      </c>
      <c r="B4" s="76"/>
      <c r="C4" s="76"/>
      <c r="D4" s="77"/>
      <c r="E4" s="80">
        <v>44.009639999999997</v>
      </c>
      <c r="I4" s="74" t="s">
        <v>139</v>
      </c>
      <c r="J4" s="79">
        <f>4.69*10^-11</f>
        <v>4.6900000000000001E-11</v>
      </c>
      <c r="L4" s="3" t="s">
        <v>140</v>
      </c>
      <c r="O4" s="3"/>
      <c r="BR4" s="230"/>
      <c r="BS4" s="231"/>
      <c r="BT4" s="231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</row>
    <row r="5" spans="1:382">
      <c r="A5" s="76" t="s">
        <v>110</v>
      </c>
      <c r="B5" s="76"/>
      <c r="C5" s="76"/>
      <c r="D5" s="77"/>
      <c r="E5" s="44">
        <v>8.3145100000000003</v>
      </c>
      <c r="I5" s="81" t="s">
        <v>141</v>
      </c>
      <c r="O5" s="3"/>
      <c r="BR5" s="230"/>
      <c r="BS5" s="230"/>
      <c r="BT5" s="230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</row>
    <row r="6" spans="1:382">
      <c r="A6" s="76" t="s">
        <v>0</v>
      </c>
      <c r="B6" s="76"/>
      <c r="C6" s="76"/>
      <c r="D6" s="77"/>
      <c r="E6" s="44">
        <v>293.14999999999998</v>
      </c>
      <c r="I6" s="3" t="s">
        <v>142</v>
      </c>
      <c r="O6" s="3"/>
      <c r="AR6" s="200" t="s">
        <v>128</v>
      </c>
      <c r="AS6" s="203"/>
      <c r="AT6" s="203"/>
      <c r="AU6" s="203"/>
      <c r="AV6" s="203"/>
      <c r="AW6" s="203"/>
      <c r="AX6" s="204"/>
      <c r="BR6" s="230"/>
      <c r="BS6" s="230"/>
      <c r="BT6" s="230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</row>
    <row r="7" spans="1:382">
      <c r="C7" s="30"/>
      <c r="D7" s="30"/>
      <c r="E7" s="30"/>
      <c r="F7" s="30"/>
      <c r="G7" s="30"/>
      <c r="H7" s="30"/>
      <c r="I7" s="30"/>
      <c r="J7" s="45"/>
      <c r="K7" s="82"/>
      <c r="L7" s="45"/>
      <c r="M7" s="45"/>
      <c r="N7" s="45"/>
      <c r="O7" s="3"/>
      <c r="P7" s="45"/>
      <c r="Q7" s="45"/>
      <c r="R7" s="45"/>
      <c r="S7" s="45"/>
      <c r="T7" s="45"/>
      <c r="U7" s="45"/>
      <c r="V7" s="45">
        <v>60</v>
      </c>
      <c r="W7" s="45"/>
      <c r="X7" s="45"/>
      <c r="Y7" s="45"/>
      <c r="Z7" s="45"/>
      <c r="AA7" s="45"/>
      <c r="AB7" s="30"/>
      <c r="AC7" s="30">
        <v>120</v>
      </c>
      <c r="AD7" s="30"/>
      <c r="AE7" s="30"/>
      <c r="AF7" s="30"/>
      <c r="AG7" s="30"/>
      <c r="AH7" s="30"/>
      <c r="AI7" s="30"/>
      <c r="AJ7" s="30">
        <v>180</v>
      </c>
      <c r="AK7" s="30"/>
      <c r="AL7" s="30"/>
      <c r="AM7" s="30"/>
      <c r="AN7" s="30"/>
      <c r="AO7" s="30"/>
      <c r="AP7" s="30"/>
      <c r="AQ7" s="30">
        <v>240</v>
      </c>
      <c r="AR7" s="201"/>
      <c r="AS7" s="342" t="s">
        <v>143</v>
      </c>
      <c r="AT7" s="343"/>
      <c r="AU7" s="343"/>
      <c r="AV7" s="343"/>
      <c r="AW7" s="343"/>
      <c r="AX7" s="344"/>
      <c r="AY7" s="33"/>
      <c r="AZ7" s="171"/>
      <c r="BA7" s="171"/>
      <c r="BB7" s="171"/>
      <c r="BD7" s="218" t="s">
        <v>131</v>
      </c>
      <c r="BE7" s="219"/>
      <c r="BF7" s="219"/>
      <c r="BG7" s="219"/>
      <c r="BH7" s="219"/>
      <c r="BI7" s="219"/>
      <c r="BJ7" s="223" t="s">
        <v>133</v>
      </c>
      <c r="BK7" s="218" t="s">
        <v>131</v>
      </c>
      <c r="BL7" s="219"/>
      <c r="BM7" s="219"/>
      <c r="BN7" s="224" t="s">
        <v>134</v>
      </c>
      <c r="BO7" s="234"/>
      <c r="BR7" s="230"/>
      <c r="BS7" s="230" t="s">
        <v>197</v>
      </c>
      <c r="BT7" s="230" t="s">
        <v>198</v>
      </c>
      <c r="BU7" t="s">
        <v>197</v>
      </c>
      <c r="BV7" t="s">
        <v>198</v>
      </c>
      <c r="BW7" t="s">
        <v>197</v>
      </c>
      <c r="BX7" t="s">
        <v>198</v>
      </c>
      <c r="BY7" t="s">
        <v>197</v>
      </c>
      <c r="BZ7" t="s">
        <v>198</v>
      </c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</row>
    <row r="8" spans="1:382" ht="60.75" thickBot="1">
      <c r="A8" s="50" t="s">
        <v>2</v>
      </c>
      <c r="B8" s="50" t="s">
        <v>3</v>
      </c>
      <c r="C8" s="50" t="s">
        <v>79</v>
      </c>
      <c r="D8" s="50" t="s">
        <v>80</v>
      </c>
      <c r="E8" s="114" t="s">
        <v>67</v>
      </c>
      <c r="F8" s="51" t="s">
        <v>144</v>
      </c>
      <c r="G8" s="52" t="s">
        <v>54</v>
      </c>
      <c r="H8" s="2" t="s">
        <v>57</v>
      </c>
      <c r="I8" s="53" t="s">
        <v>4</v>
      </c>
      <c r="J8" s="2" t="s">
        <v>145</v>
      </c>
      <c r="K8" s="53" t="s">
        <v>6</v>
      </c>
      <c r="L8" s="2" t="s">
        <v>7</v>
      </c>
      <c r="M8" s="53" t="s">
        <v>8</v>
      </c>
      <c r="N8" s="2" t="s">
        <v>9</v>
      </c>
      <c r="O8" s="194" t="s">
        <v>146</v>
      </c>
      <c r="P8" s="83" t="s">
        <v>10</v>
      </c>
      <c r="Q8" s="84" t="s">
        <v>147</v>
      </c>
      <c r="R8" s="84" t="s">
        <v>148</v>
      </c>
      <c r="S8" s="84" t="s">
        <v>149</v>
      </c>
      <c r="T8" s="84" t="s">
        <v>150</v>
      </c>
      <c r="U8" s="84" t="s">
        <v>151</v>
      </c>
      <c r="V8" s="197" t="s">
        <v>127</v>
      </c>
      <c r="W8" s="83" t="s">
        <v>10</v>
      </c>
      <c r="X8" s="84" t="s">
        <v>147</v>
      </c>
      <c r="Y8" s="84" t="s">
        <v>148</v>
      </c>
      <c r="Z8" s="84" t="s">
        <v>149</v>
      </c>
      <c r="AA8" s="84" t="s">
        <v>150</v>
      </c>
      <c r="AB8" s="84" t="s">
        <v>151</v>
      </c>
      <c r="AC8" s="197" t="s">
        <v>127</v>
      </c>
      <c r="AD8" s="83" t="s">
        <v>10</v>
      </c>
      <c r="AE8" s="84" t="s">
        <v>147</v>
      </c>
      <c r="AF8" s="84" t="s">
        <v>148</v>
      </c>
      <c r="AG8" s="84" t="s">
        <v>149</v>
      </c>
      <c r="AH8" s="84" t="s">
        <v>150</v>
      </c>
      <c r="AI8" s="84" t="s">
        <v>151</v>
      </c>
      <c r="AJ8" s="197" t="s">
        <v>151</v>
      </c>
      <c r="AK8" s="83" t="s">
        <v>10</v>
      </c>
      <c r="AL8" s="84" t="s">
        <v>147</v>
      </c>
      <c r="AM8" s="84" t="s">
        <v>148</v>
      </c>
      <c r="AN8" s="84" t="s">
        <v>149</v>
      </c>
      <c r="AO8" s="84" t="s">
        <v>150</v>
      </c>
      <c r="AP8" s="84" t="s">
        <v>151</v>
      </c>
      <c r="AQ8" s="197" t="s">
        <v>151</v>
      </c>
      <c r="AR8" s="202" t="s">
        <v>151</v>
      </c>
      <c r="AS8" s="59">
        <v>60</v>
      </c>
      <c r="AT8" s="59">
        <v>120</v>
      </c>
      <c r="AU8" s="59">
        <v>180</v>
      </c>
      <c r="AV8" s="59">
        <v>240</v>
      </c>
      <c r="AW8" s="60" t="s">
        <v>17</v>
      </c>
      <c r="AX8" s="61" t="s">
        <v>18</v>
      </c>
      <c r="AY8" s="62" t="s">
        <v>152</v>
      </c>
      <c r="AZ8" s="210"/>
      <c r="BA8" s="50" t="s">
        <v>79</v>
      </c>
      <c r="BB8" s="50" t="s">
        <v>80</v>
      </c>
      <c r="BC8" s="114" t="s">
        <v>67</v>
      </c>
      <c r="BD8" s="50" t="s">
        <v>130</v>
      </c>
      <c r="BE8" s="194" t="s">
        <v>129</v>
      </c>
      <c r="BF8" s="205">
        <v>60</v>
      </c>
      <c r="BG8" s="205">
        <v>120</v>
      </c>
      <c r="BH8" s="205">
        <v>180</v>
      </c>
      <c r="BI8" s="205">
        <v>240</v>
      </c>
      <c r="BJ8" s="220" t="s">
        <v>151</v>
      </c>
      <c r="BK8" s="60" t="s">
        <v>17</v>
      </c>
      <c r="BL8" s="61" t="s">
        <v>18</v>
      </c>
      <c r="BM8" s="62" t="s">
        <v>152</v>
      </c>
      <c r="BN8" s="225" t="s">
        <v>132</v>
      </c>
      <c r="BO8" s="235"/>
      <c r="BP8" s="3" t="s">
        <v>116</v>
      </c>
      <c r="BQ8" s="3" t="s">
        <v>117</v>
      </c>
      <c r="BR8" s="230" t="s">
        <v>111</v>
      </c>
      <c r="BS8" s="232" t="s">
        <v>113</v>
      </c>
      <c r="BT8" s="232" t="s">
        <v>113</v>
      </c>
      <c r="BU8" s="236" t="s">
        <v>112</v>
      </c>
      <c r="BV8" s="236" t="s">
        <v>112</v>
      </c>
      <c r="BW8" s="210" t="s">
        <v>114</v>
      </c>
      <c r="BX8" s="210" t="s">
        <v>114</v>
      </c>
      <c r="BY8" s="210" t="s">
        <v>115</v>
      </c>
      <c r="BZ8" s="210" t="s">
        <v>115</v>
      </c>
      <c r="CA8" t="s">
        <v>118</v>
      </c>
      <c r="CB8"/>
      <c r="CC8" s="230" t="s">
        <v>21</v>
      </c>
      <c r="CD8" s="230">
        <v>16</v>
      </c>
      <c r="CE8" s="230">
        <v>16</v>
      </c>
      <c r="CF8" s="230">
        <v>16</v>
      </c>
      <c r="CG8" s="230">
        <v>16</v>
      </c>
      <c r="CH8" s="230">
        <v>16</v>
      </c>
      <c r="CI8" s="230">
        <v>16</v>
      </c>
      <c r="CJ8" s="230">
        <v>16</v>
      </c>
      <c r="CK8" s="230">
        <v>16</v>
      </c>
      <c r="CL8" s="230">
        <v>24</v>
      </c>
      <c r="CM8" s="230">
        <v>24</v>
      </c>
      <c r="CN8" s="230">
        <v>24</v>
      </c>
      <c r="CO8" s="230">
        <v>24</v>
      </c>
      <c r="CP8" s="230">
        <v>24</v>
      </c>
      <c r="CQ8">
        <v>24</v>
      </c>
      <c r="CR8">
        <v>24</v>
      </c>
      <c r="CS8">
        <v>24</v>
      </c>
      <c r="CT8">
        <v>32</v>
      </c>
      <c r="CU8">
        <v>32</v>
      </c>
      <c r="CV8">
        <v>32</v>
      </c>
      <c r="CW8">
        <v>32</v>
      </c>
      <c r="CX8">
        <v>32</v>
      </c>
      <c r="CY8">
        <v>32</v>
      </c>
      <c r="CZ8">
        <v>32</v>
      </c>
      <c r="DA8">
        <v>32</v>
      </c>
      <c r="DB8">
        <v>40</v>
      </c>
      <c r="DC8">
        <v>40</v>
      </c>
      <c r="DD8">
        <v>40</v>
      </c>
      <c r="DE8">
        <v>40</v>
      </c>
      <c r="DF8">
        <v>40</v>
      </c>
      <c r="DG8">
        <v>40</v>
      </c>
      <c r="DH8">
        <v>40</v>
      </c>
      <c r="DI8">
        <v>40</v>
      </c>
      <c r="DJ8">
        <v>48</v>
      </c>
      <c r="DK8">
        <v>48</v>
      </c>
      <c r="DL8">
        <v>48</v>
      </c>
      <c r="DM8">
        <v>48</v>
      </c>
      <c r="DN8">
        <v>48</v>
      </c>
      <c r="DO8">
        <v>48</v>
      </c>
      <c r="DP8">
        <v>48</v>
      </c>
      <c r="DQ8">
        <v>48</v>
      </c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</row>
    <row r="9" spans="1:382" ht="15.75" thickTop="1">
      <c r="A9" s="3">
        <f>'Exptl Setup'!A8</f>
        <v>1</v>
      </c>
      <c r="B9" s="3" t="str">
        <f>'Exptl Setup'!C8</f>
        <v>a</v>
      </c>
      <c r="C9" s="3">
        <f>'Exptl Setup'!D8</f>
        <v>16</v>
      </c>
      <c r="D9" s="3" t="str">
        <f>'Exptl Setup'!E8</f>
        <v>+</v>
      </c>
      <c r="E9" s="75">
        <f>'Exptl Setup'!K8</f>
        <v>0</v>
      </c>
      <c r="F9" s="63">
        <f>'Exptl Setup'!F8</f>
        <v>32.000999999999998</v>
      </c>
      <c r="G9" s="64">
        <f>'Exptl Setup'!$C$5</f>
        <v>1.2793390913194711</v>
      </c>
      <c r="H9" s="7">
        <f>F9/G9</f>
        <v>25.013696694748184</v>
      </c>
      <c r="I9" s="8">
        <f>H9/$E$1</f>
        <v>9.4391308282068618</v>
      </c>
      <c r="J9" s="8">
        <f>F9-H9</f>
        <v>6.9873033052518139</v>
      </c>
      <c r="K9" s="8">
        <f>'Exptl Setup'!H8+'Exptl Setup'!I8+'Exptl Setup'!J8+5</f>
        <v>23.003024686832859</v>
      </c>
      <c r="L9" s="8">
        <f>J9+K9</f>
        <v>29.990327992084673</v>
      </c>
      <c r="M9" s="44">
        <v>300</v>
      </c>
      <c r="N9" s="85">
        <f t="shared" ref="N9" si="0">M9-(I9+L9)</f>
        <v>260.57054117970847</v>
      </c>
      <c r="O9" s="193">
        <f>10^(-'Pre-DEA characterisation'!V10)</f>
        <v>1.6218100973589292E-5</v>
      </c>
      <c r="P9" s="66">
        <v>60</v>
      </c>
      <c r="Q9" s="3">
        <v>197.19</v>
      </c>
      <c r="R9" s="86">
        <f>Q9*$E$2</f>
        <v>149.66721000000001</v>
      </c>
      <c r="S9" s="86">
        <f>(R9/$O9^2)*($O9^2+$O9*$J$3+$J$3*$J$4)</f>
        <v>153.77386226217874</v>
      </c>
      <c r="T9" s="86">
        <f>(Q9*$N9*10^-3)+(S9*$L9*10^-3)</f>
        <v>55.993633581079109</v>
      </c>
      <c r="U9" s="67">
        <f>((T9*$E$3*$E$4)/($E$5*$E$6*$H9))*1000</f>
        <v>4095.4218351988984</v>
      </c>
      <c r="V9" s="198">
        <f>(((T9*$E$3*$E$4)/($E$5*$E$6*$H9))*1000)*12/44</f>
        <v>1116.9332277815176</v>
      </c>
      <c r="W9" s="66">
        <v>120</v>
      </c>
      <c r="X9" s="3">
        <v>284.35399999999998</v>
      </c>
      <c r="Y9" s="86">
        <f>X9*$E$2</f>
        <v>215.82468599999999</v>
      </c>
      <c r="Z9" s="86">
        <f>(Y9/$O9^2)*($O9^2+$O9*$J$3+$J$3*$J$4)</f>
        <v>221.74660393376729</v>
      </c>
      <c r="AA9" s="86">
        <f t="shared" ref="AA9" si="1">(X9*$N9*10^-3)+(Z9*$L9*10^-3)</f>
        <v>80.744529049719389</v>
      </c>
      <c r="AB9" s="67">
        <f>((AA9*$E$3*$E$4)/($E$5*$E$6*$H9))*1000</f>
        <v>5905.7233152094313</v>
      </c>
      <c r="AC9" s="198">
        <f>(((AA9*$E$3*$E$4)/($E$5*$E$6*$H9))*1000)*12/44</f>
        <v>1610.6518132389358</v>
      </c>
      <c r="AD9" s="66">
        <v>180</v>
      </c>
      <c r="AE9" s="3">
        <v>354.94200000000001</v>
      </c>
      <c r="AF9" s="86">
        <f>AE9*$E$2</f>
        <v>269.40097800000001</v>
      </c>
      <c r="AG9" s="86">
        <f>(AF9/$O9^2)*($O9^2+$O9*$J$3+$J$3*$J$4)</f>
        <v>276.79295207192177</v>
      </c>
      <c r="AH9" s="86">
        <f t="shared" ref="AH9" si="2">(AE9*$N9*10^-3)+(AG9*$L9*10^-3)</f>
        <v>100.78854044594239</v>
      </c>
      <c r="AI9" s="67">
        <f>((AH9*$E$3*$E$4)/($E$5*$E$6*$H9))*1000</f>
        <v>7371.7593033580179</v>
      </c>
      <c r="AJ9" s="198">
        <f>(((AH9*$E$3*$E$4)/($E$5*$E$6*$H9))*1000)*12/44</f>
        <v>2010.4798100067319</v>
      </c>
      <c r="AK9" s="3">
        <v>240</v>
      </c>
      <c r="AL9" s="3">
        <v>431.53100000000001</v>
      </c>
      <c r="AM9" s="86">
        <f>AL9*$E$2</f>
        <v>327.53202900000002</v>
      </c>
      <c r="AN9" s="86">
        <f>(AM9/$O9^2)*($O9^2+$O9*$J$3+$J$3*$J$4)</f>
        <v>336.51903522420133</v>
      </c>
      <c r="AO9" s="86">
        <f>(AL9*$N9*10^-3)+(AN9*$L9*10^-3)</f>
        <v>122.53658244777448</v>
      </c>
      <c r="AP9" s="67">
        <f>((AO9*$E$3*$E$4)/($E$5*$E$6*$H9))*1000</f>
        <v>8962.4295347898806</v>
      </c>
      <c r="AQ9" s="198">
        <f>(((AO9*$E$3*$E$4)/($E$5*$E$6*$H9))*1000)*12/44</f>
        <v>2444.2989640336036</v>
      </c>
      <c r="AR9" s="198">
        <f>(((AL9*$N9*10^-3)*$E$3*$E$4)/($E$5*$E$6*$H9))*1000*(12/44)+'post-DEA dissolved CO2'!N7</f>
        <v>7923.6611621450147</v>
      </c>
      <c r="AS9" s="87">
        <f t="shared" ref="AS9:AS32" si="3">V9</f>
        <v>1116.9332277815176</v>
      </c>
      <c r="AT9" s="87">
        <f>AC9</f>
        <v>1610.6518132389358</v>
      </c>
      <c r="AU9" s="87">
        <f>AJ9</f>
        <v>2010.4798100067319</v>
      </c>
      <c r="AV9" s="87">
        <f>AQ9</f>
        <v>2444.2989640336036</v>
      </c>
      <c r="AW9" s="71">
        <f>RSQ($AS$8:$AV$8,AS9:AV9)</f>
        <v>0.99821718489682099</v>
      </c>
      <c r="AX9" s="72">
        <f>SLOPE(AS9:AV9,AS$8:AV$8)</f>
        <v>7.3032086758734218</v>
      </c>
      <c r="AY9" s="88">
        <f>AX9*60/1000</f>
        <v>0.43819252055240532</v>
      </c>
      <c r="AZ9" s="88"/>
      <c r="BA9" s="3">
        <v>16</v>
      </c>
      <c r="BB9" s="3" t="s">
        <v>81</v>
      </c>
      <c r="BC9" s="111">
        <v>0</v>
      </c>
      <c r="BD9" s="75">
        <f>AR9</f>
        <v>7923.6611621450147</v>
      </c>
      <c r="BE9" s="160">
        <f>IF((AQ9/BD9)&lt;1,(AQ9/BD9),(BD9/AQ9))</f>
        <v>0.30848100568852532</v>
      </c>
      <c r="BF9" s="3">
        <f>IF($BD9&gt;$AV9,(AS9/$BE9),(AS9*$BE9))</f>
        <v>3620.7520307078166</v>
      </c>
      <c r="BG9" s="3">
        <f>IF($BD9&gt;$AV9,(AT9/$BE9),(AT9*$BE9))</f>
        <v>5221.2349659713518</v>
      </c>
      <c r="BH9" s="3">
        <f>IF($BD9&gt;$AV9,(AU9/$BE9),(AU9*$BE9))</f>
        <v>6517.3536552740707</v>
      </c>
      <c r="BI9" s="3">
        <f>IF($BD9&gt;$AV9,(AV9/$BE9),(AV9*$BE9))</f>
        <v>7923.6611621450156</v>
      </c>
      <c r="BJ9" s="221">
        <v>2444.2989640336036</v>
      </c>
      <c r="BK9" s="71">
        <f>RSQ($BF$8:$BI$8,BF9:BI9)</f>
        <v>0.99821718489682076</v>
      </c>
      <c r="BL9" s="72">
        <f>SLOPE(BF9:BI9,BF$8:BI$8)</f>
        <v>23.674743472690526</v>
      </c>
      <c r="BM9" s="88">
        <f>BL9*60/1000</f>
        <v>1.4204846083614315</v>
      </c>
      <c r="BN9" s="226">
        <v>0.43819252055240532</v>
      </c>
      <c r="BO9" s="234"/>
      <c r="BP9" s="237">
        <v>16</v>
      </c>
      <c r="BQ9" s="238" t="s">
        <v>81</v>
      </c>
      <c r="BR9" s="239">
        <f>AVERAGE(BC9:BC11)</f>
        <v>0</v>
      </c>
      <c r="BS9" s="239">
        <f>AVERAGE(BD9:BD11)</f>
        <v>7587.9230401531795</v>
      </c>
      <c r="BT9" s="239">
        <f>STDEV(BD9:BD11)/SQRT(3)</f>
        <v>524.70282498195729</v>
      </c>
      <c r="BU9" s="239">
        <f>AVERAGE(BJ9:BJ10)</f>
        <v>2373.8090954372192</v>
      </c>
      <c r="BV9" s="239">
        <f>STDEV(BJ9:BJ10)/SQRT(3)</f>
        <v>57.554736698997452</v>
      </c>
      <c r="BW9" s="239">
        <f>AVERAGE(BM9:BM10)</f>
        <v>1.4574610952046827</v>
      </c>
      <c r="BX9" s="239">
        <f>STDEV(BM9:BM10)/SQRT(3)</f>
        <v>3.0191175082236548E-2</v>
      </c>
      <c r="BY9" s="240">
        <f>AVERAGE(BN9:BN11)</f>
        <v>0.42924637029525786</v>
      </c>
      <c r="BZ9" s="240">
        <f>STDEV(BN9:BN11)/SQRT(3)</f>
        <v>6.9035784876961539E-3</v>
      </c>
      <c r="CA9" s="231">
        <v>4.79</v>
      </c>
      <c r="CC9" s="230" t="s">
        <v>80</v>
      </c>
      <c r="CD9" s="230" t="s">
        <v>81</v>
      </c>
      <c r="CE9" s="230" t="s">
        <v>81</v>
      </c>
      <c r="CF9" s="230" t="s">
        <v>81</v>
      </c>
      <c r="CG9" s="230" t="s">
        <v>81</v>
      </c>
      <c r="CH9" s="230" t="s">
        <v>82</v>
      </c>
      <c r="CI9" s="230" t="s">
        <v>82</v>
      </c>
      <c r="CJ9" s="230" t="s">
        <v>82</v>
      </c>
      <c r="CK9" s="230" t="s">
        <v>82</v>
      </c>
      <c r="CL9" s="230" t="s">
        <v>81</v>
      </c>
      <c r="CM9" s="230" t="s">
        <v>81</v>
      </c>
      <c r="CN9" s="230" t="s">
        <v>81</v>
      </c>
      <c r="CO9" s="230" t="s">
        <v>81</v>
      </c>
      <c r="CP9" s="230" t="s">
        <v>82</v>
      </c>
      <c r="CQ9" t="s">
        <v>82</v>
      </c>
      <c r="CR9" t="s">
        <v>82</v>
      </c>
      <c r="CS9" t="s">
        <v>82</v>
      </c>
      <c r="CT9" t="s">
        <v>81</v>
      </c>
      <c r="CU9" t="s">
        <v>81</v>
      </c>
      <c r="CV9" t="s">
        <v>81</v>
      </c>
      <c r="CW9" t="s">
        <v>81</v>
      </c>
      <c r="CX9" t="s">
        <v>82</v>
      </c>
      <c r="CY9" t="s">
        <v>82</v>
      </c>
      <c r="CZ9" t="s">
        <v>82</v>
      </c>
      <c r="DA9" t="s">
        <v>82</v>
      </c>
      <c r="DB9" t="s">
        <v>81</v>
      </c>
      <c r="DC9" t="s">
        <v>81</v>
      </c>
      <c r="DD9" t="s">
        <v>81</v>
      </c>
      <c r="DE9" t="s">
        <v>81</v>
      </c>
      <c r="DF9" t="s">
        <v>82</v>
      </c>
      <c r="DG9" t="s">
        <v>82</v>
      </c>
      <c r="DH9" t="s">
        <v>82</v>
      </c>
      <c r="DI9" t="s">
        <v>82</v>
      </c>
      <c r="DJ9" t="s">
        <v>81</v>
      </c>
      <c r="DK9" t="s">
        <v>81</v>
      </c>
      <c r="DL9" t="s">
        <v>81</v>
      </c>
      <c r="DM9" t="s">
        <v>81</v>
      </c>
      <c r="DN9" t="s">
        <v>82</v>
      </c>
      <c r="DO9" t="s">
        <v>82</v>
      </c>
      <c r="DP9" t="s">
        <v>82</v>
      </c>
      <c r="DQ9" t="s">
        <v>82</v>
      </c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</row>
    <row r="10" spans="1:382">
      <c r="A10" s="3">
        <f>'Exptl Setup'!A9</f>
        <v>2</v>
      </c>
      <c r="B10" s="3" t="str">
        <f>'Exptl Setup'!C9</f>
        <v>b</v>
      </c>
      <c r="C10" s="3">
        <f>'Exptl Setup'!D9</f>
        <v>16</v>
      </c>
      <c r="D10" s="3" t="str">
        <f>'Exptl Setup'!E9</f>
        <v>+</v>
      </c>
      <c r="E10" s="75">
        <f>'Exptl Setup'!K9</f>
        <v>0</v>
      </c>
      <c r="F10" s="63">
        <f>'Exptl Setup'!F9</f>
        <v>32.003</v>
      </c>
      <c r="G10" s="64">
        <f>'Exptl Setup'!$C$5</f>
        <v>1.2793390913194711</v>
      </c>
      <c r="H10" s="7">
        <f t="shared" ref="H10:H41" si="4">F10/G10</f>
        <v>25.015260001938255</v>
      </c>
      <c r="I10" s="8">
        <f t="shared" ref="I10:I41" si="5">H10/$E$1</f>
        <v>9.4397207554483984</v>
      </c>
      <c r="J10" s="8">
        <f t="shared" ref="J10:J41" si="6">F10-H10</f>
        <v>6.9877399980617447</v>
      </c>
      <c r="K10" s="8">
        <f>'Exptl Setup'!H9+'Exptl Setup'!I9+'Exptl Setup'!J9+5</f>
        <v>23.003024686832859</v>
      </c>
      <c r="L10" s="8">
        <f t="shared" ref="L10:L41" si="7">J10+K10</f>
        <v>29.990764684894604</v>
      </c>
      <c r="M10" s="44">
        <v>300</v>
      </c>
      <c r="N10" s="85">
        <f t="shared" ref="N10:N41" si="8">M10-(I10+L10)</f>
        <v>260.56951455965702</v>
      </c>
      <c r="O10" s="193">
        <f>10^(-'Pre-DEA characterisation'!V11)</f>
        <v>1.6218100973589292E-5</v>
      </c>
      <c r="P10" s="66">
        <v>60</v>
      </c>
      <c r="Q10" s="30">
        <v>189.18799999999999</v>
      </c>
      <c r="R10" s="86">
        <f t="shared" ref="R10:R32" si="9">Q10*$E$2</f>
        <v>143.593692</v>
      </c>
      <c r="S10" s="86">
        <f t="shared" ref="S10:S32" si="10">(R10/$O10^2)*($O10^2+$O10*$J$3+$J$3*$J$4)</f>
        <v>147.53369569276879</v>
      </c>
      <c r="T10" s="86">
        <f t="shared" ref="T10:T32" si="11">(Q10*$N10*10^-3)+(S10*$L10*10^-3)</f>
        <v>53.721273671127065</v>
      </c>
      <c r="U10" s="196">
        <f t="shared" ref="U10:U32" si="12">((T10*$E$3*$E$4)/($E$5*$E$6*$H10))*1000</f>
        <v>3928.9739515306514</v>
      </c>
      <c r="V10" s="199">
        <f t="shared" ref="V10:V73" si="13">(((T10*$E$3*$E$4)/($E$5*$E$6*$H10))*1000)*12/44</f>
        <v>1071.5383504174504</v>
      </c>
      <c r="W10" s="66">
        <v>120</v>
      </c>
      <c r="X10" s="30">
        <v>263.77699999999999</v>
      </c>
      <c r="Y10" s="86">
        <f t="shared" ref="Y10:Y32" si="14">X10*$E$2</f>
        <v>200.20674299999999</v>
      </c>
      <c r="Z10" s="86">
        <f t="shared" ref="Z10:Z32" si="15">(Y10/$O10^2)*($O10^2+$O10*$J$3+$J$3*$J$4)</f>
        <v>205.70012711562819</v>
      </c>
      <c r="AA10" s="86">
        <f>(X10*$N10*10^-3)+(Z10*$L10*10^-3)</f>
        <v>74.90134894998036</v>
      </c>
      <c r="AB10" s="67">
        <f t="shared" ref="AB10:AB32" si="16">((AA10*$E$3*$E$4)/($E$5*$E$6*$H10))*1000</f>
        <v>5478.0058038189554</v>
      </c>
      <c r="AC10" s="199">
        <f>(((AA10*$E$3*$E$4)/($E$5*$E$6*$H10))*1000)*12/44</f>
        <v>1494.001582859715</v>
      </c>
      <c r="AD10" s="66">
        <v>180</v>
      </c>
      <c r="AE10" s="30">
        <v>345.22500000000002</v>
      </c>
      <c r="AF10" s="86">
        <f t="shared" ref="AF10:AF32" si="17">AE10*$E$2</f>
        <v>262.02577500000001</v>
      </c>
      <c r="AG10" s="86">
        <f t="shared" ref="AG10:AG32" si="18">(AF10/$O10^2)*($O10^2+$O10*$J$3+$J$3*$J$4)</f>
        <v>269.21538414453403</v>
      </c>
      <c r="AH10" s="86">
        <f t="shared" ref="AH10:AH32" si="19">(AE10*$N10*10^-3)+(AG10*$L10*10^-3)</f>
        <v>98.029085899289839</v>
      </c>
      <c r="AI10" s="67">
        <f t="shared" ref="AI10:AI32" si="20">((AH10*$E$3*$E$4)/($E$5*$E$6*$H10))*1000</f>
        <v>7169.4823795228531</v>
      </c>
      <c r="AJ10" s="199">
        <f>(((AH10*$E$3*$E$4)/($E$5*$E$6*$H10))*1000)*12/44</f>
        <v>1955.3133762335056</v>
      </c>
      <c r="AK10" s="3">
        <v>240</v>
      </c>
      <c r="AL10" s="30">
        <v>406.66800000000001</v>
      </c>
      <c r="AM10" s="86">
        <f t="shared" ref="AM10:AM32" si="21">AL10*$E$2</f>
        <v>308.66101200000003</v>
      </c>
      <c r="AN10" s="86">
        <f t="shared" ref="AN10:AN32" si="22">(AM10/$O10^2)*($O10^2+$O10*$J$3+$J$3*$J$4)</f>
        <v>317.13022474991493</v>
      </c>
      <c r="AO10" s="86">
        <f t="shared" ref="AO10:AO32" si="23">(AL10*$N10*10^-3)+(AN10*$L10*10^-3)</f>
        <v>115.47626129188905</v>
      </c>
      <c r="AP10" s="67">
        <f t="shared" ref="AP10:AP32" si="24">((AO10*$E$3*$E$4)/($E$5*$E$6*$H10))*1000</f>
        <v>8445.5038317497274</v>
      </c>
      <c r="AQ10" s="199">
        <f>(((AO10*$E$3*$E$4)/($E$5*$E$6*$H10))*1000)*12/44</f>
        <v>2303.3192268408347</v>
      </c>
      <c r="AR10" s="199">
        <f>(((AL10*$N10*10^-3)*$E$3*$E$4)/($E$5*$E$6*$H10))*1000*(12/44)+'post-DEA dissolved CO2'!N8</f>
        <v>8281.099331454785</v>
      </c>
      <c r="AS10" s="87">
        <f t="shared" si="3"/>
        <v>1071.5383504174504</v>
      </c>
      <c r="AT10" s="87">
        <f>AC10</f>
        <v>1494.001582859715</v>
      </c>
      <c r="AU10" s="87">
        <f>AJ10</f>
        <v>1955.3133762335056</v>
      </c>
      <c r="AV10" s="87">
        <f>AQ10</f>
        <v>2303.3192268408347</v>
      </c>
      <c r="AW10" s="71">
        <f t="shared" ref="AW10:AW32" si="25">RSQ($AS$8:$AV$8,AS10:AV10)</f>
        <v>0.99706436959337419</v>
      </c>
      <c r="AX10" s="72">
        <f t="shared" ref="AX10:AX32" si="26">SLOPE(AS10:AV10,AS$8:AV$8)</f>
        <v>6.9277573710732394</v>
      </c>
      <c r="AY10" s="88">
        <f t="shared" ref="AY10:AY32" si="27">AX10*60/1000</f>
        <v>0.41566544226439434</v>
      </c>
      <c r="AZ10" s="88"/>
      <c r="BA10" s="3">
        <v>16</v>
      </c>
      <c r="BB10" s="3" t="s">
        <v>81</v>
      </c>
      <c r="BC10" s="111">
        <v>0</v>
      </c>
      <c r="BD10" s="75">
        <f t="shared" ref="BD10:BD73" si="28">AR10</f>
        <v>8281.099331454785</v>
      </c>
      <c r="BE10" s="160">
        <f t="shared" ref="BE10:BE73" si="29">IF((AQ10/BD10)&lt;1,(AQ10/BD10),(BD10/AQ10))</f>
        <v>0.27814172184747821</v>
      </c>
      <c r="BF10" s="3">
        <f t="shared" ref="BF10:BF32" si="30">IF($BD10&gt;$AV10,(AS10/$BE10),(AS10*$BE10))</f>
        <v>3852.4905336030065</v>
      </c>
      <c r="BG10" s="3">
        <f t="shared" ref="BG10:BG24" si="31">IF($BD10&gt;$AV10,(AT10/$BE10),(AT10*$BE10))</f>
        <v>5371.3681390056454</v>
      </c>
      <c r="BH10" s="3">
        <f t="shared" ref="BH10:BH24" si="32">IF($BD10&gt;$AV10,(AU10/$BE10),(AU10*$BE10))</f>
        <v>7029.9175659296488</v>
      </c>
      <c r="BI10" s="3">
        <f t="shared" ref="BI10:BI24" si="33">IF($BD10&gt;$AV10,(AV10/$BE10),(AV10*$BE10))</f>
        <v>8281.099331454785</v>
      </c>
      <c r="BJ10" s="222">
        <v>2303.3192268408347</v>
      </c>
      <c r="BK10" s="71">
        <f t="shared" ref="BK10:BK32" si="34">RSQ($BF$8:$BI$8,BF10:BI10)</f>
        <v>0.99706436959337463</v>
      </c>
      <c r="BL10" s="72">
        <f t="shared" ref="BL10:BL32" si="35">SLOPE(BF10:BI10,BF$8:BI$8)</f>
        <v>24.907293034132234</v>
      </c>
      <c r="BM10" s="88">
        <f t="shared" ref="BM10:BM73" si="36">BL10*60/1000</f>
        <v>1.4944375820479341</v>
      </c>
      <c r="BN10" s="227">
        <v>0.41566544226439434</v>
      </c>
      <c r="BO10" s="234"/>
      <c r="BP10" s="241">
        <v>16</v>
      </c>
      <c r="BQ10" s="30" t="s">
        <v>81</v>
      </c>
      <c r="BR10" s="231">
        <f>AVERAGE(BC12:BC14)</f>
        <v>6</v>
      </c>
      <c r="BS10" s="231">
        <f>AVERAGE(BD12:BD14)</f>
        <v>19118.493498662949</v>
      </c>
      <c r="BT10" s="231">
        <f>STDEV(BD12:BD14)/SQRT(3)</f>
        <v>1098.806560382955</v>
      </c>
      <c r="BU10" s="231">
        <f>AVERAGE(BJ12:BJ14)</f>
        <v>9419.5958727869165</v>
      </c>
      <c r="BV10" s="231">
        <f>STDEV(BJ12:BJ14)/SQRT(3)</f>
        <v>551.82082117052471</v>
      </c>
      <c r="BW10" s="231">
        <f>AVERAGE(BM12:BM14)</f>
        <v>3.2023392840909217</v>
      </c>
      <c r="BX10" s="231">
        <f>STDEV(BM12:BM14)/SQRT(3)</f>
        <v>0.25962133512858876</v>
      </c>
      <c r="BY10" s="242">
        <f>AVERAGE(BN12:BN14)</f>
        <v>1.5778725153399018</v>
      </c>
      <c r="BZ10" s="242">
        <f>STDEV(BN12:BN14)/SQRT(3)</f>
        <v>0.12981064486899474</v>
      </c>
      <c r="CA10">
        <v>6.52</v>
      </c>
      <c r="CC10" s="271" t="s">
        <v>34</v>
      </c>
      <c r="CD10" s="231">
        <v>4.79</v>
      </c>
      <c r="CE10" s="231">
        <v>6.52</v>
      </c>
      <c r="CF10" s="231">
        <v>8.2100000000000009</v>
      </c>
      <c r="CG10" s="231">
        <v>8.85</v>
      </c>
      <c r="CH10" s="231">
        <v>4.74</v>
      </c>
      <c r="CI10" s="231">
        <v>6.62</v>
      </c>
      <c r="CJ10" s="231">
        <v>8.1900000000000013</v>
      </c>
      <c r="CK10" s="231">
        <v>8.7100000000000009</v>
      </c>
      <c r="CL10" s="231">
        <v>4.8100000000000005</v>
      </c>
      <c r="CM10" s="231">
        <v>6.67</v>
      </c>
      <c r="CN10" s="231">
        <v>8.3099999999999987</v>
      </c>
      <c r="CO10" s="231">
        <v>8.9699999999999989</v>
      </c>
      <c r="CP10" s="231">
        <v>4.7149999999999999</v>
      </c>
      <c r="CQ10" s="151">
        <v>6.68</v>
      </c>
      <c r="CR10" s="151">
        <v>8.23</v>
      </c>
      <c r="CS10" s="151">
        <v>8.7949999999999999</v>
      </c>
      <c r="CT10" s="151">
        <v>4.63</v>
      </c>
      <c r="CU10" s="151">
        <v>6.6349999999999998</v>
      </c>
      <c r="CV10" s="151">
        <v>8.254999999999999</v>
      </c>
      <c r="CW10" s="151">
        <v>8.75</v>
      </c>
      <c r="CX10" s="151">
        <v>4.6899999999999995</v>
      </c>
      <c r="CY10" s="151">
        <v>6.63</v>
      </c>
      <c r="CZ10" s="151">
        <v>8.2650000000000006</v>
      </c>
      <c r="DA10" s="151">
        <v>8.7650000000000006</v>
      </c>
      <c r="DB10" s="151">
        <v>4.58</v>
      </c>
      <c r="DC10" s="151">
        <v>6.6400000000000006</v>
      </c>
      <c r="DD10" s="151">
        <v>8.4049999999999994</v>
      </c>
      <c r="DE10" s="151">
        <v>8.7149999999999999</v>
      </c>
      <c r="DF10" s="151">
        <v>4.5950000000000006</v>
      </c>
      <c r="DG10" s="151">
        <v>6.68</v>
      </c>
      <c r="DH10" s="151">
        <v>8.3150000000000013</v>
      </c>
      <c r="DI10" s="151">
        <v>8.8049999999999997</v>
      </c>
      <c r="DJ10" s="151">
        <v>4.41</v>
      </c>
      <c r="DK10" s="151">
        <v>6.7200000000000006</v>
      </c>
      <c r="DL10" s="151">
        <v>8.4499999999999993</v>
      </c>
      <c r="DM10" s="151">
        <v>8.7399999999999984</v>
      </c>
      <c r="DN10" s="151">
        <v>4.5600000000000005</v>
      </c>
      <c r="DO10" s="151">
        <v>6.73</v>
      </c>
      <c r="DP10" s="151">
        <v>8.375</v>
      </c>
      <c r="DQ10" s="151">
        <v>8.7200000000000006</v>
      </c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</row>
    <row r="11" spans="1:382">
      <c r="A11" s="3">
        <f>'Exptl Setup'!A10</f>
        <v>3</v>
      </c>
      <c r="B11" s="3" t="str">
        <f>'Exptl Setup'!C10</f>
        <v>c</v>
      </c>
      <c r="C11" s="3">
        <f>'Exptl Setup'!D10</f>
        <v>16</v>
      </c>
      <c r="D11" s="3" t="str">
        <f>'Exptl Setup'!E10</f>
        <v>+</v>
      </c>
      <c r="E11" s="75">
        <f>'Exptl Setup'!K10</f>
        <v>0</v>
      </c>
      <c r="F11" s="63">
        <f>'Exptl Setup'!F10</f>
        <v>31.997</v>
      </c>
      <c r="G11" s="64">
        <f>'Exptl Setup'!$C$5</f>
        <v>1.2793390913194711</v>
      </c>
      <c r="H11" s="7">
        <f t="shared" si="4"/>
        <v>25.010570080368041</v>
      </c>
      <c r="I11" s="8">
        <f t="shared" si="5"/>
        <v>9.4379509737237886</v>
      </c>
      <c r="J11" s="8">
        <f t="shared" si="6"/>
        <v>6.9864299196319593</v>
      </c>
      <c r="K11" s="8">
        <f>'Exptl Setup'!H10+'Exptl Setup'!I10+'Exptl Setup'!J10+5</f>
        <v>23.003024686832859</v>
      </c>
      <c r="L11" s="8">
        <f t="shared" si="7"/>
        <v>29.989454606464818</v>
      </c>
      <c r="M11" s="44">
        <v>300</v>
      </c>
      <c r="N11" s="85">
        <f t="shared" si="8"/>
        <v>260.57259441981137</v>
      </c>
      <c r="O11" s="193">
        <f>10^(-'Pre-DEA characterisation'!V12)</f>
        <v>1.6218100973589292E-5</v>
      </c>
      <c r="P11" s="66">
        <v>60</v>
      </c>
      <c r="Q11" s="30">
        <v>187.47300000000001</v>
      </c>
      <c r="R11" s="86">
        <f t="shared" si="9"/>
        <v>142.29200700000001</v>
      </c>
      <c r="S11" s="86">
        <f t="shared" si="10"/>
        <v>146.19629433479102</v>
      </c>
      <c r="T11" s="86">
        <f t="shared" si="11"/>
        <v>53.234673126251884</v>
      </c>
      <c r="U11" s="67">
        <f t="shared" si="12"/>
        <v>3894.1158775788072</v>
      </c>
      <c r="V11" s="199">
        <f t="shared" si="13"/>
        <v>1062.0316029760384</v>
      </c>
      <c r="W11" s="66">
        <v>120</v>
      </c>
      <c r="X11" s="30">
        <v>268.92099999999999</v>
      </c>
      <c r="Y11" s="86">
        <f>X11*$E$2</f>
        <v>204.11103900000001</v>
      </c>
      <c r="Z11" s="86">
        <f t="shared" si="15"/>
        <v>209.71155136369683</v>
      </c>
      <c r="AA11" s="86">
        <f t="shared" ref="AA11:AA32" si="37">(X11*$N11*10^-3)+(Z11*$L11*10^-3)</f>
        <v>76.362577714042985</v>
      </c>
      <c r="AB11" s="67">
        <f t="shared" si="16"/>
        <v>5585.9218976298989</v>
      </c>
      <c r="AC11" s="199">
        <f t="shared" ref="AC11:AC74" si="38">(((AA11*$E$3*$E$4)/($E$5*$E$6*$H11))*1000)*12/44</f>
        <v>1523.4332448081543</v>
      </c>
      <c r="AD11" s="66">
        <v>180</v>
      </c>
      <c r="AE11" s="30">
        <v>340.65300000000002</v>
      </c>
      <c r="AF11" s="86">
        <f t="shared" si="17"/>
        <v>258.55562700000002</v>
      </c>
      <c r="AG11" s="86">
        <f t="shared" si="18"/>
        <v>265.65002029107956</v>
      </c>
      <c r="AH11" s="86">
        <f t="shared" si="19"/>
        <v>96.731535231617784</v>
      </c>
      <c r="AI11" s="67">
        <f t="shared" si="20"/>
        <v>7075.9109634179495</v>
      </c>
      <c r="AJ11" s="199">
        <f t="shared" ref="AJ11:AJ74" si="39">(((AH11*$E$3*$E$4)/($E$5*$E$6*$H11))*1000)*12/44</f>
        <v>1929.7938991139863</v>
      </c>
      <c r="AK11" s="3">
        <v>240</v>
      </c>
      <c r="AL11" s="30">
        <v>6.859</v>
      </c>
      <c r="AM11" s="86">
        <f t="shared" si="21"/>
        <v>5.2059810000000004</v>
      </c>
      <c r="AN11" s="86">
        <f t="shared" si="22"/>
        <v>5.3488256060463719</v>
      </c>
      <c r="AO11" s="86">
        <f t="shared" si="23"/>
        <v>1.9476757878359106</v>
      </c>
      <c r="AP11" s="67">
        <f t="shared" si="24"/>
        <v>142.47246699158299</v>
      </c>
      <c r="AQ11" s="199">
        <f t="shared" ref="AQ11:AQ74" si="40">(((AO11*$E$3*$E$4)/($E$5*$E$6*$H11))*1000)*12/44</f>
        <v>38.85612736134081</v>
      </c>
      <c r="AR11" s="199">
        <f>(((AL11*$N11*10^-3)*$E$3*$E$4)/($E$5*$E$6*$H11))*1000*(12/44)+'post-DEA dissolved CO2'!N9</f>
        <v>6559.0086268597424</v>
      </c>
      <c r="AS11" s="87">
        <f t="shared" si="3"/>
        <v>1062.0316029760384</v>
      </c>
      <c r="AT11" s="87">
        <f t="shared" ref="AT11:AT32" si="41">AC11</f>
        <v>1523.4332448081543</v>
      </c>
      <c r="AU11" s="87">
        <f t="shared" ref="AU11:AU32" si="42">AJ11</f>
        <v>1929.7938991139863</v>
      </c>
      <c r="AV11" s="87"/>
      <c r="AW11" s="71">
        <f>RSQ($AS$8:$AU$8,AS11:AU11)</f>
        <v>0.9986607316656807</v>
      </c>
      <c r="AX11" s="72">
        <f>SLOPE(AS11:AU11,AS$8:AU$8)</f>
        <v>7.2313524678162322</v>
      </c>
      <c r="AY11" s="88">
        <f>AX11*60/1000</f>
        <v>0.43388114806897393</v>
      </c>
      <c r="AZ11" s="88"/>
      <c r="BA11" s="3">
        <v>16</v>
      </c>
      <c r="BB11" s="3" t="s">
        <v>81</v>
      </c>
      <c r="BC11" s="111">
        <v>0</v>
      </c>
      <c r="BD11" s="206">
        <f t="shared" si="28"/>
        <v>6559.0086268597424</v>
      </c>
      <c r="BE11" s="216">
        <f t="shared" si="29"/>
        <v>5.9240854177598432E-3</v>
      </c>
      <c r="BF11" s="74">
        <f t="shared" si="30"/>
        <v>179273.51280117754</v>
      </c>
      <c r="BG11" s="74">
        <f t="shared" si="31"/>
        <v>257159.23005449021</v>
      </c>
      <c r="BH11" s="74">
        <f t="shared" si="32"/>
        <v>325753.8949942633</v>
      </c>
      <c r="BI11" s="74">
        <f t="shared" si="33"/>
        <v>0</v>
      </c>
      <c r="BJ11" s="222">
        <v>38.85612736134081</v>
      </c>
      <c r="BK11" s="207">
        <f>RSQ($BF$8:$BH$8,BF11:BH11)</f>
        <v>0.99866073166568092</v>
      </c>
      <c r="BL11" s="208">
        <f>SLOPE(BF11:BH11,BF$8:BH$8)</f>
        <v>1220.669851609048</v>
      </c>
      <c r="BM11" s="209">
        <f>BL11*60/1000</f>
        <v>73.240191096542887</v>
      </c>
      <c r="BN11" s="227">
        <v>0.43388114806897393</v>
      </c>
      <c r="BO11" s="234"/>
      <c r="BP11" s="241">
        <v>16</v>
      </c>
      <c r="BQ11" s="30" t="s">
        <v>81</v>
      </c>
      <c r="BR11" s="231">
        <f>AVERAGE(BC15:BC17)</f>
        <v>16</v>
      </c>
      <c r="BS11" s="231">
        <f>AVERAGE(BD15:BD17)</f>
        <v>25788.436351952812</v>
      </c>
      <c r="BT11" s="231">
        <f>STDEV(BD15:BD17)/SQRT(3)</f>
        <v>1810.7258768583472</v>
      </c>
      <c r="BU11" s="231">
        <f>AVERAGE(BJ16:BJ17)</f>
        <v>4415.3890493120525</v>
      </c>
      <c r="BV11" s="231">
        <f>STDEV(BJ16:BJ17)/SQRT(3)</f>
        <v>257.46626670345967</v>
      </c>
      <c r="BW11" s="231">
        <f>AVERAGE(BM16:BM18)</f>
        <v>2.4500296449034797</v>
      </c>
      <c r="BX11" s="231">
        <f>STDEV(BM16:BM18)/SQRT(3)</f>
        <v>1.3574479079823194</v>
      </c>
      <c r="BY11" s="242">
        <f>AVERAGE(BN16:BN17)</f>
        <v>0.66037262849042666</v>
      </c>
      <c r="BZ11" s="242">
        <f>STDEV(BN16:BN17)/SQRT(3)</f>
        <v>5.8249578083095457E-2</v>
      </c>
      <c r="CA11">
        <v>8.2100000000000009</v>
      </c>
      <c r="CC11" s="230" t="s">
        <v>22</v>
      </c>
      <c r="CD11" s="230">
        <v>0</v>
      </c>
      <c r="CE11" s="230">
        <v>6</v>
      </c>
      <c r="CF11" s="230">
        <v>16</v>
      </c>
      <c r="CG11" s="230">
        <v>20</v>
      </c>
      <c r="CH11" s="230">
        <v>0</v>
      </c>
      <c r="CI11" s="230">
        <v>6</v>
      </c>
      <c r="CJ11" s="230">
        <v>16</v>
      </c>
      <c r="CK11" s="230">
        <v>20</v>
      </c>
      <c r="CL11" s="230">
        <v>0</v>
      </c>
      <c r="CM11" s="230">
        <v>6</v>
      </c>
      <c r="CN11" s="230">
        <v>16</v>
      </c>
      <c r="CO11" s="230">
        <v>20</v>
      </c>
      <c r="CP11" s="230">
        <v>0</v>
      </c>
      <c r="CQ11" s="230">
        <v>6</v>
      </c>
      <c r="CR11" s="230">
        <v>16</v>
      </c>
      <c r="CS11" s="230">
        <v>20</v>
      </c>
      <c r="CT11" s="230">
        <v>0</v>
      </c>
      <c r="CU11" s="230">
        <v>6</v>
      </c>
      <c r="CV11" s="230">
        <v>16</v>
      </c>
      <c r="CW11" s="230">
        <v>20</v>
      </c>
      <c r="CX11" s="230">
        <v>0</v>
      </c>
      <c r="CY11" s="230">
        <v>6</v>
      </c>
      <c r="CZ11" s="230">
        <v>16</v>
      </c>
      <c r="DA11" s="230">
        <v>20</v>
      </c>
      <c r="DB11" s="230">
        <v>0</v>
      </c>
      <c r="DC11" s="230">
        <v>6</v>
      </c>
      <c r="DD11" s="230">
        <v>16</v>
      </c>
      <c r="DE11" s="230">
        <v>20</v>
      </c>
      <c r="DF11" s="230">
        <v>0</v>
      </c>
      <c r="DG11" s="230">
        <v>6</v>
      </c>
      <c r="DH11" s="230">
        <v>16</v>
      </c>
      <c r="DI11" s="230">
        <v>20</v>
      </c>
      <c r="DJ11" s="230">
        <v>0</v>
      </c>
      <c r="DK11" s="230">
        <v>6</v>
      </c>
      <c r="DL11" s="230">
        <v>16</v>
      </c>
      <c r="DM11" s="230">
        <v>20</v>
      </c>
      <c r="DN11" s="230">
        <v>0</v>
      </c>
      <c r="DO11" s="230">
        <v>6</v>
      </c>
      <c r="DP11" s="230">
        <v>16</v>
      </c>
      <c r="DQ11" s="230">
        <v>20</v>
      </c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</row>
    <row r="12" spans="1:382">
      <c r="A12" s="3">
        <f>'Exptl Setup'!A14</f>
        <v>7</v>
      </c>
      <c r="B12" s="3" t="str">
        <f>'Exptl Setup'!C14</f>
        <v>a</v>
      </c>
      <c r="C12" s="3">
        <f>'Exptl Setup'!D14</f>
        <v>16</v>
      </c>
      <c r="D12" s="3" t="str">
        <f>'Exptl Setup'!E14</f>
        <v>+</v>
      </c>
      <c r="E12" s="75">
        <f>'Exptl Setup'!K14</f>
        <v>5.9999953707848501</v>
      </c>
      <c r="F12" s="63">
        <f>'Exptl Setup'!F14</f>
        <v>31.997</v>
      </c>
      <c r="G12" s="64">
        <f>'Exptl Setup'!$C$5</f>
        <v>1.2793390913194711</v>
      </c>
      <c r="H12" s="7">
        <f t="shared" si="4"/>
        <v>25.010570080368041</v>
      </c>
      <c r="I12" s="8">
        <f t="shared" si="5"/>
        <v>9.4379509737237886</v>
      </c>
      <c r="J12" s="8">
        <f t="shared" si="6"/>
        <v>6.9864299196319593</v>
      </c>
      <c r="K12" s="8">
        <f>'Exptl Setup'!H14+'Exptl Setup'!I14+'Exptl Setup'!J14+5</f>
        <v>23.003024686832859</v>
      </c>
      <c r="L12" s="8">
        <f t="shared" si="7"/>
        <v>29.989454606464818</v>
      </c>
      <c r="M12" s="44">
        <v>300</v>
      </c>
      <c r="N12" s="85">
        <f t="shared" si="8"/>
        <v>260.57259441981137</v>
      </c>
      <c r="O12" s="193">
        <f>10^(-'Pre-DEA characterisation'!V13)</f>
        <v>3.0199517204020165E-7</v>
      </c>
      <c r="P12" s="66">
        <v>60</v>
      </c>
      <c r="Q12" s="30">
        <v>733.60400000000004</v>
      </c>
      <c r="R12" s="86">
        <f t="shared" si="9"/>
        <v>556.80543599999999</v>
      </c>
      <c r="S12" s="86">
        <f t="shared" si="10"/>
        <v>1377.404313317073</v>
      </c>
      <c r="T12" s="86">
        <f t="shared" si="11"/>
        <v>232.46470168572253</v>
      </c>
      <c r="U12" s="67">
        <f t="shared" si="12"/>
        <v>17004.790912571327</v>
      </c>
      <c r="V12" s="199">
        <f t="shared" si="13"/>
        <v>4637.6702488830888</v>
      </c>
      <c r="W12" s="66">
        <v>120</v>
      </c>
      <c r="X12" s="30">
        <v>995.38</v>
      </c>
      <c r="Y12" s="86">
        <f t="shared" si="14"/>
        <v>755.49342000000001</v>
      </c>
      <c r="Z12" s="86">
        <f>(Y12/$O12^2)*($O12^2+$O12*$J$3+$J$3*$J$4)</f>
        <v>1868.9111637743908</v>
      </c>
      <c r="AA12" s="86">
        <f t="shared" si="37"/>
        <v>315.41637554311927</v>
      </c>
      <c r="AB12" s="67">
        <f t="shared" si="16"/>
        <v>23072.70513595243</v>
      </c>
      <c r="AC12" s="199">
        <f t="shared" si="38"/>
        <v>6292.5559461688445</v>
      </c>
      <c r="AD12" s="66">
        <v>180</v>
      </c>
      <c r="AE12" s="30">
        <v>1228.865</v>
      </c>
      <c r="AF12" s="86">
        <f t="shared" si="17"/>
        <v>932.70853499999998</v>
      </c>
      <c r="AG12" s="86">
        <f t="shared" si="18"/>
        <v>2307.2992397593043</v>
      </c>
      <c r="AH12" s="86">
        <f t="shared" si="19"/>
        <v>389.40318705599395</v>
      </c>
      <c r="AI12" s="67">
        <f t="shared" si="20"/>
        <v>28484.839756567522</v>
      </c>
      <c r="AJ12" s="199">
        <f t="shared" si="39"/>
        <v>7768.592660882051</v>
      </c>
      <c r="AK12" s="3">
        <v>240</v>
      </c>
      <c r="AL12" s="30">
        <v>1435.771</v>
      </c>
      <c r="AM12" s="86">
        <f t="shared" si="21"/>
        <v>1089.7501890000001</v>
      </c>
      <c r="AN12" s="86">
        <f t="shared" si="22"/>
        <v>2695.7829678349185</v>
      </c>
      <c r="AO12" s="86">
        <f t="shared" si="23"/>
        <v>454.9676354054933</v>
      </c>
      <c r="AP12" s="67">
        <f t="shared" si="24"/>
        <v>33280.878584813385</v>
      </c>
      <c r="AQ12" s="199">
        <f t="shared" si="40"/>
        <v>9076.6032504036502</v>
      </c>
      <c r="AR12" s="199">
        <f>(((AL12*$N12*10^-3)*$E$3*$E$4)/($E$5*$E$6*$H12))*1000*(12/44)+'post-DEA dissolved CO2'!N10</f>
        <v>18468.006755960021</v>
      </c>
      <c r="AS12" s="87">
        <f t="shared" si="3"/>
        <v>4637.6702488830888</v>
      </c>
      <c r="AT12" s="87">
        <f t="shared" si="41"/>
        <v>6292.5559461688445</v>
      </c>
      <c r="AU12" s="87">
        <f t="shared" si="42"/>
        <v>7768.592660882051</v>
      </c>
      <c r="AV12" s="87">
        <f t="shared" ref="AV12:AV32" si="43">AQ12</f>
        <v>9076.6032504036502</v>
      </c>
      <c r="AW12" s="71">
        <f t="shared" si="25"/>
        <v>0.99725776051139958</v>
      </c>
      <c r="AX12" s="72">
        <f t="shared" si="26"/>
        <v>24.654726198791487</v>
      </c>
      <c r="AY12" s="88">
        <f t="shared" si="27"/>
        <v>1.4792835719274893</v>
      </c>
      <c r="AZ12" s="88"/>
      <c r="BA12" s="3">
        <v>16</v>
      </c>
      <c r="BB12" s="3" t="s">
        <v>81</v>
      </c>
      <c r="BC12" s="111">
        <v>6</v>
      </c>
      <c r="BD12" s="75">
        <f t="shared" si="28"/>
        <v>18468.006755960021</v>
      </c>
      <c r="BE12" s="160">
        <f t="shared" si="29"/>
        <v>0.49147714587414454</v>
      </c>
      <c r="BF12" s="3">
        <f t="shared" si="30"/>
        <v>9436.1869881752027</v>
      </c>
      <c r="BG12" s="3">
        <f t="shared" si="31"/>
        <v>12803.35413150669</v>
      </c>
      <c r="BH12" s="3">
        <f t="shared" si="32"/>
        <v>15806.620360881238</v>
      </c>
      <c r="BI12" s="3">
        <f t="shared" si="33"/>
        <v>18468.006755960021</v>
      </c>
      <c r="BJ12" s="222">
        <v>9076.6032504036502</v>
      </c>
      <c r="BK12" s="71">
        <f t="shared" si="34"/>
        <v>0.99725776051139914</v>
      </c>
      <c r="BL12" s="72">
        <f t="shared" si="35"/>
        <v>50.164542554548333</v>
      </c>
      <c r="BM12" s="88">
        <f t="shared" si="36"/>
        <v>3.0098725532729</v>
      </c>
      <c r="BN12" s="227">
        <v>1.4792835719274893</v>
      </c>
      <c r="BO12" s="234"/>
      <c r="BP12" s="241">
        <v>16</v>
      </c>
      <c r="BQ12" s="30" t="s">
        <v>81</v>
      </c>
      <c r="BR12" s="231">
        <f>AVERAGE(BC18:BC20)</f>
        <v>20</v>
      </c>
      <c r="BS12" s="231">
        <f>AVERAGE(BD18:BD20)</f>
        <v>16290.541199392494</v>
      </c>
      <c r="BT12" s="231">
        <f>STDEV(BD18:BD20)/SQRT(3)</f>
        <v>960.93548404876015</v>
      </c>
      <c r="BU12" s="231">
        <f>AVERAGE(BJ18:BJ20)</f>
        <v>9939.9959029734437</v>
      </c>
      <c r="BV12" s="231">
        <f>STDEV(BJ18:BJ20)/SQRT(3)</f>
        <v>153.24228372190788</v>
      </c>
      <c r="BW12" s="231">
        <f>AVERAGE(BM18:BM20)</f>
        <v>-5.5749951352783433E-2</v>
      </c>
      <c r="BX12" s="231">
        <f>STDEV(BM18:BM20)/SQRT(3)</f>
        <v>7.6728655414145391E-2</v>
      </c>
      <c r="BY12" s="242">
        <f>AVERAGE(BN18:BN20)</f>
        <v>-3.7992672579235727E-2</v>
      </c>
      <c r="BZ12" s="242">
        <f>STDEV(BN18:BN20)/SQRT(3)</f>
        <v>4.9372615627125166E-2</v>
      </c>
      <c r="CA12">
        <v>8.85</v>
      </c>
      <c r="CC12" s="230" t="s">
        <v>23</v>
      </c>
      <c r="CD12" s="231">
        <v>7587.9230401531795</v>
      </c>
      <c r="CE12" s="231">
        <v>19118.493498662949</v>
      </c>
      <c r="CF12" s="231">
        <v>25788.436351952812</v>
      </c>
      <c r="CG12" s="231">
        <v>16290.541199392494</v>
      </c>
      <c r="CH12" s="231">
        <v>6435.4693452212668</v>
      </c>
      <c r="CI12" s="231">
        <v>16712.986596748222</v>
      </c>
      <c r="CJ12" s="231">
        <v>36590.726719702485</v>
      </c>
      <c r="CK12" s="231">
        <v>20762.561760926983</v>
      </c>
      <c r="CL12" s="231">
        <v>7493.3468138039834</v>
      </c>
      <c r="CM12" s="231">
        <v>22161.470499484571</v>
      </c>
      <c r="CN12" s="231">
        <v>39078.956220951375</v>
      </c>
      <c r="CO12" s="231">
        <v>13169.171041200303</v>
      </c>
      <c r="CP12" s="231">
        <v>7925.6147520913664</v>
      </c>
      <c r="CQ12" s="151">
        <v>20421.537583411937</v>
      </c>
      <c r="CR12" s="151">
        <v>33859.556043590746</v>
      </c>
      <c r="CS12" s="151">
        <v>15327.474965482972</v>
      </c>
      <c r="CT12" s="151">
        <v>7667.5670845043796</v>
      </c>
      <c r="CU12" s="151">
        <v>23855.891340192971</v>
      </c>
      <c r="CV12" s="151">
        <v>41334.554029910425</v>
      </c>
      <c r="CW12" s="151">
        <v>8881.0823653142634</v>
      </c>
      <c r="CX12" s="151">
        <v>7679.9764542947933</v>
      </c>
      <c r="CY12" s="151">
        <v>25137.907784175699</v>
      </c>
      <c r="CZ12" s="151">
        <v>42948.751298609764</v>
      </c>
      <c r="DA12" s="151">
        <v>11918.208827204711</v>
      </c>
      <c r="DB12" s="151">
        <v>6462.838691427427</v>
      </c>
      <c r="DC12" s="151">
        <v>18300.816919901677</v>
      </c>
      <c r="DD12" s="151">
        <v>72228.006270915736</v>
      </c>
      <c r="DE12" s="151">
        <v>25987.510273798296</v>
      </c>
      <c r="DF12" s="151">
        <v>6360.3942157529191</v>
      </c>
      <c r="DG12" s="151">
        <v>21505.975920922156</v>
      </c>
      <c r="DH12" s="151">
        <v>86854.698779251543</v>
      </c>
      <c r="DI12" s="151">
        <v>29549.818104418951</v>
      </c>
      <c r="DJ12" s="151">
        <v>6654.0742658236059</v>
      </c>
      <c r="DK12" s="151">
        <v>20362.908315576959</v>
      </c>
      <c r="DL12" s="151">
        <v>86675.922391753425</v>
      </c>
      <c r="DM12" s="151">
        <v>58549.21003304296</v>
      </c>
      <c r="DN12" s="151">
        <v>7418.085875978948</v>
      </c>
      <c r="DO12" s="151">
        <v>20058.141114563863</v>
      </c>
      <c r="DP12" s="151">
        <v>119784.83410239498</v>
      </c>
      <c r="DQ12" s="151">
        <v>92000.524098472437</v>
      </c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</row>
    <row r="13" spans="1:382">
      <c r="A13" s="3">
        <f>'Exptl Setup'!A15</f>
        <v>8</v>
      </c>
      <c r="B13" s="3" t="str">
        <f>'Exptl Setup'!C15</f>
        <v>b</v>
      </c>
      <c r="C13" s="3">
        <f>'Exptl Setup'!D15</f>
        <v>16</v>
      </c>
      <c r="D13" s="3" t="str">
        <f>'Exptl Setup'!E15</f>
        <v>+</v>
      </c>
      <c r="E13" s="75">
        <f>'Exptl Setup'!K15</f>
        <v>5.9986830358393597</v>
      </c>
      <c r="F13" s="63">
        <f>'Exptl Setup'!F15</f>
        <v>32.003999999999998</v>
      </c>
      <c r="G13" s="64">
        <f>'Exptl Setup'!$C$5</f>
        <v>1.2793390913194711</v>
      </c>
      <c r="H13" s="7">
        <f t="shared" si="4"/>
        <v>25.016041655533289</v>
      </c>
      <c r="I13" s="8">
        <f t="shared" si="5"/>
        <v>9.4400157190691658</v>
      </c>
      <c r="J13" s="8">
        <f t="shared" si="6"/>
        <v>6.9879583444667084</v>
      </c>
      <c r="K13" s="8">
        <f>'Exptl Setup'!H15+'Exptl Setup'!I15+'Exptl Setup'!J15+5</f>
        <v>23.003024686832859</v>
      </c>
      <c r="L13" s="8">
        <f t="shared" si="7"/>
        <v>29.990983031299567</v>
      </c>
      <c r="M13" s="44">
        <v>300</v>
      </c>
      <c r="N13" s="85">
        <f t="shared" si="8"/>
        <v>260.56900124963124</v>
      </c>
      <c r="O13" s="193">
        <f>10^(-'Pre-DEA characterisation'!V14)</f>
        <v>3.0199517204020165E-7</v>
      </c>
      <c r="P13" s="66">
        <v>60</v>
      </c>
      <c r="Q13" s="30">
        <v>701.31</v>
      </c>
      <c r="R13" s="86">
        <f t="shared" si="9"/>
        <v>532.29428999999993</v>
      </c>
      <c r="S13" s="86">
        <f t="shared" si="10"/>
        <v>1316.7695636506839</v>
      </c>
      <c r="T13" s="86">
        <f t="shared" si="11"/>
        <v>222.23085990595828</v>
      </c>
      <c r="U13" s="67">
        <f t="shared" si="12"/>
        <v>16252.629878997715</v>
      </c>
      <c r="V13" s="199">
        <f t="shared" si="13"/>
        <v>4432.5354215448315</v>
      </c>
      <c r="W13" s="66">
        <v>120</v>
      </c>
      <c r="X13" s="30">
        <v>934.79399999999998</v>
      </c>
      <c r="Y13" s="86">
        <f t="shared" si="14"/>
        <v>709.508646</v>
      </c>
      <c r="Z13" s="86">
        <f t="shared" si="15"/>
        <v>1755.1557620499887</v>
      </c>
      <c r="AA13" s="86">
        <f t="shared" si="37"/>
        <v>296.21718563107669</v>
      </c>
      <c r="AB13" s="67">
        <f t="shared" si="16"/>
        <v>21663.545215536342</v>
      </c>
      <c r="AC13" s="199">
        <f t="shared" si="38"/>
        <v>5908.2396042371838</v>
      </c>
      <c r="AD13" s="66">
        <v>180</v>
      </c>
      <c r="AE13" s="30">
        <v>1162.8489999999999</v>
      </c>
      <c r="AF13" s="86">
        <f t="shared" si="17"/>
        <v>882.60239100000001</v>
      </c>
      <c r="AG13" s="86">
        <f t="shared" si="18"/>
        <v>2183.3485481764615</v>
      </c>
      <c r="AH13" s="86">
        <f t="shared" si="19"/>
        <v>368.48317179390523</v>
      </c>
      <c r="AI13" s="67">
        <f t="shared" si="20"/>
        <v>26948.645252687984</v>
      </c>
      <c r="AJ13" s="199">
        <f t="shared" si="39"/>
        <v>7349.6305234603587</v>
      </c>
      <c r="AK13" s="3">
        <v>240</v>
      </c>
      <c r="AL13" s="30">
        <v>1373.7560000000001</v>
      </c>
      <c r="AM13" s="86">
        <f t="shared" si="21"/>
        <v>1042.6808040000001</v>
      </c>
      <c r="AN13" s="86">
        <f t="shared" si="22"/>
        <v>2579.3444962748417</v>
      </c>
      <c r="AO13" s="86">
        <f t="shared" si="23"/>
        <v>435.31530590034316</v>
      </c>
      <c r="AP13" s="67">
        <f t="shared" si="24"/>
        <v>31836.345998278062</v>
      </c>
      <c r="AQ13" s="199">
        <f t="shared" si="40"/>
        <v>8682.6398177121991</v>
      </c>
      <c r="AR13" s="199">
        <f>(((AL13*$N13*10^-3)*$E$3*$E$4)/($E$5*$E$6*$H13))*1000*(12/44)+'post-DEA dissolved CO2'!N11</f>
        <v>17625.832081639142</v>
      </c>
      <c r="AS13" s="87">
        <f t="shared" si="3"/>
        <v>4432.5354215448315</v>
      </c>
      <c r="AT13" s="87">
        <f t="shared" si="41"/>
        <v>5908.2396042371838</v>
      </c>
      <c r="AU13" s="87">
        <f t="shared" si="42"/>
        <v>7349.6305234603587</v>
      </c>
      <c r="AV13" s="87">
        <f t="shared" si="43"/>
        <v>8682.6398177121991</v>
      </c>
      <c r="AW13" s="71">
        <f t="shared" si="25"/>
        <v>0.99946754830732198</v>
      </c>
      <c r="AX13" s="72">
        <f t="shared" si="26"/>
        <v>23.652840179542132</v>
      </c>
      <c r="AY13" s="88">
        <f t="shared" si="27"/>
        <v>1.419170410772528</v>
      </c>
      <c r="AZ13" s="88"/>
      <c r="BA13" s="3">
        <v>16</v>
      </c>
      <c r="BB13" s="3" t="s">
        <v>81</v>
      </c>
      <c r="BC13" s="111">
        <v>6</v>
      </c>
      <c r="BD13" s="75">
        <f t="shared" si="28"/>
        <v>17625.832081639142</v>
      </c>
      <c r="BE13" s="160">
        <f t="shared" si="29"/>
        <v>0.49260879018341036</v>
      </c>
      <c r="BF13" s="3">
        <f t="shared" si="30"/>
        <v>8998.0843011235938</v>
      </c>
      <c r="BG13" s="3">
        <f t="shared" si="31"/>
        <v>11993.776241868118</v>
      </c>
      <c r="BH13" s="3">
        <f t="shared" si="32"/>
        <v>14919.811968284022</v>
      </c>
      <c r="BI13" s="3">
        <f t="shared" si="33"/>
        <v>17625.832081639142</v>
      </c>
      <c r="BJ13" s="222">
        <v>8682.6398177121991</v>
      </c>
      <c r="BK13" s="71">
        <f t="shared" si="34"/>
        <v>0.99946754830732154</v>
      </c>
      <c r="BL13" s="72">
        <f t="shared" si="35"/>
        <v>48.01546511327092</v>
      </c>
      <c r="BM13" s="88">
        <f t="shared" si="36"/>
        <v>2.8809279067962552</v>
      </c>
      <c r="BN13" s="227">
        <v>1.419170410772528</v>
      </c>
      <c r="BO13" s="234"/>
      <c r="BP13" s="241">
        <v>16</v>
      </c>
      <c r="BQ13" s="30" t="s">
        <v>82</v>
      </c>
      <c r="BR13" s="231">
        <f>AVERAGE(BC21:BC23)</f>
        <v>0</v>
      </c>
      <c r="BS13" s="231">
        <f>AVERAGE(BD21:BD23)</f>
        <v>6435.4693452212668</v>
      </c>
      <c r="BT13" s="231">
        <f>STDEV(BD21:BD23)/SQRT(3)</f>
        <v>226.22800651700516</v>
      </c>
      <c r="BU13" s="231">
        <f>AVERAGE(BJ21:BJ23)</f>
        <v>1634.1249749748124</v>
      </c>
      <c r="BV13" s="231">
        <f>STDEV(BJ21:BJ23)/SQRT(3)</f>
        <v>32.708037868327786</v>
      </c>
      <c r="BW13" s="231">
        <f>AVERAGE(BM21:BM23)</f>
        <v>1.2698060078102686</v>
      </c>
      <c r="BX13" s="231">
        <f>STDEV(BM21:BM23)/SQRT(3)</f>
        <v>0.13305381329015928</v>
      </c>
      <c r="BY13" s="242">
        <f>AVERAGE(BN21:BN23)</f>
        <v>0.32478445397358574</v>
      </c>
      <c r="BZ13" s="242">
        <f>STDEV(BN21:BN23)/SQRT(3)</f>
        <v>4.3088063693035437E-2</v>
      </c>
      <c r="CA13">
        <v>4.74</v>
      </c>
      <c r="CC13" s="269" t="s">
        <v>24</v>
      </c>
      <c r="CD13" s="231">
        <v>2373.8090954372192</v>
      </c>
      <c r="CE13" s="231">
        <v>9419.5958727869165</v>
      </c>
      <c r="CF13" s="231">
        <v>4415.3890493120525</v>
      </c>
      <c r="CG13" s="231">
        <v>9939.9959029734437</v>
      </c>
      <c r="CH13" s="231">
        <v>1634.1249749748124</v>
      </c>
      <c r="CI13" s="231">
        <v>8094.0408793872048</v>
      </c>
      <c r="CJ13" s="231">
        <v>4986.264591000464</v>
      </c>
      <c r="CK13" s="231">
        <v>7410.1363561608059</v>
      </c>
      <c r="CL13" s="231">
        <v>4518.4741287524266</v>
      </c>
      <c r="CM13" s="231">
        <v>20145.597264757267</v>
      </c>
      <c r="CN13" s="231">
        <v>43598.689703374701</v>
      </c>
      <c r="CO13" s="231">
        <v>17452.469346133326</v>
      </c>
      <c r="CP13" s="231">
        <v>4248.9944179868326</v>
      </c>
      <c r="CQ13" s="151">
        <v>18674.448797910289</v>
      </c>
      <c r="CR13" s="151">
        <v>27111.910999714488</v>
      </c>
      <c r="CS13" s="151">
        <v>11293.918971524277</v>
      </c>
      <c r="CT13" s="151">
        <v>6236.5180569772156</v>
      </c>
      <c r="CU13" s="151">
        <v>25072.852978849351</v>
      </c>
      <c r="CV13" s="151">
        <v>109347.3505621965</v>
      </c>
      <c r="CW13" s="151">
        <v>17938.201447882751</v>
      </c>
      <c r="CX13" s="151">
        <v>5590.2794046146219</v>
      </c>
      <c r="CY13" s="151">
        <v>25550.146960879239</v>
      </c>
      <c r="CZ13" s="151">
        <v>91469.888220002817</v>
      </c>
      <c r="DA13" s="151">
        <v>19614.947288387611</v>
      </c>
      <c r="DB13" s="151">
        <v>3276.8754374404984</v>
      </c>
      <c r="DC13" s="151">
        <v>14236.105678440295</v>
      </c>
      <c r="DD13" s="151">
        <v>99208.798313377818</v>
      </c>
      <c r="DE13" s="151">
        <v>9055.9069410004795</v>
      </c>
      <c r="DF13" s="151">
        <v>2597.2263701690858</v>
      </c>
      <c r="DG13" s="151">
        <v>15911.499593981998</v>
      </c>
      <c r="DH13" s="151">
        <v>80920.532002944485</v>
      </c>
      <c r="DI13" s="151">
        <v>8680.6426160716437</v>
      </c>
      <c r="DJ13" s="151">
        <v>3205.8085593828887</v>
      </c>
      <c r="DK13" s="151">
        <v>15822.898143435808</v>
      </c>
      <c r="DL13" s="151">
        <v>154923.36715729712</v>
      </c>
      <c r="DM13" s="151">
        <v>29243.895757614227</v>
      </c>
      <c r="DN13" s="151">
        <v>3361.2421949770473</v>
      </c>
      <c r="DO13" s="151">
        <v>14459.287827235943</v>
      </c>
      <c r="DP13" s="151">
        <v>127724.71433666586</v>
      </c>
      <c r="DQ13" s="151">
        <v>48782.597042361187</v>
      </c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</row>
    <row r="14" spans="1:382">
      <c r="A14" s="3">
        <f>'Exptl Setup'!A16</f>
        <v>9</v>
      </c>
      <c r="B14" s="3" t="str">
        <f>'Exptl Setup'!C16</f>
        <v>c</v>
      </c>
      <c r="C14" s="3">
        <f>'Exptl Setup'!D16</f>
        <v>16</v>
      </c>
      <c r="D14" s="3" t="str">
        <f>'Exptl Setup'!E16</f>
        <v>+</v>
      </c>
      <c r="E14" s="75">
        <f>'Exptl Setup'!K16</f>
        <v>5.997558634145669</v>
      </c>
      <c r="F14" s="63">
        <f>'Exptl Setup'!F16</f>
        <v>32.01</v>
      </c>
      <c r="G14" s="64">
        <f>'Exptl Setup'!$C$5</f>
        <v>1.2793390913194711</v>
      </c>
      <c r="H14" s="7">
        <f t="shared" si="4"/>
        <v>25.020731577103508</v>
      </c>
      <c r="I14" s="8">
        <f t="shared" si="5"/>
        <v>9.4417855007937774</v>
      </c>
      <c r="J14" s="8">
        <f t="shared" si="6"/>
        <v>6.9892684228964903</v>
      </c>
      <c r="K14" s="8">
        <f>'Exptl Setup'!H16+'Exptl Setup'!I16+'Exptl Setup'!J16+5</f>
        <v>23.003024686832859</v>
      </c>
      <c r="L14" s="8">
        <f t="shared" si="7"/>
        <v>29.992293109729349</v>
      </c>
      <c r="M14" s="44">
        <v>300</v>
      </c>
      <c r="N14" s="85">
        <f t="shared" si="8"/>
        <v>260.5659213894769</v>
      </c>
      <c r="O14" s="193">
        <f>10^(-'Pre-DEA characterisation'!V15)</f>
        <v>3.0199517204020165E-7</v>
      </c>
      <c r="P14" s="66">
        <v>60</v>
      </c>
      <c r="Q14" s="30">
        <v>798.19</v>
      </c>
      <c r="R14" s="86">
        <f t="shared" si="9"/>
        <v>605.82621000000006</v>
      </c>
      <c r="S14" s="86">
        <f t="shared" si="10"/>
        <v>1498.6700574786323</v>
      </c>
      <c r="T14" s="86">
        <f t="shared" si="11"/>
        <v>252.92966443254065</v>
      </c>
      <c r="U14" s="67">
        <f t="shared" si="12"/>
        <v>18494.288750802669</v>
      </c>
      <c r="V14" s="199">
        <f t="shared" si="13"/>
        <v>5043.8969320370916</v>
      </c>
      <c r="W14" s="66">
        <v>120</v>
      </c>
      <c r="X14" s="30">
        <v>1110.2650000000001</v>
      </c>
      <c r="Y14" s="86">
        <f t="shared" si="14"/>
        <v>842.69113500000003</v>
      </c>
      <c r="Z14" s="86">
        <f t="shared" si="15"/>
        <v>2084.617586497593</v>
      </c>
      <c r="AA14" s="86">
        <f t="shared" si="37"/>
        <v>351.81968438742001</v>
      </c>
      <c r="AB14" s="67">
        <f t="shared" si="16"/>
        <v>25725.155038161247</v>
      </c>
      <c r="AC14" s="199">
        <f t="shared" si="38"/>
        <v>7015.9513740439761</v>
      </c>
      <c r="AD14" s="66">
        <v>180</v>
      </c>
      <c r="AE14" s="30">
        <v>1424.34</v>
      </c>
      <c r="AF14" s="86">
        <f t="shared" si="17"/>
        <v>1081.0740599999999</v>
      </c>
      <c r="AG14" s="86">
        <f t="shared" si="18"/>
        <v>2674.320286735132</v>
      </c>
      <c r="AH14" s="86">
        <f t="shared" si="19"/>
        <v>451.34346238094304</v>
      </c>
      <c r="AI14" s="67">
        <f t="shared" si="20"/>
        <v>33002.361892930596</v>
      </c>
      <c r="AJ14" s="199">
        <f t="shared" si="39"/>
        <v>9000.6441526174349</v>
      </c>
      <c r="AK14" s="3">
        <v>240</v>
      </c>
      <c r="AL14" s="30">
        <v>1661.539</v>
      </c>
      <c r="AM14" s="86">
        <f t="shared" si="21"/>
        <v>1261.108101</v>
      </c>
      <c r="AN14" s="86">
        <f t="shared" si="22"/>
        <v>3119.6817156729462</v>
      </c>
      <c r="AO14" s="86">
        <f t="shared" si="23"/>
        <v>526.50684888507647</v>
      </c>
      <c r="AP14" s="67">
        <f t="shared" si="24"/>
        <v>38498.330017564636</v>
      </c>
      <c r="AQ14" s="199">
        <f t="shared" si="40"/>
        <v>10499.5445502449</v>
      </c>
      <c r="AR14" s="199">
        <f>(((AL14*$N14*10^-3)*$E$3*$E$4)/($E$5*$E$6*$H14))*1000*(12/44)+'post-DEA dissolved CO2'!N12</f>
        <v>21261.641658389675</v>
      </c>
      <c r="AS14" s="87">
        <f t="shared" si="3"/>
        <v>5043.8969320370916</v>
      </c>
      <c r="AT14" s="87">
        <f t="shared" si="41"/>
        <v>7015.9513740439761</v>
      </c>
      <c r="AU14" s="87">
        <f t="shared" si="42"/>
        <v>9000.6441526174349</v>
      </c>
      <c r="AV14" s="87">
        <f t="shared" si="43"/>
        <v>10499.5445502449</v>
      </c>
      <c r="AW14" s="71">
        <f t="shared" si="25"/>
        <v>0.99595503307944899</v>
      </c>
      <c r="AX14" s="72">
        <f t="shared" si="26"/>
        <v>30.586059388661472</v>
      </c>
      <c r="AY14" s="88">
        <f t="shared" si="27"/>
        <v>1.8351635633196883</v>
      </c>
      <c r="AZ14" s="88"/>
      <c r="BA14" s="3">
        <v>16</v>
      </c>
      <c r="BB14" s="3" t="s">
        <v>81</v>
      </c>
      <c r="BC14" s="111">
        <v>6</v>
      </c>
      <c r="BD14" s="75">
        <f t="shared" si="28"/>
        <v>21261.641658389675</v>
      </c>
      <c r="BE14" s="160">
        <f t="shared" si="29"/>
        <v>0.49382567531429838</v>
      </c>
      <c r="BF14" s="3">
        <f t="shared" si="30"/>
        <v>10213.92200562855</v>
      </c>
      <c r="BG14" s="3">
        <f t="shared" si="31"/>
        <v>14207.344260864182</v>
      </c>
      <c r="BH14" s="3">
        <f t="shared" si="32"/>
        <v>18226.359224616906</v>
      </c>
      <c r="BI14" s="3">
        <f t="shared" si="33"/>
        <v>21261.641658389675</v>
      </c>
      <c r="BJ14" s="222">
        <v>10499.5445502449</v>
      </c>
      <c r="BK14" s="71">
        <f t="shared" si="34"/>
        <v>0.99595503307944855</v>
      </c>
      <c r="BL14" s="72">
        <f t="shared" si="35"/>
        <v>61.936956536726832</v>
      </c>
      <c r="BM14" s="88">
        <f t="shared" si="36"/>
        <v>3.7162173922036099</v>
      </c>
      <c r="BN14" s="227">
        <v>1.8351635633196883</v>
      </c>
      <c r="BO14" s="234"/>
      <c r="BP14" s="241">
        <v>16</v>
      </c>
      <c r="BQ14" s="30" t="s">
        <v>82</v>
      </c>
      <c r="BR14" s="231">
        <f>AVERAGE(BC24:BC26)</f>
        <v>6</v>
      </c>
      <c r="BS14" s="231">
        <f>AVERAGE(BD24:BD26)</f>
        <v>16712.986596748222</v>
      </c>
      <c r="BT14" s="231">
        <f>STDEV(BD24:BD26)/SQRT(3)</f>
        <v>717.6865711810068</v>
      </c>
      <c r="BU14" s="231">
        <f>AVERAGE(BJ24:BJ26)</f>
        <v>8094.0408793872048</v>
      </c>
      <c r="BV14" s="231">
        <f>STDEV(BJ24:BJ26)/SQRT(3)</f>
        <v>101.3391611312524</v>
      </c>
      <c r="BW14" s="231">
        <f>AVERAGE(BM24:BM26)</f>
        <v>2.6762699456657608</v>
      </c>
      <c r="BX14" s="231">
        <f>STDEV(BM24:BM26)/SQRT(3)</f>
        <v>0.10977236166379004</v>
      </c>
      <c r="BY14" s="242">
        <f>AVERAGE(BN24:BN26)</f>
        <v>1.2966055039012536</v>
      </c>
      <c r="BZ14" s="242">
        <f>STDEV(BN24:BN26)/SQRT(3)</f>
        <v>2.4349906088676834E-2</v>
      </c>
      <c r="CA14">
        <v>6.62</v>
      </c>
      <c r="CC14" s="271" t="s">
        <v>25</v>
      </c>
      <c r="CD14" s="231">
        <v>1.4574610952046827</v>
      </c>
      <c r="CE14" s="231">
        <v>3.2023392840909217</v>
      </c>
      <c r="CF14" s="231">
        <v>2.4500296449034797</v>
      </c>
      <c r="CG14" s="231">
        <v>-5.5749951352783433E-2</v>
      </c>
      <c r="CH14" s="231">
        <v>1.2698060078102686</v>
      </c>
      <c r="CI14" s="231">
        <v>2.6762699456657608</v>
      </c>
      <c r="CJ14" s="231">
        <v>6.0145038946412654</v>
      </c>
      <c r="CK14" s="231">
        <v>-0.32135871583613701</v>
      </c>
      <c r="CL14" s="231">
        <v>1.1208029305584724</v>
      </c>
      <c r="CM14" s="231">
        <v>2.2868612364742877</v>
      </c>
      <c r="CN14" s="231">
        <v>3.5561568303603726</v>
      </c>
      <c r="CO14" s="231">
        <v>-0.4806398691592883</v>
      </c>
      <c r="CP14" s="231">
        <v>1.2176412129883658</v>
      </c>
      <c r="CQ14" s="151">
        <v>2.1754686153130325</v>
      </c>
      <c r="CR14" s="151">
        <v>2.735267572410192</v>
      </c>
      <c r="CS14" s="151">
        <v>-0.86417845761617462</v>
      </c>
      <c r="CT14" s="151">
        <v>1.2737854187817568</v>
      </c>
      <c r="CU14" s="151">
        <v>2.5896891824054062</v>
      </c>
      <c r="CV14" s="151">
        <v>2.1135183767618155</v>
      </c>
      <c r="CW14" s="151">
        <v>0.29978518551570466</v>
      </c>
      <c r="CX14" s="151">
        <v>1.1537240168436929</v>
      </c>
      <c r="CY14" s="151">
        <v>2.4436416676953487</v>
      </c>
      <c r="CZ14" s="151">
        <v>2.8838443997471743</v>
      </c>
      <c r="DA14" s="151">
        <v>0.34982910970040271</v>
      </c>
      <c r="DB14" s="151">
        <v>0.80099725044284875</v>
      </c>
      <c r="DC14" s="151">
        <v>1.7222263349022882</v>
      </c>
      <c r="DD14" s="151">
        <v>3.4803150947584078</v>
      </c>
      <c r="DE14" s="151">
        <v>-2.0414342184498988</v>
      </c>
      <c r="DF14" s="151">
        <v>0.60765313565449419</v>
      </c>
      <c r="DG14" s="151">
        <v>1.8740266605728639</v>
      </c>
      <c r="DH14" s="151">
        <v>5.0128724365613699</v>
      </c>
      <c r="DI14" s="151">
        <v>-3.0283628995040552</v>
      </c>
      <c r="DJ14" s="151">
        <v>0.9993915017525099</v>
      </c>
      <c r="DK14" s="151">
        <v>1.5259444051685851</v>
      </c>
      <c r="DL14" s="151">
        <v>3.6188027836922423</v>
      </c>
      <c r="DM14" s="151">
        <v>-0.13451944096938906</v>
      </c>
      <c r="DN14" s="151">
        <v>1.0481134927113009</v>
      </c>
      <c r="DO14" s="151">
        <v>1.7389539281330713</v>
      </c>
      <c r="DP14" s="151">
        <v>6.1486294361128158</v>
      </c>
      <c r="DQ14" s="151">
        <v>6.8271170170317346</v>
      </c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</row>
    <row r="15" spans="1:382">
      <c r="A15" s="3">
        <f>'Exptl Setup'!A20</f>
        <v>13</v>
      </c>
      <c r="B15" s="3" t="str">
        <f>'Exptl Setup'!C20</f>
        <v>a</v>
      </c>
      <c r="C15" s="3">
        <f>'Exptl Setup'!D20</f>
        <v>16</v>
      </c>
      <c r="D15" s="3" t="str">
        <f>'Exptl Setup'!E20</f>
        <v>+</v>
      </c>
      <c r="E15" s="75">
        <f>'Exptl Setup'!K20</f>
        <v>15.998487656583571</v>
      </c>
      <c r="F15" s="63">
        <f>'Exptl Setup'!F20</f>
        <v>32</v>
      </c>
      <c r="G15" s="64">
        <f>'Exptl Setup'!$C$5</f>
        <v>1.2793390913194711</v>
      </c>
      <c r="H15" s="7">
        <f t="shared" si="4"/>
        <v>25.01291504115315</v>
      </c>
      <c r="I15" s="8">
        <f t="shared" si="5"/>
        <v>9.4388358645860944</v>
      </c>
      <c r="J15" s="8">
        <f t="shared" si="6"/>
        <v>6.9870849588468502</v>
      </c>
      <c r="K15" s="8">
        <f>'Exptl Setup'!H20+'Exptl Setup'!I20+'Exptl Setup'!J20+5</f>
        <v>23.003024686832862</v>
      </c>
      <c r="L15" s="8">
        <f t="shared" si="7"/>
        <v>29.990109645679713</v>
      </c>
      <c r="M15" s="44">
        <v>300</v>
      </c>
      <c r="N15" s="85">
        <f t="shared" si="8"/>
        <v>260.57105448973419</v>
      </c>
      <c r="O15" s="193">
        <f>10^(-'Pre-DEA characterisation'!V16)</f>
        <v>6.1659500186148016E-9</v>
      </c>
      <c r="P15" s="66">
        <v>60</v>
      </c>
      <c r="Q15" s="30">
        <v>62.301000000000002</v>
      </c>
      <c r="R15" s="86">
        <f t="shared" si="9"/>
        <v>47.286459000000001</v>
      </c>
      <c r="S15" s="86">
        <f t="shared" si="10"/>
        <v>3485.9340865274494</v>
      </c>
      <c r="T15" s="86">
        <f t="shared" si="11"/>
        <v>120.7773827383355</v>
      </c>
      <c r="U15" s="67">
        <f t="shared" si="12"/>
        <v>8834.036231482014</v>
      </c>
      <c r="V15" s="199">
        <f t="shared" si="13"/>
        <v>2409.2826085860038</v>
      </c>
      <c r="W15" s="66">
        <v>120</v>
      </c>
      <c r="X15" s="30">
        <v>102.024</v>
      </c>
      <c r="Y15" s="86">
        <f t="shared" si="14"/>
        <v>77.436216000000002</v>
      </c>
      <c r="Z15" s="86">
        <f t="shared" si="15"/>
        <v>5708.5590800127839</v>
      </c>
      <c r="AA15" s="86">
        <f t="shared" si="37"/>
        <v>197.78481399168453</v>
      </c>
      <c r="AB15" s="67">
        <f t="shared" si="16"/>
        <v>14466.60105745848</v>
      </c>
      <c r="AC15" s="199">
        <f t="shared" si="38"/>
        <v>3945.4366520341309</v>
      </c>
      <c r="AD15" s="66">
        <v>180</v>
      </c>
      <c r="AE15" s="30">
        <v>128.602</v>
      </c>
      <c r="AF15" s="86">
        <f t="shared" si="17"/>
        <v>97.608918000000003</v>
      </c>
      <c r="AG15" s="86">
        <f t="shared" si="18"/>
        <v>7195.6805732749553</v>
      </c>
      <c r="AH15" s="86">
        <f t="shared" si="19"/>
        <v>249.30920811729214</v>
      </c>
      <c r="AI15" s="67">
        <f t="shared" si="20"/>
        <v>18235.256696378063</v>
      </c>
      <c r="AJ15" s="199">
        <f t="shared" si="39"/>
        <v>4973.2518262849262</v>
      </c>
      <c r="AK15" s="3">
        <v>240</v>
      </c>
      <c r="AL15" s="30">
        <v>4.2869999999999999</v>
      </c>
      <c r="AM15" s="86">
        <f t="shared" si="21"/>
        <v>3.2538329999999998</v>
      </c>
      <c r="AN15" s="86">
        <f t="shared" si="22"/>
        <v>239.87093993584648</v>
      </c>
      <c r="AO15" s="86">
        <f t="shared" si="23"/>
        <v>8.3108239000857793</v>
      </c>
      <c r="AP15" s="67">
        <f t="shared" si="24"/>
        <v>607.8797021614962</v>
      </c>
      <c r="AQ15" s="199">
        <f t="shared" si="40"/>
        <v>165.78537331677168</v>
      </c>
      <c r="AR15" s="199">
        <f>(((AL15*$N15*10^-3)*$E$3*$E$4)/($E$5*$E$6*$H15))*1000*(12/44)+'post-DEA dissolved CO2'!N13</f>
        <v>27085.10701742733</v>
      </c>
      <c r="AS15" s="87">
        <f t="shared" si="3"/>
        <v>2409.2826085860038</v>
      </c>
      <c r="AT15" s="87">
        <f t="shared" si="41"/>
        <v>3945.4366520341309</v>
      </c>
      <c r="AU15" s="87">
        <f t="shared" si="42"/>
        <v>4973.2518262849262</v>
      </c>
      <c r="AV15" s="87">
        <f t="shared" si="43"/>
        <v>165.78537331677168</v>
      </c>
      <c r="AW15" s="71">
        <f>RSQ($AS$8:$AU$8,AS15:AU15)</f>
        <v>0.98706679060454483</v>
      </c>
      <c r="AX15" s="72">
        <f>SLOPE(AS15:AU15,AS$8:AU$8)</f>
        <v>21.366410147491017</v>
      </c>
      <c r="AY15" s="88">
        <f t="shared" si="27"/>
        <v>1.2819846088494611</v>
      </c>
      <c r="AZ15" s="88"/>
      <c r="BA15" s="3">
        <v>16</v>
      </c>
      <c r="BB15" s="3" t="s">
        <v>81</v>
      </c>
      <c r="BC15" s="111">
        <v>16</v>
      </c>
      <c r="BD15" s="206">
        <f t="shared" si="28"/>
        <v>27085.10701742733</v>
      </c>
      <c r="BE15" s="216">
        <f>IF((AQ15/BD15)&lt;1,(AQ15/BD15),(BD15/AQ15))</f>
        <v>6.1209052343821511E-3</v>
      </c>
      <c r="BF15" s="74">
        <f t="shared" si="30"/>
        <v>393615.40757936577</v>
      </c>
      <c r="BG15" s="74">
        <f t="shared" si="31"/>
        <v>644583.84845953039</v>
      </c>
      <c r="BH15" s="74">
        <f t="shared" si="32"/>
        <v>812502.66681949864</v>
      </c>
      <c r="BI15" s="74">
        <f t="shared" si="33"/>
        <v>27085.10701742733</v>
      </c>
      <c r="BJ15" s="222">
        <v>165.78537331677168</v>
      </c>
      <c r="BK15" s="207">
        <f>RSQ($BF$8:$BH$8,BF15:BH15)</f>
        <v>0.98706679060454483</v>
      </c>
      <c r="BL15" s="208">
        <f>SLOPE(BF15:BH15,BF$8:BH$8)</f>
        <v>3490.7271603344407</v>
      </c>
      <c r="BM15" s="209">
        <f t="shared" si="36"/>
        <v>209.44362962006645</v>
      </c>
      <c r="BN15" s="227">
        <v>1.2819846088494611</v>
      </c>
      <c r="BO15" s="234"/>
      <c r="BP15" s="241">
        <v>16</v>
      </c>
      <c r="BQ15" s="30" t="s">
        <v>82</v>
      </c>
      <c r="BR15" s="231">
        <f>AVERAGE(BC27:BC29)</f>
        <v>16</v>
      </c>
      <c r="BS15" s="231">
        <f>AVERAGE(BD27:BD29)</f>
        <v>36590.726719702485</v>
      </c>
      <c r="BT15" s="231">
        <f>STDEV(BD27:BD29)/SQRT(3)</f>
        <v>694.86142902814538</v>
      </c>
      <c r="BU15" s="231">
        <f>AVERAGE(BJ27:BJ29)</f>
        <v>4986.264591000464</v>
      </c>
      <c r="BV15" s="231">
        <f>STDEV(BJ27:BJ29)/SQRT(3)</f>
        <v>267.36340999130618</v>
      </c>
      <c r="BW15" s="231">
        <f>AVERAGE(BM27:BM29)</f>
        <v>6.0145038946412654</v>
      </c>
      <c r="BX15" s="231">
        <f>STDEV(BM27:BM29)/SQRT(3)</f>
        <v>0.3597251244714445</v>
      </c>
      <c r="BY15" s="242">
        <f>AVERAGE(BN27:BN29)</f>
        <v>0.82514376785995236</v>
      </c>
      <c r="BZ15" s="242">
        <f>STDEV(BN27:BN29)/SQRT(3)</f>
        <v>9.058606066135802E-2</v>
      </c>
      <c r="CA15">
        <v>8.1900000000000013</v>
      </c>
      <c r="CC15" s="271" t="s">
        <v>26</v>
      </c>
      <c r="CD15" s="231">
        <v>0.42924637029525786</v>
      </c>
      <c r="CE15" s="231">
        <v>1.5778725153399018</v>
      </c>
      <c r="CF15" s="231">
        <v>0.66037262849042666</v>
      </c>
      <c r="CG15" s="231">
        <v>-3.7992672579235727E-2</v>
      </c>
      <c r="CH15" s="231">
        <v>0.32478445397358574</v>
      </c>
      <c r="CI15" s="231">
        <v>1.2966055039012536</v>
      </c>
      <c r="CJ15" s="231">
        <v>0.82514376785995236</v>
      </c>
      <c r="CK15" s="231">
        <v>-0.11074410520464439</v>
      </c>
      <c r="CL15" s="231">
        <v>0.67620966820978079</v>
      </c>
      <c r="CM15" s="231">
        <v>2.07754629877549</v>
      </c>
      <c r="CN15" s="231">
        <v>3.9157364043698255</v>
      </c>
      <c r="CO15" s="231">
        <v>-0.58678315683228199</v>
      </c>
      <c r="CP15" s="231">
        <v>0.65124875707460494</v>
      </c>
      <c r="CQ15" s="151">
        <v>1.9852557319011794</v>
      </c>
      <c r="CR15" s="151">
        <v>2.1684193655486386</v>
      </c>
      <c r="CS15" s="151">
        <v>-0.64544519772447739</v>
      </c>
      <c r="CT15" s="151">
        <v>1.0359410296210703</v>
      </c>
      <c r="CU15" s="151">
        <v>2.6973777932160088</v>
      </c>
      <c r="CV15" s="151">
        <v>5.5553317432490692</v>
      </c>
      <c r="CW15" s="151">
        <v>0.50016982827335843</v>
      </c>
      <c r="CX15" s="151">
        <v>0.84048836167168639</v>
      </c>
      <c r="CY15" s="151">
        <v>2.4840450524675997</v>
      </c>
      <c r="CZ15" s="151">
        <v>6.1545702007000935</v>
      </c>
      <c r="DA15" s="151">
        <v>0.6589979716946428</v>
      </c>
      <c r="DB15" s="151">
        <v>0.40708034078924094</v>
      </c>
      <c r="DC15" s="151">
        <v>1.3397161986604051</v>
      </c>
      <c r="DD15" s="151">
        <v>4.7836740389673471</v>
      </c>
      <c r="DE15" s="151">
        <v>-0.64879500180264627</v>
      </c>
      <c r="DF15" s="151">
        <v>0.24756064582071527</v>
      </c>
      <c r="DG15" s="151">
        <v>1.3659407781219295</v>
      </c>
      <c r="DH15" s="151">
        <v>4.662577744731613</v>
      </c>
      <c r="DI15" s="151">
        <v>-0.87980596721978166</v>
      </c>
      <c r="DJ15" s="151">
        <v>0.48165724235691948</v>
      </c>
      <c r="DK15" s="151">
        <v>1.1739935546333575</v>
      </c>
      <c r="DL15" s="151">
        <v>6.4702934010301876</v>
      </c>
      <c r="DM15" s="151">
        <v>0.25249017222375669</v>
      </c>
      <c r="DN15" s="151">
        <v>0.47553461250253432</v>
      </c>
      <c r="DO15" s="151">
        <v>1.2492838822498784</v>
      </c>
      <c r="DP15" s="151">
        <v>6.5225829127961967</v>
      </c>
      <c r="DQ15" s="151">
        <v>3.5986445418793411</v>
      </c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</row>
    <row r="16" spans="1:382" ht="15.75" thickBot="1">
      <c r="A16" s="3">
        <f>'Exptl Setup'!A21</f>
        <v>14</v>
      </c>
      <c r="B16" s="3" t="str">
        <f>'Exptl Setup'!C21</f>
        <v>b</v>
      </c>
      <c r="C16" s="3">
        <f>'Exptl Setup'!D21</f>
        <v>16</v>
      </c>
      <c r="D16" s="3" t="str">
        <f>'Exptl Setup'!E21</f>
        <v>+</v>
      </c>
      <c r="E16" s="75">
        <f>'Exptl Setup'!K21</f>
        <v>16.000987810929029</v>
      </c>
      <c r="F16" s="63">
        <f>'Exptl Setup'!F21</f>
        <v>31.995000000000001</v>
      </c>
      <c r="G16" s="64">
        <f>'Exptl Setup'!$C$5</f>
        <v>1.2793390913194711</v>
      </c>
      <c r="H16" s="7">
        <f t="shared" si="4"/>
        <v>25.009006773177969</v>
      </c>
      <c r="I16" s="8">
        <f t="shared" si="5"/>
        <v>9.4373610464822519</v>
      </c>
      <c r="J16" s="8">
        <f t="shared" si="6"/>
        <v>6.9859932268220319</v>
      </c>
      <c r="K16" s="8">
        <f>'Exptl Setup'!H21+'Exptl Setup'!I21+'Exptl Setup'!J21+5</f>
        <v>23.003024686832862</v>
      </c>
      <c r="L16" s="8">
        <f t="shared" si="7"/>
        <v>29.989017913654894</v>
      </c>
      <c r="M16" s="44">
        <v>300</v>
      </c>
      <c r="N16" s="85">
        <f t="shared" si="8"/>
        <v>260.57362103986287</v>
      </c>
      <c r="O16" s="193">
        <f>10^(-'Pre-DEA characterisation'!V17)</f>
        <v>6.1659500186148016E-9</v>
      </c>
      <c r="P16" s="66">
        <v>60</v>
      </c>
      <c r="Q16" s="30">
        <v>62.015000000000001</v>
      </c>
      <c r="R16" s="86">
        <f t="shared" si="9"/>
        <v>47.069385000000004</v>
      </c>
      <c r="S16" s="86">
        <f t="shared" si="10"/>
        <v>3469.931499911715</v>
      </c>
      <c r="T16" s="86">
        <f t="shared" si="11"/>
        <v>120.21931101879491</v>
      </c>
      <c r="U16" s="67">
        <f t="shared" si="12"/>
        <v>8794.5912720737724</v>
      </c>
      <c r="V16" s="199">
        <f t="shared" si="13"/>
        <v>2398.5248923837562</v>
      </c>
      <c r="W16" s="66">
        <v>120</v>
      </c>
      <c r="X16" s="30">
        <v>98.308999999999997</v>
      </c>
      <c r="Y16" s="86">
        <f t="shared" si="14"/>
        <v>74.616530999999995</v>
      </c>
      <c r="Z16" s="86">
        <f t="shared" si="15"/>
        <v>5500.6933133084058</v>
      </c>
      <c r="AA16" s="86">
        <f t="shared" si="37"/>
        <v>190.57712242113533</v>
      </c>
      <c r="AB16" s="67">
        <f t="shared" si="16"/>
        <v>13941.586283420147</v>
      </c>
      <c r="AC16" s="199">
        <f t="shared" si="38"/>
        <v>3802.2508045691311</v>
      </c>
      <c r="AD16" s="66">
        <v>180</v>
      </c>
      <c r="AE16" s="30">
        <v>106.59699999999999</v>
      </c>
      <c r="AF16" s="86">
        <f t="shared" si="17"/>
        <v>80.907122999999999</v>
      </c>
      <c r="AG16" s="86">
        <f t="shared" si="18"/>
        <v>5964.4326065643645</v>
      </c>
      <c r="AH16" s="86">
        <f t="shared" si="19"/>
        <v>206.64384256503237</v>
      </c>
      <c r="AI16" s="67">
        <f t="shared" si="20"/>
        <v>15116.940189135659</v>
      </c>
      <c r="AJ16" s="199">
        <f t="shared" si="39"/>
        <v>4122.8018697642701</v>
      </c>
      <c r="AK16" s="3">
        <v>240</v>
      </c>
      <c r="AL16" s="30">
        <v>122.315</v>
      </c>
      <c r="AM16" s="86">
        <f t="shared" si="21"/>
        <v>92.837085000000002</v>
      </c>
      <c r="AN16" s="86">
        <f t="shared" si="22"/>
        <v>6843.9034332290803</v>
      </c>
      <c r="AO16" s="86">
        <f t="shared" si="23"/>
        <v>237.11400511592194</v>
      </c>
      <c r="AP16" s="67">
        <f t="shared" si="24"/>
        <v>17345.971643049314</v>
      </c>
      <c r="AQ16" s="199">
        <f t="shared" si="40"/>
        <v>4730.7195390134493</v>
      </c>
      <c r="AR16" s="199">
        <f>(((AL16*$N16*10^-3)*$E$3*$E$4)/($E$5*$E$6*$H16))*1000*(12/44)+'post-DEA dissolved CO2'!N14</f>
        <v>28068.439881496804</v>
      </c>
      <c r="AS16" s="87">
        <f t="shared" si="3"/>
        <v>2398.5248923837562</v>
      </c>
      <c r="AT16" s="87">
        <f t="shared" si="41"/>
        <v>3802.2508045691311</v>
      </c>
      <c r="AU16" s="87">
        <f t="shared" si="42"/>
        <v>4122.8018697642701</v>
      </c>
      <c r="AV16" s="87">
        <f t="shared" si="43"/>
        <v>4730.7195390134493</v>
      </c>
      <c r="AW16" s="71">
        <f t="shared" si="25"/>
        <v>0.91388746233099738</v>
      </c>
      <c r="AX16" s="72">
        <f t="shared" si="26"/>
        <v>12.195225008473699</v>
      </c>
      <c r="AY16" s="88">
        <f t="shared" si="27"/>
        <v>0.73171350050842188</v>
      </c>
      <c r="AZ16" s="88"/>
      <c r="BA16" s="3">
        <v>16</v>
      </c>
      <c r="BB16" s="3" t="s">
        <v>81</v>
      </c>
      <c r="BC16" s="111">
        <v>16</v>
      </c>
      <c r="BD16" s="75">
        <f t="shared" si="28"/>
        <v>28068.439881496804</v>
      </c>
      <c r="BE16" s="160">
        <f t="shared" si="29"/>
        <v>0.16854230441685578</v>
      </c>
      <c r="BF16" s="3">
        <f t="shared" si="30"/>
        <v>14230.996192217019</v>
      </c>
      <c r="BG16" s="3">
        <f t="shared" si="31"/>
        <v>22559.622747088008</v>
      </c>
      <c r="BH16" s="3">
        <f t="shared" si="32"/>
        <v>24461.525455160161</v>
      </c>
      <c r="BI16" s="3">
        <f t="shared" si="33"/>
        <v>28068.439881496801</v>
      </c>
      <c r="BJ16" s="222">
        <v>4730.7195390134493</v>
      </c>
      <c r="BK16" s="71">
        <f t="shared" si="34"/>
        <v>0.91388746233099738</v>
      </c>
      <c r="BL16" s="72">
        <f t="shared" si="35"/>
        <v>72.357056293185835</v>
      </c>
      <c r="BM16" s="88">
        <f t="shared" si="36"/>
        <v>4.3414233775911502</v>
      </c>
      <c r="BN16" s="227">
        <v>0.73171350050842188</v>
      </c>
      <c r="BO16" s="234"/>
      <c r="BP16" s="243">
        <v>16</v>
      </c>
      <c r="BQ16" s="132" t="s">
        <v>82</v>
      </c>
      <c r="BR16" s="244">
        <f>AVERAGE(BC30:BC32)</f>
        <v>20</v>
      </c>
      <c r="BS16" s="244">
        <f>AVERAGE(BD30:BD32)</f>
        <v>20762.561760926983</v>
      </c>
      <c r="BT16" s="244">
        <f>STDEV(BD30:BD32)/SQRT(3)</f>
        <v>1868.2032997969939</v>
      </c>
      <c r="BU16" s="244">
        <f>AVERAGE(BJ30:BJ32)</f>
        <v>7410.1363561608059</v>
      </c>
      <c r="BV16" s="244">
        <f>STDEV(BJ30:BJ32)/SQRT(3)</f>
        <v>97.222283181757021</v>
      </c>
      <c r="BW16" s="244">
        <f>AVERAGE(BM30:BM32)</f>
        <v>-0.32135871583613701</v>
      </c>
      <c r="BX16" s="244">
        <f>STDEV(BM30:BM32)/SQRT(3)</f>
        <v>0.48792310968776159</v>
      </c>
      <c r="BY16" s="245">
        <f>AVERAGE(BN30:BN32)</f>
        <v>-0.11074410520464439</v>
      </c>
      <c r="BZ16" s="245">
        <f>STDEV(BN30:BN32)/SQRT(3)</f>
        <v>0.16163696044326004</v>
      </c>
      <c r="CA16">
        <v>8.7100000000000009</v>
      </c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</row>
    <row r="17" spans="1:382">
      <c r="A17" s="3">
        <f>'Exptl Setup'!A22</f>
        <v>15</v>
      </c>
      <c r="B17" s="3" t="str">
        <f>'Exptl Setup'!C22</f>
        <v>c</v>
      </c>
      <c r="C17" s="3">
        <f>'Exptl Setup'!D22</f>
        <v>16</v>
      </c>
      <c r="D17" s="3" t="str">
        <f>'Exptl Setup'!E22</f>
        <v>+</v>
      </c>
      <c r="E17" s="75">
        <f>'Exptl Setup'!K22</f>
        <v>15.997987719467337</v>
      </c>
      <c r="F17" s="63">
        <f>'Exptl Setup'!F22</f>
        <v>32.000999999999998</v>
      </c>
      <c r="G17" s="64">
        <f>'Exptl Setup'!$C$5</f>
        <v>1.2793390913194711</v>
      </c>
      <c r="H17" s="7">
        <f t="shared" si="4"/>
        <v>25.013696694748184</v>
      </c>
      <c r="I17" s="8">
        <f t="shared" si="5"/>
        <v>9.4391308282068618</v>
      </c>
      <c r="J17" s="8">
        <f t="shared" si="6"/>
        <v>6.9873033052518139</v>
      </c>
      <c r="K17" s="8">
        <f>'Exptl Setup'!H22+'Exptl Setup'!I22+'Exptl Setup'!J22+5</f>
        <v>23.003024686832862</v>
      </c>
      <c r="L17" s="8">
        <f t="shared" si="7"/>
        <v>29.990327992084676</v>
      </c>
      <c r="M17" s="44">
        <v>300</v>
      </c>
      <c r="N17" s="85">
        <f t="shared" si="8"/>
        <v>260.57054117970847</v>
      </c>
      <c r="O17" s="193">
        <f>10^(-'Pre-DEA characterisation'!V18)</f>
        <v>6.1659500186148016E-9</v>
      </c>
      <c r="P17" s="66">
        <v>60</v>
      </c>
      <c r="Q17" s="30">
        <v>63.444000000000003</v>
      </c>
      <c r="R17" s="86">
        <f t="shared" si="9"/>
        <v>48.153995999999999</v>
      </c>
      <c r="S17" s="86">
        <f t="shared" si="10"/>
        <v>3549.88847989033</v>
      </c>
      <c r="T17" s="86">
        <f t="shared" si="11"/>
        <v>122.99395726183931</v>
      </c>
      <c r="U17" s="67">
        <f t="shared" si="12"/>
        <v>8995.8823164829773</v>
      </c>
      <c r="V17" s="199">
        <f t="shared" si="13"/>
        <v>2453.4224499499028</v>
      </c>
      <c r="W17" s="66">
        <v>120</v>
      </c>
      <c r="X17" s="30">
        <v>90.879000000000005</v>
      </c>
      <c r="Y17" s="86">
        <f t="shared" si="14"/>
        <v>68.977161000000009</v>
      </c>
      <c r="Z17" s="86">
        <f t="shared" si="15"/>
        <v>5084.9617798996496</v>
      </c>
      <c r="AA17" s="86">
        <f t="shared" si="37"/>
        <v>176.1800618182759</v>
      </c>
      <c r="AB17" s="67">
        <f t="shared" si="16"/>
        <v>12885.95909841209</v>
      </c>
      <c r="AC17" s="199">
        <f t="shared" si="38"/>
        <v>3514.3524813851154</v>
      </c>
      <c r="AD17" s="66">
        <v>180</v>
      </c>
      <c r="AE17" s="30">
        <v>115.456</v>
      </c>
      <c r="AF17" s="86">
        <f t="shared" si="17"/>
        <v>87.631104000000008</v>
      </c>
      <c r="AG17" s="86">
        <f t="shared" si="18"/>
        <v>6460.1211199517375</v>
      </c>
      <c r="AH17" s="86">
        <f t="shared" si="19"/>
        <v>223.82558365839043</v>
      </c>
      <c r="AI17" s="67">
        <f t="shared" si="20"/>
        <v>16370.792962799616</v>
      </c>
      <c r="AJ17" s="199">
        <f t="shared" si="39"/>
        <v>4464.7617171271677</v>
      </c>
      <c r="AK17" s="3">
        <v>240</v>
      </c>
      <c r="AL17" s="30">
        <v>106.02500000000001</v>
      </c>
      <c r="AM17" s="86">
        <f t="shared" si="21"/>
        <v>80.472975000000005</v>
      </c>
      <c r="AN17" s="86">
        <f t="shared" si="22"/>
        <v>5932.4274333328967</v>
      </c>
      <c r="AO17" s="86">
        <f t="shared" si="23"/>
        <v>205.54243614347322</v>
      </c>
      <c r="AP17" s="67">
        <f t="shared" si="24"/>
        <v>15033.54805190574</v>
      </c>
      <c r="AQ17" s="199">
        <f t="shared" si="40"/>
        <v>4100.0585596106566</v>
      </c>
      <c r="AR17" s="199">
        <f>(((AL17*$N17*10^-3)*$E$3*$E$4)/($E$5*$E$6*$H17))*1000*(12/44)+'post-DEA dissolved CO2'!N15</f>
        <v>22211.762156934306</v>
      </c>
      <c r="AS17" s="87">
        <f t="shared" si="3"/>
        <v>2453.4224499499028</v>
      </c>
      <c r="AT17" s="87">
        <f t="shared" si="41"/>
        <v>3514.3524813851154</v>
      </c>
      <c r="AU17" s="87">
        <f t="shared" si="42"/>
        <v>4464.7617171271677</v>
      </c>
      <c r="AV17" s="87">
        <f t="shared" si="43"/>
        <v>4100.0585596106566</v>
      </c>
      <c r="AW17" s="71">
        <f t="shared" si="25"/>
        <v>0.74922406292434462</v>
      </c>
      <c r="AX17" s="72">
        <f t="shared" si="26"/>
        <v>9.8171959412071903</v>
      </c>
      <c r="AY17" s="88">
        <f t="shared" si="27"/>
        <v>0.58903175647243144</v>
      </c>
      <c r="AZ17" s="88"/>
      <c r="BA17" s="3">
        <v>16</v>
      </c>
      <c r="BB17" s="3" t="s">
        <v>81</v>
      </c>
      <c r="BC17" s="111">
        <v>16</v>
      </c>
      <c r="BD17" s="75">
        <f t="shared" si="28"/>
        <v>22211.762156934306</v>
      </c>
      <c r="BE17" s="160">
        <f t="shared" si="29"/>
        <v>0.1845895220128069</v>
      </c>
      <c r="BF17" s="3">
        <f>IF($BD17&gt;$AV17,(AS17/$BE17),(AS17*$BE17))</f>
        <v>13291.23356080679</v>
      </c>
      <c r="BG17" s="3">
        <f t="shared" si="31"/>
        <v>19038.743061165129</v>
      </c>
      <c r="BH17" s="3">
        <f t="shared" si="32"/>
        <v>24187.514374826762</v>
      </c>
      <c r="BI17" s="3">
        <f t="shared" si="33"/>
        <v>22211.762156934306</v>
      </c>
      <c r="BJ17" s="222">
        <v>4100.0585596106566</v>
      </c>
      <c r="BK17" s="71">
        <f t="shared" si="34"/>
        <v>0.7492240629243444</v>
      </c>
      <c r="BL17" s="72">
        <f t="shared" si="35"/>
        <v>53.183928503406975</v>
      </c>
      <c r="BM17" s="88">
        <f t="shared" si="36"/>
        <v>3.1910357102044187</v>
      </c>
      <c r="BN17" s="227">
        <v>0.58903175647243144</v>
      </c>
      <c r="BO17" s="234"/>
      <c r="BP17" s="237">
        <v>24</v>
      </c>
      <c r="BQ17" s="238" t="s">
        <v>81</v>
      </c>
      <c r="BR17" s="239">
        <f>AVERAGE(BC33:BC35)</f>
        <v>0</v>
      </c>
      <c r="BS17" s="239">
        <f>AVERAGE(BD33:BD35)</f>
        <v>7493.3468138039834</v>
      </c>
      <c r="BT17" s="239">
        <f>STDEV(BD33:BD35)/SQRT(3)</f>
        <v>167.81741609378523</v>
      </c>
      <c r="BU17" s="239">
        <f>AVERAGE(BJ33:BJ35)</f>
        <v>4518.4741287524266</v>
      </c>
      <c r="BV17" s="239">
        <f>STDEV(BJ33:BJ35)/SQRT(3)</f>
        <v>162.56248907192</v>
      </c>
      <c r="BW17" s="239">
        <f>AVERAGE(BM33:BM35)</f>
        <v>1.1208029305584724</v>
      </c>
      <c r="BX17" s="239">
        <f>STDEV(BM33:BM35)/SQRT(3)</f>
        <v>7.6562813569975907E-2</v>
      </c>
      <c r="BY17" s="240">
        <f>AVERAGE(BN33:BN35)</f>
        <v>0.67620966820978079</v>
      </c>
      <c r="BZ17" s="240">
        <f>STDEV(BN33:BN35)/SQRT(3)</f>
        <v>5.1529814965694025E-2</v>
      </c>
      <c r="CA17">
        <v>4.8100000000000005</v>
      </c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</row>
    <row r="18" spans="1:382">
      <c r="A18" s="3">
        <f>'Exptl Setup'!A26</f>
        <v>19</v>
      </c>
      <c r="B18" s="3" t="str">
        <f>'Exptl Setup'!C26</f>
        <v>a</v>
      </c>
      <c r="C18" s="3">
        <f>'Exptl Setup'!D26</f>
        <v>16</v>
      </c>
      <c r="D18" s="3" t="str">
        <f>'Exptl Setup'!E26</f>
        <v>+</v>
      </c>
      <c r="E18" s="75">
        <f>'Exptl Setup'!K26</f>
        <v>19.995610119464533</v>
      </c>
      <c r="F18" s="63">
        <f>'Exptl Setup'!F26</f>
        <v>32.003999999999998</v>
      </c>
      <c r="G18" s="64">
        <f>'Exptl Setup'!$C$5</f>
        <v>1.2793390913194711</v>
      </c>
      <c r="H18" s="7">
        <f t="shared" si="4"/>
        <v>25.016041655533289</v>
      </c>
      <c r="I18" s="8">
        <f t="shared" si="5"/>
        <v>9.4400157190691658</v>
      </c>
      <c r="J18" s="8">
        <f t="shared" si="6"/>
        <v>6.9879583444667084</v>
      </c>
      <c r="K18" s="8">
        <f>'Exptl Setup'!H26+'Exptl Setup'!I26+'Exptl Setup'!J26+5</f>
        <v>23.003024686832859</v>
      </c>
      <c r="L18" s="8">
        <f t="shared" si="7"/>
        <v>29.990983031299567</v>
      </c>
      <c r="M18" s="44">
        <v>300</v>
      </c>
      <c r="N18" s="85">
        <f t="shared" si="8"/>
        <v>260.56900124963124</v>
      </c>
      <c r="O18" s="193">
        <f>10^(-'Pre-DEA characterisation'!V19)</f>
        <v>1.4125375446227532E-9</v>
      </c>
      <c r="P18" s="66">
        <v>60</v>
      </c>
      <c r="Q18" s="30">
        <v>65.73</v>
      </c>
      <c r="R18" s="86">
        <f t="shared" si="9"/>
        <v>49.889070000000004</v>
      </c>
      <c r="S18" s="86">
        <f t="shared" si="10"/>
        <v>16288.576920085785</v>
      </c>
      <c r="T18" s="86">
        <f t="shared" si="11"/>
        <v>505.63763446644879</v>
      </c>
      <c r="U18" s="67">
        <f t="shared" si="12"/>
        <v>36979.298596750821</v>
      </c>
      <c r="V18" s="199">
        <f t="shared" si="13"/>
        <v>10085.263253659314</v>
      </c>
      <c r="W18" s="66">
        <v>120</v>
      </c>
      <c r="X18" s="30">
        <v>63.158000000000001</v>
      </c>
      <c r="Y18" s="86">
        <f t="shared" si="14"/>
        <v>47.936922000000003</v>
      </c>
      <c r="Z18" s="86">
        <f t="shared" si="15"/>
        <v>15651.208597577637</v>
      </c>
      <c r="AA18" s="86">
        <f t="shared" si="37"/>
        <v>485.85214845020505</v>
      </c>
      <c r="AB18" s="67">
        <f t="shared" si="16"/>
        <v>35532.307025309427</v>
      </c>
      <c r="AC18" s="199">
        <f t="shared" si="38"/>
        <v>9690.6291887207535</v>
      </c>
      <c r="AD18" s="66">
        <v>180</v>
      </c>
      <c r="AE18" s="30">
        <v>62.872</v>
      </c>
      <c r="AF18" s="86">
        <f t="shared" si="17"/>
        <v>47.719847999999999</v>
      </c>
      <c r="AG18" s="86">
        <f t="shared" si="18"/>
        <v>15580.334826101223</v>
      </c>
      <c r="AH18" s="86">
        <f t="shared" si="19"/>
        <v>483.65205163813431</v>
      </c>
      <c r="AI18" s="67">
        <f t="shared" si="20"/>
        <v>35371.405163166244</v>
      </c>
      <c r="AJ18" s="199">
        <f t="shared" si="39"/>
        <v>9646.7468626817026</v>
      </c>
      <c r="AK18" s="3">
        <v>240</v>
      </c>
      <c r="AL18" s="30">
        <v>63.158000000000001</v>
      </c>
      <c r="AM18" s="86">
        <f t="shared" si="21"/>
        <v>47.936922000000003</v>
      </c>
      <c r="AN18" s="86">
        <f t="shared" si="22"/>
        <v>15651.208597577637</v>
      </c>
      <c r="AO18" s="86">
        <f t="shared" si="23"/>
        <v>485.85214845020505</v>
      </c>
      <c r="AP18" s="67">
        <f t="shared" si="24"/>
        <v>35532.307025309427</v>
      </c>
      <c r="AQ18" s="199">
        <f t="shared" si="40"/>
        <v>9690.6291887207535</v>
      </c>
      <c r="AR18" s="199">
        <f>(((AL18*$N18*10^-3)*$E$3*$E$4)/($E$5*$E$6*$H18))*1000*(12/44)+'post-DEA dissolved CO2'!N16</f>
        <v>14394.069143402505</v>
      </c>
      <c r="AS18" s="87">
        <f t="shared" si="3"/>
        <v>10085.263253659314</v>
      </c>
      <c r="AT18" s="87">
        <f t="shared" si="41"/>
        <v>9690.6291887207535</v>
      </c>
      <c r="AU18" s="87">
        <f t="shared" si="42"/>
        <v>9646.7468626817026</v>
      </c>
      <c r="AV18" s="87">
        <f t="shared" si="43"/>
        <v>9690.6291887207535</v>
      </c>
      <c r="AW18" s="71">
        <f t="shared" si="25"/>
        <v>0.59393039387028768</v>
      </c>
      <c r="AX18" s="72">
        <f t="shared" si="26"/>
        <v>-2.0463075347578861</v>
      </c>
      <c r="AY18" s="88">
        <f t="shared" si="27"/>
        <v>-0.12277845208547317</v>
      </c>
      <c r="AZ18" s="88"/>
      <c r="BA18" s="3">
        <v>16</v>
      </c>
      <c r="BB18" s="3" t="s">
        <v>81</v>
      </c>
      <c r="BC18" s="111">
        <v>20</v>
      </c>
      <c r="BD18" s="75">
        <f t="shared" si="28"/>
        <v>14394.069143402505</v>
      </c>
      <c r="BE18" s="160">
        <f t="shared" si="29"/>
        <v>0.67323764337775438</v>
      </c>
      <c r="BF18" s="3">
        <f t="shared" si="30"/>
        <v>14980.242642196496</v>
      </c>
      <c r="BG18" s="3">
        <f t="shared" si="31"/>
        <v>14394.069143402505</v>
      </c>
      <c r="BH18" s="3">
        <f t="shared" si="32"/>
        <v>14328.888108933181</v>
      </c>
      <c r="BI18" s="3">
        <f t="shared" si="33"/>
        <v>14394.069143402505</v>
      </c>
      <c r="BJ18" s="222">
        <v>9690.6291887207535</v>
      </c>
      <c r="BK18" s="71">
        <f t="shared" si="34"/>
        <v>0.59393039387028712</v>
      </c>
      <c r="BL18" s="72">
        <f t="shared" si="35"/>
        <v>-3.0395025514188276</v>
      </c>
      <c r="BM18" s="88">
        <f t="shared" si="36"/>
        <v>-0.18237015308512966</v>
      </c>
      <c r="BN18" s="227">
        <v>-0.12277845208547317</v>
      </c>
      <c r="BO18" s="234"/>
      <c r="BP18" s="241">
        <v>24</v>
      </c>
      <c r="BQ18" s="30" t="s">
        <v>81</v>
      </c>
      <c r="BR18" s="231">
        <f>AVERAGE(BC36:BC38)</f>
        <v>5.9996203632613154</v>
      </c>
      <c r="BS18" s="231">
        <f>AVERAGE(BD36:BD38)</f>
        <v>22161.470499484571</v>
      </c>
      <c r="BT18" s="231">
        <f>STDEV(BD36:BD38)/SQRT(3)</f>
        <v>822.90111406443327</v>
      </c>
      <c r="BU18" s="231">
        <f>AVERAGE(BJ36:BJ38)</f>
        <v>20145.597264757267</v>
      </c>
      <c r="BV18" s="231">
        <f>STDEV(BJ36:BJ38)/SQRT(3)</f>
        <v>858.52935469536249</v>
      </c>
      <c r="BW18" s="231">
        <f>AVERAGE(BM36:BM38)</f>
        <v>2.2868612364742877</v>
      </c>
      <c r="BX18" s="231">
        <f>STDEV(BM36:BM38)/SQRT(3)</f>
        <v>6.4827452350574674E-2</v>
      </c>
      <c r="BY18" s="242">
        <f>AVERAGE(BN36:BN38)</f>
        <v>2.07754629877549</v>
      </c>
      <c r="BZ18" s="242">
        <f>STDEV(BN36:BN38)/SQRT(3)</f>
        <v>5.014189183316152E-2</v>
      </c>
      <c r="CA18">
        <v>6.67</v>
      </c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</row>
    <row r="19" spans="1:382">
      <c r="A19" s="3">
        <f>'Exptl Setup'!A27</f>
        <v>20</v>
      </c>
      <c r="B19" s="3" t="str">
        <f>'Exptl Setup'!C27</f>
        <v>b</v>
      </c>
      <c r="C19" s="3">
        <f>'Exptl Setup'!D27</f>
        <v>16</v>
      </c>
      <c r="D19" s="3" t="str">
        <f>'Exptl Setup'!E27</f>
        <v>+</v>
      </c>
      <c r="E19" s="75">
        <f>'Exptl Setup'!K27</f>
        <v>19.996859766994024</v>
      </c>
      <c r="F19" s="63">
        <f>'Exptl Setup'!F27</f>
        <v>32.002000000000002</v>
      </c>
      <c r="G19" s="64">
        <f>'Exptl Setup'!$C$5</f>
        <v>1.2793390913194711</v>
      </c>
      <c r="H19" s="7">
        <f t="shared" si="4"/>
        <v>25.014478348343221</v>
      </c>
      <c r="I19" s="8">
        <f t="shared" si="5"/>
        <v>9.439425791827631</v>
      </c>
      <c r="J19" s="8">
        <f t="shared" si="6"/>
        <v>6.9875216516567811</v>
      </c>
      <c r="K19" s="8">
        <f>'Exptl Setup'!H27+'Exptl Setup'!I27+'Exptl Setup'!J27+5</f>
        <v>23.003024686832859</v>
      </c>
      <c r="L19" s="8">
        <f t="shared" si="7"/>
        <v>29.99054633848964</v>
      </c>
      <c r="M19" s="44">
        <v>300</v>
      </c>
      <c r="N19" s="85">
        <f t="shared" si="8"/>
        <v>260.57002786968275</v>
      </c>
      <c r="O19" s="193">
        <f>10^(-'Pre-DEA characterisation'!V20)</f>
        <v>1.4125375446227532E-9</v>
      </c>
      <c r="P19" s="66">
        <v>60</v>
      </c>
      <c r="Q19" s="30">
        <v>65.158000000000001</v>
      </c>
      <c r="R19" s="86">
        <f t="shared" si="9"/>
        <v>49.454922000000003</v>
      </c>
      <c r="S19" s="86">
        <f t="shared" si="10"/>
        <v>16146.829377132963</v>
      </c>
      <c r="T19" s="86">
        <f t="shared" si="11"/>
        <v>501.23045653052475</v>
      </c>
      <c r="U19" s="67">
        <f t="shared" si="12"/>
        <v>36659.275000186761</v>
      </c>
      <c r="V19" s="199">
        <f t="shared" si="13"/>
        <v>9997.9840909600262</v>
      </c>
      <c r="W19" s="66">
        <v>120</v>
      </c>
      <c r="X19" s="30">
        <v>63.728999999999999</v>
      </c>
      <c r="Y19" s="86">
        <f t="shared" si="14"/>
        <v>48.370311000000001</v>
      </c>
      <c r="Z19" s="86">
        <f t="shared" si="15"/>
        <v>15792.708330140682</v>
      </c>
      <c r="AA19" s="86">
        <f t="shared" si="37"/>
        <v>490.23781829144247</v>
      </c>
      <c r="AB19" s="67">
        <f t="shared" si="16"/>
        <v>35855.289242869672</v>
      </c>
      <c r="AC19" s="199">
        <f t="shared" si="38"/>
        <v>9778.715248055365</v>
      </c>
      <c r="AD19" s="66">
        <v>180</v>
      </c>
      <c r="AE19" s="30">
        <v>62.872</v>
      </c>
      <c r="AF19" s="86">
        <f t="shared" si="17"/>
        <v>47.719847999999999</v>
      </c>
      <c r="AG19" s="86">
        <f t="shared" si="18"/>
        <v>15580.334826101223</v>
      </c>
      <c r="AH19" s="86">
        <f t="shared" si="19"/>
        <v>483.64531236359539</v>
      </c>
      <c r="AI19" s="67">
        <f t="shared" si="20"/>
        <v>35373.122836976909</v>
      </c>
      <c r="AJ19" s="199">
        <f t="shared" si="39"/>
        <v>9647.2153191755206</v>
      </c>
      <c r="AK19" s="3">
        <v>240</v>
      </c>
      <c r="AL19" s="30">
        <v>64.587000000000003</v>
      </c>
      <c r="AM19" s="86">
        <f t="shared" si="21"/>
        <v>49.021533000000005</v>
      </c>
      <c r="AN19" s="86">
        <f t="shared" si="22"/>
        <v>16005.329644569916</v>
      </c>
      <c r="AO19" s="86">
        <f t="shared" si="23"/>
        <v>496.83801675829523</v>
      </c>
      <c r="AP19" s="67">
        <f t="shared" si="24"/>
        <v>36338.01827000617</v>
      </c>
      <c r="AQ19" s="199">
        <f t="shared" si="40"/>
        <v>9910.3686190925928</v>
      </c>
      <c r="AR19" s="199">
        <f>(((AL19*$N19*10^-3)*$E$3*$E$4)/($E$5*$E$6*$H19))*1000*(12/44)+'post-DEA dissolved CO2'!N17</f>
        <v>16969.080510409203</v>
      </c>
      <c r="AS19" s="87">
        <f t="shared" si="3"/>
        <v>9997.9840909600262</v>
      </c>
      <c r="AT19" s="87">
        <f t="shared" si="41"/>
        <v>9778.715248055365</v>
      </c>
      <c r="AU19" s="87">
        <f t="shared" si="42"/>
        <v>9647.2153191755206</v>
      </c>
      <c r="AV19" s="87">
        <f t="shared" si="43"/>
        <v>9910.3686190925928</v>
      </c>
      <c r="AW19" s="71">
        <f t="shared" si="25"/>
        <v>0.11002925606436237</v>
      </c>
      <c r="AX19" s="72">
        <f>SLOPE(AS19:AV19,AS$8:AV$8)</f>
        <v>-0.65724390747024097</v>
      </c>
      <c r="AY19" s="88">
        <f t="shared" si="27"/>
        <v>-3.9434634448214462E-2</v>
      </c>
      <c r="AZ19" s="88"/>
      <c r="BA19" s="3">
        <v>16</v>
      </c>
      <c r="BB19" s="3" t="s">
        <v>81</v>
      </c>
      <c r="BC19" s="111">
        <v>20</v>
      </c>
      <c r="BD19" s="75">
        <f t="shared" si="28"/>
        <v>16969.080510409203</v>
      </c>
      <c r="BE19" s="160">
        <f t="shared" si="29"/>
        <v>0.58402508097084915</v>
      </c>
      <c r="BF19" s="3">
        <f t="shared" si="30"/>
        <v>17119.10056044162</v>
      </c>
      <c r="BG19" s="3">
        <f t="shared" si="31"/>
        <v>16743.656337155589</v>
      </c>
      <c r="BH19" s="3">
        <f t="shared" si="32"/>
        <v>16518.494896038632</v>
      </c>
      <c r="BI19" s="3">
        <f t="shared" si="33"/>
        <v>16969.080510409203</v>
      </c>
      <c r="BJ19" s="222">
        <v>9910.3686190925928</v>
      </c>
      <c r="BK19" s="71">
        <f t="shared" si="34"/>
        <v>0.11002925606436167</v>
      </c>
      <c r="BL19" s="72">
        <f t="shared" si="35"/>
        <v>-1.1253693186903486</v>
      </c>
      <c r="BM19" s="88">
        <f t="shared" si="36"/>
        <v>-6.7522159121420913E-2</v>
      </c>
      <c r="BN19" s="227">
        <v>-3.9434634448214462E-2</v>
      </c>
      <c r="BO19" s="234"/>
      <c r="BP19" s="241">
        <v>24</v>
      </c>
      <c r="BQ19" s="30" t="s">
        <v>81</v>
      </c>
      <c r="BR19" s="231">
        <f>AVERAGE(BC39:BC41)</f>
        <v>15.997821313308949</v>
      </c>
      <c r="BS19" s="231">
        <f>AVERAGE(BD39:BD41)</f>
        <v>39078.956220951375</v>
      </c>
      <c r="BT19" s="231">
        <f>STDEV(BD39:BD41)/SQRT(3)</f>
        <v>1703.069773651094</v>
      </c>
      <c r="BU19" s="231">
        <f>AVERAGE(BJ39:BJ41)</f>
        <v>43598.689703374701</v>
      </c>
      <c r="BV19" s="231">
        <f>STDEV(BJ39:BJ41)/SQRT(3)</f>
        <v>3584.3010324394495</v>
      </c>
      <c r="BW19" s="231">
        <f>AVERAGE(BM39,BM41)</f>
        <v>3.5561568303603726</v>
      </c>
      <c r="BX19" s="231">
        <f>STDEV(BM39,BM41)/SQRT(3)</f>
        <v>0.30537322537892053</v>
      </c>
      <c r="BY19" s="242">
        <f>AVERAGE(BN39,BN41)</f>
        <v>3.9157364043698255</v>
      </c>
      <c r="BZ19" s="242">
        <f>STDEV(BN39,BN41)/SQRT(3)</f>
        <v>0.59489828368187192</v>
      </c>
      <c r="CA19">
        <v>8.3099999999999987</v>
      </c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</row>
    <row r="20" spans="1:382">
      <c r="A20" s="3">
        <f>'Exptl Setup'!A28</f>
        <v>21</v>
      </c>
      <c r="B20" s="3" t="str">
        <f>'Exptl Setup'!C28</f>
        <v>c</v>
      </c>
      <c r="C20" s="3">
        <f>'Exptl Setup'!D28</f>
        <v>16</v>
      </c>
      <c r="D20" s="3" t="str">
        <f>'Exptl Setup'!E28</f>
        <v>+</v>
      </c>
      <c r="E20" s="75">
        <f>'Exptl Setup'!K28</f>
        <v>20.001234763661284</v>
      </c>
      <c r="F20" s="63">
        <f>'Exptl Setup'!F28</f>
        <v>31.995000000000001</v>
      </c>
      <c r="G20" s="64">
        <f>'Exptl Setup'!$C$5</f>
        <v>1.2793390913194711</v>
      </c>
      <c r="H20" s="7">
        <f t="shared" si="4"/>
        <v>25.009006773177969</v>
      </c>
      <c r="I20" s="8">
        <f t="shared" si="5"/>
        <v>9.4373610464822519</v>
      </c>
      <c r="J20" s="8">
        <f t="shared" si="6"/>
        <v>6.9859932268220319</v>
      </c>
      <c r="K20" s="8">
        <f>'Exptl Setup'!H28+'Exptl Setup'!I28+'Exptl Setup'!J28+5</f>
        <v>23.003024686832859</v>
      </c>
      <c r="L20" s="8">
        <f t="shared" si="7"/>
        <v>29.989017913654891</v>
      </c>
      <c r="M20" s="44">
        <v>300</v>
      </c>
      <c r="N20" s="85">
        <f t="shared" si="8"/>
        <v>260.57362103986287</v>
      </c>
      <c r="O20" s="193">
        <f>10^(-'Pre-DEA characterisation'!V21)</f>
        <v>1.4125375446227532E-9</v>
      </c>
      <c r="P20" s="66">
        <v>60</v>
      </c>
      <c r="Q20" s="30">
        <v>65.444000000000003</v>
      </c>
      <c r="R20" s="86">
        <f t="shared" si="9"/>
        <v>49.671996</v>
      </c>
      <c r="S20" s="86">
        <f t="shared" si="10"/>
        <v>16217.703148609373</v>
      </c>
      <c r="T20" s="86">
        <f t="shared" si="11"/>
        <v>503.40597029731657</v>
      </c>
      <c r="U20" s="67">
        <f t="shared" si="12"/>
        <v>36826.444230698165</v>
      </c>
      <c r="V20" s="199">
        <f t="shared" si="13"/>
        <v>10043.575699281319</v>
      </c>
      <c r="W20" s="66">
        <v>120</v>
      </c>
      <c r="X20" s="30">
        <v>64.301000000000002</v>
      </c>
      <c r="Y20" s="86">
        <f t="shared" si="14"/>
        <v>48.804459000000001</v>
      </c>
      <c r="Z20" s="86">
        <f t="shared" si="15"/>
        <v>15934.455873093506</v>
      </c>
      <c r="AA20" s="86">
        <f t="shared" si="37"/>
        <v>494.61382702902881</v>
      </c>
      <c r="AB20" s="67">
        <f t="shared" si="16"/>
        <v>36183.258824004093</v>
      </c>
      <c r="AC20" s="199">
        <f t="shared" si="38"/>
        <v>9868.1614974556614</v>
      </c>
      <c r="AD20" s="66">
        <v>180</v>
      </c>
      <c r="AE20" s="30">
        <v>64.015000000000001</v>
      </c>
      <c r="AF20" s="86">
        <f t="shared" si="17"/>
        <v>48.587384999999998</v>
      </c>
      <c r="AG20" s="86">
        <f t="shared" si="18"/>
        <v>15863.582101617092</v>
      </c>
      <c r="AH20" s="86">
        <f t="shared" si="19"/>
        <v>492.41386817099692</v>
      </c>
      <c r="AI20" s="67">
        <f t="shared" si="20"/>
        <v>36022.321793107752</v>
      </c>
      <c r="AJ20" s="199">
        <f t="shared" si="39"/>
        <v>9824.2695799384783</v>
      </c>
      <c r="AK20" s="3">
        <v>240</v>
      </c>
      <c r="AL20" s="30">
        <v>66.587000000000003</v>
      </c>
      <c r="AM20" s="86">
        <f t="shared" si="21"/>
        <v>50.539533000000006</v>
      </c>
      <c r="AN20" s="86">
        <f t="shared" si="22"/>
        <v>16500.950424125243</v>
      </c>
      <c r="AO20" s="86">
        <f t="shared" si="23"/>
        <v>512.19811356560456</v>
      </c>
      <c r="AP20" s="67">
        <f t="shared" si="24"/>
        <v>37469.629637392267</v>
      </c>
      <c r="AQ20" s="199">
        <f t="shared" si="40"/>
        <v>10218.989901106981</v>
      </c>
      <c r="AR20" s="199">
        <f>(((AL20*$N20*10^-3)*$E$3*$E$4)/($E$5*$E$6*$H20))*1000*(12/44)+'post-DEA dissolved CO2'!N18</f>
        <v>17508.473944365775</v>
      </c>
      <c r="AS20" s="87">
        <f t="shared" si="3"/>
        <v>10043.575699281319</v>
      </c>
      <c r="AT20" s="87">
        <f t="shared" si="41"/>
        <v>9868.1614974556614</v>
      </c>
      <c r="AU20" s="87">
        <f t="shared" si="42"/>
        <v>9824.2695799384783</v>
      </c>
      <c r="AV20" s="87">
        <f t="shared" si="43"/>
        <v>10218.989901106981</v>
      </c>
      <c r="AW20" s="71">
        <f t="shared" si="25"/>
        <v>0.11917744996822854</v>
      </c>
      <c r="AX20" s="72">
        <f t="shared" si="26"/>
        <v>0.80391781326634071</v>
      </c>
      <c r="AY20" s="88">
        <f t="shared" si="27"/>
        <v>4.823506879598044E-2</v>
      </c>
      <c r="AZ20" s="88"/>
      <c r="BA20" s="3">
        <v>16</v>
      </c>
      <c r="BB20" s="3" t="s">
        <v>81</v>
      </c>
      <c r="BC20" s="111">
        <v>20</v>
      </c>
      <c r="BD20" s="75">
        <f t="shared" si="28"/>
        <v>17508.473944365775</v>
      </c>
      <c r="BE20" s="160">
        <f t="shared" si="29"/>
        <v>0.5836596572367434</v>
      </c>
      <c r="BF20" s="3">
        <f t="shared" si="30"/>
        <v>17207.932010979224</v>
      </c>
      <c r="BG20" s="3">
        <f t="shared" si="31"/>
        <v>16907.390077592681</v>
      </c>
      <c r="BH20" s="3">
        <f t="shared" si="32"/>
        <v>16832.188858915033</v>
      </c>
      <c r="BI20" s="3">
        <f t="shared" si="33"/>
        <v>17508.473944365775</v>
      </c>
      <c r="BJ20" s="222">
        <v>10218.989901106981</v>
      </c>
      <c r="BK20" s="71">
        <f t="shared" si="34"/>
        <v>0.119177449968229</v>
      </c>
      <c r="BL20" s="72">
        <f t="shared" si="35"/>
        <v>1.377374302470004</v>
      </c>
      <c r="BM20" s="88">
        <f t="shared" si="36"/>
        <v>8.2642458148200246E-2</v>
      </c>
      <c r="BN20" s="227">
        <v>4.823506879598044E-2</v>
      </c>
      <c r="BO20" s="234"/>
      <c r="BP20" s="241">
        <v>24</v>
      </c>
      <c r="BQ20" s="30" t="s">
        <v>81</v>
      </c>
      <c r="BR20" s="231">
        <f>AVERAGE(BC42:BC44)</f>
        <v>19.999359569765044</v>
      </c>
      <c r="BS20" s="231">
        <f>AVERAGE(BD42:BD44)</f>
        <v>13169.171041200303</v>
      </c>
      <c r="BT20" s="231">
        <f>STDEV(BD42:BD44)/SQRT(3)</f>
        <v>149.58668453102871</v>
      </c>
      <c r="BU20" s="231">
        <f>AVERAGE(BJ42:BJ44)</f>
        <v>17452.469346133326</v>
      </c>
      <c r="BV20" s="231">
        <f>STDEV(BJ42:BJ44)/SQRT(3)</f>
        <v>915.77301171877809</v>
      </c>
      <c r="BW20" s="231">
        <f>AVERAGE(BM42:BM44)</f>
        <v>-0.4806398691592883</v>
      </c>
      <c r="BX20" s="231">
        <f>STDEV(BM42:BM44)/SQRT(3)</f>
        <v>0.73072164580523624</v>
      </c>
      <c r="BY20" s="242">
        <f>AVERAGE(BN42:BN44)</f>
        <v>-0.58678315683228199</v>
      </c>
      <c r="BZ20" s="242">
        <f>STDEV(BN42:BN44)/SQRT(3)</f>
        <v>0.95295087918238675</v>
      </c>
      <c r="CA20">
        <v>8.9699999999999989</v>
      </c>
      <c r="CC20" s="271"/>
      <c r="CD20" s="270"/>
      <c r="CE20" s="3" t="s">
        <v>23</v>
      </c>
      <c r="CF20" s="270"/>
      <c r="CG20" s="270"/>
      <c r="CH20" s="270"/>
      <c r="CI20" s="270"/>
      <c r="CJ20" s="270"/>
      <c r="CK20" s="270"/>
      <c r="CL20" s="27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</row>
    <row r="21" spans="1:382">
      <c r="A21" s="3">
        <f>'Exptl Setup'!A32</f>
        <v>25</v>
      </c>
      <c r="B21" s="3" t="str">
        <f>'Exptl Setup'!C32</f>
        <v>a</v>
      </c>
      <c r="C21" s="3">
        <f>'Exptl Setup'!D32</f>
        <v>16</v>
      </c>
      <c r="D21" s="3" t="str">
        <f>'Exptl Setup'!E32</f>
        <v>-</v>
      </c>
      <c r="E21" s="75">
        <f>'Exptl Setup'!K32</f>
        <v>0</v>
      </c>
      <c r="F21" s="63">
        <f>'Exptl Setup'!F32</f>
        <v>31.997</v>
      </c>
      <c r="G21" s="64">
        <f>'Exptl Setup'!$C$5</f>
        <v>1.2793390913194711</v>
      </c>
      <c r="H21" s="7">
        <f t="shared" si="4"/>
        <v>25.010570080368041</v>
      </c>
      <c r="I21" s="8">
        <f t="shared" si="5"/>
        <v>9.4379509737237886</v>
      </c>
      <c r="J21" s="8">
        <f t="shared" si="6"/>
        <v>6.9864299196319593</v>
      </c>
      <c r="K21" s="8">
        <f>'Exptl Setup'!H32+'Exptl Setup'!I32+'Exptl Setup'!J32+5</f>
        <v>23.003024686832859</v>
      </c>
      <c r="L21" s="8">
        <f t="shared" si="7"/>
        <v>29.989454606464818</v>
      </c>
      <c r="M21" s="44">
        <v>300</v>
      </c>
      <c r="N21" s="85">
        <f t="shared" si="8"/>
        <v>260.57259441981137</v>
      </c>
      <c r="O21" s="193">
        <f>10^(-'Pre-DEA characterisation'!V22)</f>
        <v>1.8197008586099817E-5</v>
      </c>
      <c r="P21" s="66">
        <v>60</v>
      </c>
      <c r="Q21" s="30">
        <v>136.88999999999999</v>
      </c>
      <c r="R21" s="86">
        <f t="shared" si="9"/>
        <v>103.89950999999999</v>
      </c>
      <c r="S21" s="86">
        <f t="shared" si="10"/>
        <v>106.44033427315382</v>
      </c>
      <c r="T21" s="86">
        <f t="shared" si="11"/>
        <v>38.861870023109667</v>
      </c>
      <c r="U21" s="67">
        <f t="shared" si="12"/>
        <v>2842.7454552128697</v>
      </c>
      <c r="V21" s="199">
        <f t="shared" si="13"/>
        <v>775.29421505805544</v>
      </c>
      <c r="W21" s="66">
        <v>120</v>
      </c>
      <c r="X21" s="30">
        <v>194.33199999999999</v>
      </c>
      <c r="Y21" s="86">
        <f t="shared" si="14"/>
        <v>147.49798799999999</v>
      </c>
      <c r="Z21" s="86">
        <f t="shared" si="15"/>
        <v>151.10499700467915</v>
      </c>
      <c r="AA21" s="86">
        <f t="shared" si="37"/>
        <v>55.169149867272615</v>
      </c>
      <c r="AB21" s="67">
        <f t="shared" si="16"/>
        <v>4035.6228344103106</v>
      </c>
      <c r="AC21" s="199">
        <f t="shared" si="38"/>
        <v>1100.6244093846301</v>
      </c>
      <c r="AD21" s="66">
        <v>180</v>
      </c>
      <c r="AE21" s="30">
        <v>243.48699999999999</v>
      </c>
      <c r="AF21" s="86">
        <f t="shared" si="17"/>
        <v>184.80663300000001</v>
      </c>
      <c r="AG21" s="86">
        <f t="shared" si="18"/>
        <v>189.32601118538543</v>
      </c>
      <c r="AH21" s="86">
        <f t="shared" si="19"/>
        <v>69.123823115763784</v>
      </c>
      <c r="AI21" s="67">
        <f t="shared" si="20"/>
        <v>5056.4070615341952</v>
      </c>
      <c r="AJ21" s="199">
        <f t="shared" si="39"/>
        <v>1379.0201076911442</v>
      </c>
      <c r="AK21" s="3">
        <v>240</v>
      </c>
      <c r="AL21" s="30">
        <v>300.072</v>
      </c>
      <c r="AM21" s="86">
        <f t="shared" si="21"/>
        <v>227.754648</v>
      </c>
      <c r="AN21" s="86">
        <f t="shared" si="22"/>
        <v>233.32430408367171</v>
      </c>
      <c r="AO21" s="86">
        <f t="shared" si="23"/>
        <v>85.187808178643905</v>
      </c>
      <c r="AP21" s="67">
        <f t="shared" si="24"/>
        <v>6231.4874295904474</v>
      </c>
      <c r="AQ21" s="199">
        <f t="shared" si="40"/>
        <v>1699.4965717064856</v>
      </c>
      <c r="AR21" s="199">
        <f>(((AL21*$N21*10^-3)*$E$3*$E$4)/($E$5*$E$6*$H21))*1000*(12/44)+'post-DEA dissolved CO2'!N19</f>
        <v>6722.9592464318694</v>
      </c>
      <c r="AS21" s="87">
        <f t="shared" si="3"/>
        <v>775.29421505805544</v>
      </c>
      <c r="AT21" s="87">
        <f t="shared" si="41"/>
        <v>1100.6244093846301</v>
      </c>
      <c r="AU21" s="87">
        <f t="shared" si="42"/>
        <v>1379.0201076911442</v>
      </c>
      <c r="AV21" s="87">
        <f t="shared" si="43"/>
        <v>1699.4965717064856</v>
      </c>
      <c r="AW21" s="71">
        <f t="shared" si="25"/>
        <v>0.99913686762999598</v>
      </c>
      <c r="AX21" s="72">
        <f t="shared" si="26"/>
        <v>5.0850046137530081</v>
      </c>
      <c r="AY21" s="88">
        <f t="shared" si="27"/>
        <v>0.30510027682518048</v>
      </c>
      <c r="AZ21" s="88"/>
      <c r="BA21" s="3">
        <v>16</v>
      </c>
      <c r="BB21" s="3" t="s">
        <v>82</v>
      </c>
      <c r="BC21" s="111">
        <v>0</v>
      </c>
      <c r="BD21" s="75">
        <f t="shared" si="28"/>
        <v>6722.9592464318694</v>
      </c>
      <c r="BE21" s="160">
        <f t="shared" si="29"/>
        <v>0.25278995594216536</v>
      </c>
      <c r="BF21" s="3">
        <f t="shared" si="30"/>
        <v>3066.9502360902006</v>
      </c>
      <c r="BG21" s="3">
        <f t="shared" si="31"/>
        <v>4353.9087828174506</v>
      </c>
      <c r="BH21" s="3">
        <f t="shared" si="32"/>
        <v>5455.2013451303574</v>
      </c>
      <c r="BI21" s="3">
        <f t="shared" si="33"/>
        <v>6722.9592464318703</v>
      </c>
      <c r="BJ21" s="222">
        <v>1699.4965717064856</v>
      </c>
      <c r="BK21" s="71">
        <f t="shared" si="34"/>
        <v>0.99913686762999621</v>
      </c>
      <c r="BL21" s="72">
        <f t="shared" si="35"/>
        <v>20.115532655563193</v>
      </c>
      <c r="BM21" s="88">
        <f t="shared" si="36"/>
        <v>1.2069319593337917</v>
      </c>
      <c r="BN21" s="227">
        <v>0.30510027682518048</v>
      </c>
      <c r="BO21" s="234"/>
      <c r="BP21" s="241">
        <v>24</v>
      </c>
      <c r="BQ21" s="30" t="s">
        <v>82</v>
      </c>
      <c r="BR21" s="231">
        <f>AVERAGE(BC45:BC47)</f>
        <v>0</v>
      </c>
      <c r="BS21" s="231">
        <f>AVERAGE(BD45:BD46)</f>
        <v>7925.6147520913664</v>
      </c>
      <c r="BT21" s="231">
        <f>STDEV(BD45:BD46)/SQRT(3)</f>
        <v>152.61345782300634</v>
      </c>
      <c r="BU21" s="231">
        <f>AVERAGE(BJ45:BJ46)</f>
        <v>4248.9944179868326</v>
      </c>
      <c r="BV21" s="231">
        <f>STDEV(BJ45:BJ46)/SQRT(3)</f>
        <v>184.16373473071647</v>
      </c>
      <c r="BW21" s="231">
        <f>AVERAGE(BM45:BM46)</f>
        <v>1.2176412129883658</v>
      </c>
      <c r="BX21" s="231">
        <f>STDEV(BM45:BM46)/SQRT(3)</f>
        <v>5.6003806101522197E-2</v>
      </c>
      <c r="BY21" s="242">
        <f>AVERAGE(BN45:BN46)</f>
        <v>0.65124875707460494</v>
      </c>
      <c r="BZ21" s="242">
        <f>STDEV(BN45:BN46)/SQRT(3)</f>
        <v>1.4270669774308541E-2</v>
      </c>
      <c r="CA21">
        <v>4.7149999999999999</v>
      </c>
      <c r="CC21" s="174" t="s">
        <v>80</v>
      </c>
      <c r="CD21" s="3" t="s">
        <v>22</v>
      </c>
      <c r="CE21" s="250">
        <v>16</v>
      </c>
      <c r="CF21" s="251">
        <v>24</v>
      </c>
      <c r="CG21" s="251">
        <v>32</v>
      </c>
      <c r="CH21" s="251">
        <v>40</v>
      </c>
      <c r="CI21" s="252">
        <v>48</v>
      </c>
      <c r="CJ21" s="270"/>
      <c r="CK21" s="270"/>
      <c r="CL21" s="270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</row>
    <row r="22" spans="1:382">
      <c r="A22" s="3">
        <f>'Exptl Setup'!A33</f>
        <v>26</v>
      </c>
      <c r="B22" s="3" t="str">
        <f>'Exptl Setup'!C33</f>
        <v>b</v>
      </c>
      <c r="C22" s="3">
        <f>'Exptl Setup'!D33</f>
        <v>16</v>
      </c>
      <c r="D22" s="3" t="str">
        <f>'Exptl Setup'!E33</f>
        <v>-</v>
      </c>
      <c r="E22" s="75">
        <f>'Exptl Setup'!K33</f>
        <v>0</v>
      </c>
      <c r="F22" s="63">
        <f>'Exptl Setup'!F33</f>
        <v>32.006</v>
      </c>
      <c r="G22" s="64">
        <f>'Exptl Setup'!$C$5</f>
        <v>1.2793390913194711</v>
      </c>
      <c r="H22" s="7">
        <f t="shared" si="4"/>
        <v>25.017604962723365</v>
      </c>
      <c r="I22" s="8">
        <f t="shared" si="5"/>
        <v>9.4406056463107042</v>
      </c>
      <c r="J22" s="8">
        <f t="shared" si="6"/>
        <v>6.9883950372766357</v>
      </c>
      <c r="K22" s="8">
        <f>'Exptl Setup'!H33+'Exptl Setup'!I33+'Exptl Setup'!J33+5</f>
        <v>23.003024686832859</v>
      </c>
      <c r="L22" s="8">
        <f t="shared" si="7"/>
        <v>29.991419724109495</v>
      </c>
      <c r="M22" s="44">
        <v>300</v>
      </c>
      <c r="N22" s="85">
        <f t="shared" si="8"/>
        <v>260.56797462957979</v>
      </c>
      <c r="O22" s="193">
        <f>10^(-'Pre-DEA characterisation'!V23)</f>
        <v>1.8197008586099817E-5</v>
      </c>
      <c r="P22" s="66">
        <v>60</v>
      </c>
      <c r="Q22" s="30">
        <v>146.892</v>
      </c>
      <c r="R22" s="86">
        <f t="shared" si="9"/>
        <v>111.491028</v>
      </c>
      <c r="S22" s="86">
        <f t="shared" si="10"/>
        <v>114.21750005151664</v>
      </c>
      <c r="T22" s="86">
        <f t="shared" si="11"/>
        <v>41.70089591317177</v>
      </c>
      <c r="U22" s="67">
        <f t="shared" si="12"/>
        <v>3049.5624046110374</v>
      </c>
      <c r="V22" s="199">
        <f t="shared" si="13"/>
        <v>831.69883762119207</v>
      </c>
      <c r="W22" s="66">
        <v>120</v>
      </c>
      <c r="X22" s="30">
        <v>186.61600000000001</v>
      </c>
      <c r="Y22" s="86">
        <f t="shared" si="14"/>
        <v>141.64154400000001</v>
      </c>
      <c r="Z22" s="86">
        <f t="shared" si="15"/>
        <v>145.10533582233089</v>
      </c>
      <c r="AA22" s="86">
        <f t="shared" si="37"/>
        <v>52.978068184329054</v>
      </c>
      <c r="AB22" s="67">
        <f t="shared" si="16"/>
        <v>3874.2554917823531</v>
      </c>
      <c r="AC22" s="199">
        <f t="shared" si="38"/>
        <v>1056.6151341224599</v>
      </c>
      <c r="AD22" s="66">
        <v>180</v>
      </c>
      <c r="AE22" s="30">
        <v>240.34299999999999</v>
      </c>
      <c r="AF22" s="86">
        <f t="shared" si="17"/>
        <v>182.42033699999999</v>
      </c>
      <c r="AG22" s="86">
        <f t="shared" si="18"/>
        <v>186.88135919506618</v>
      </c>
      <c r="AH22" s="86">
        <f t="shared" si="19"/>
        <v>68.230526008628388</v>
      </c>
      <c r="AI22" s="67">
        <f t="shared" si="20"/>
        <v>4989.6589127483485</v>
      </c>
      <c r="AJ22" s="199">
        <f t="shared" si="39"/>
        <v>1360.8160671131859</v>
      </c>
      <c r="AK22" s="3">
        <v>240</v>
      </c>
      <c r="AL22" s="30">
        <v>283.20999999999998</v>
      </c>
      <c r="AM22" s="86">
        <f t="shared" si="21"/>
        <v>214.95639</v>
      </c>
      <c r="AN22" s="86">
        <f t="shared" si="22"/>
        <v>220.213069395134</v>
      </c>
      <c r="AO22" s="86">
        <f t="shared" si="23"/>
        <v>80.399958687807199</v>
      </c>
      <c r="AP22" s="67">
        <f t="shared" si="24"/>
        <v>5879.6024876092079</v>
      </c>
      <c r="AQ22" s="199">
        <f t="shared" si="40"/>
        <v>1603.5279511661474</v>
      </c>
      <c r="AR22" s="199">
        <f>(((AL22*$N22*10^-3)*$E$3*$E$4)/($E$5*$E$6*$H22))*1000*(12/44)+'post-DEA dissolved CO2'!N20</f>
        <v>6594.2958743102627</v>
      </c>
      <c r="AS22" s="87">
        <f t="shared" si="3"/>
        <v>831.69883762119207</v>
      </c>
      <c r="AT22" s="87">
        <f t="shared" si="41"/>
        <v>1056.6151341224599</v>
      </c>
      <c r="AU22" s="87">
        <f t="shared" si="42"/>
        <v>1360.8160671131859</v>
      </c>
      <c r="AV22" s="87">
        <f t="shared" si="43"/>
        <v>1603.5279511661474</v>
      </c>
      <c r="AW22" s="71">
        <f t="shared" si="25"/>
        <v>0.99689132406729197</v>
      </c>
      <c r="AX22" s="72">
        <f t="shared" si="26"/>
        <v>4.3661471227093198</v>
      </c>
      <c r="AY22" s="88">
        <f t="shared" si="27"/>
        <v>0.26196882736255916</v>
      </c>
      <c r="AZ22" s="88"/>
      <c r="BA22" s="3">
        <v>16</v>
      </c>
      <c r="BB22" s="3" t="s">
        <v>82</v>
      </c>
      <c r="BC22" s="111">
        <v>0</v>
      </c>
      <c r="BD22" s="75">
        <f t="shared" si="28"/>
        <v>6594.2958743102627</v>
      </c>
      <c r="BE22" s="160">
        <f t="shared" si="29"/>
        <v>0.24316894202656172</v>
      </c>
      <c r="BF22" s="3">
        <f t="shared" si="30"/>
        <v>3420.2510842455545</v>
      </c>
      <c r="BG22" s="3">
        <f t="shared" si="31"/>
        <v>4345.1895020666097</v>
      </c>
      <c r="BH22" s="3">
        <f t="shared" si="32"/>
        <v>5596.1754645646397</v>
      </c>
      <c r="BI22" s="3">
        <f t="shared" si="33"/>
        <v>6594.2958743102627</v>
      </c>
      <c r="BJ22" s="222">
        <v>1603.5279511661474</v>
      </c>
      <c r="BK22" s="71">
        <f t="shared" si="34"/>
        <v>0.99689132406729242</v>
      </c>
      <c r="BL22" s="72">
        <f t="shared" si="35"/>
        <v>17.955200554486925</v>
      </c>
      <c r="BM22" s="88">
        <f t="shared" si="36"/>
        <v>1.0773120332692157</v>
      </c>
      <c r="BN22" s="227">
        <v>0.26196882736255916</v>
      </c>
      <c r="BO22" s="234"/>
      <c r="BP22" s="241">
        <v>24</v>
      </c>
      <c r="BQ22" s="30" t="s">
        <v>82</v>
      </c>
      <c r="BR22" s="231">
        <f>AVERAGE(BC48:BC50)</f>
        <v>5.9992456330037065</v>
      </c>
      <c r="BS22" s="231">
        <f>AVERAGE(BD48:BD50)</f>
        <v>20421.537583411937</v>
      </c>
      <c r="BT22" s="231">
        <f>STDEV(BD48:BD50)/SQRT(3)</f>
        <v>541.94364787766028</v>
      </c>
      <c r="BU22" s="231">
        <f>AVERAGE(BJ48:BJ50)</f>
        <v>18674.448797910289</v>
      </c>
      <c r="BV22" s="231">
        <f>STDEV(BJ48:BJ50)/SQRT(3)</f>
        <v>63.384142102633945</v>
      </c>
      <c r="BW22" s="231">
        <f>AVERAGE(BM48:BM50)</f>
        <v>2.1754686153130325</v>
      </c>
      <c r="BX22" s="231">
        <f>STDEV(BM48:BM50)/SQRT(3)</f>
        <v>0.15396058365312115</v>
      </c>
      <c r="BY22" s="242">
        <f>AVERAGE(BN48:BN50)</f>
        <v>1.9852557319011794</v>
      </c>
      <c r="BZ22" s="242">
        <f>STDEV(BN48:BN50)/SQRT(3)</f>
        <v>9.5536415745132788E-2</v>
      </c>
      <c r="CA22">
        <v>6.68</v>
      </c>
      <c r="CC22" s="272" t="s">
        <v>81</v>
      </c>
      <c r="CD22" s="270">
        <v>0</v>
      </c>
      <c r="CE22" s="270">
        <v>7587.9230401531795</v>
      </c>
      <c r="CF22">
        <v>7493.3468138039834</v>
      </c>
      <c r="CG22">
        <v>7667.5670845043796</v>
      </c>
      <c r="CH22">
        <v>6462.838691427427</v>
      </c>
      <c r="CI22">
        <v>6654.0742658236059</v>
      </c>
      <c r="CJ22" s="270"/>
      <c r="CK22" s="270"/>
      <c r="CL22" s="270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</row>
    <row r="23" spans="1:382">
      <c r="A23" s="3">
        <f>'Exptl Setup'!A34</f>
        <v>27</v>
      </c>
      <c r="B23" s="3" t="str">
        <f>'Exptl Setup'!C34</f>
        <v>c</v>
      </c>
      <c r="C23" s="3">
        <f>'Exptl Setup'!D34</f>
        <v>16</v>
      </c>
      <c r="D23" s="3" t="str">
        <f>'Exptl Setup'!E34</f>
        <v>-</v>
      </c>
      <c r="E23" s="75">
        <f>'Exptl Setup'!K34</f>
        <v>0</v>
      </c>
      <c r="F23" s="63">
        <f>'Exptl Setup'!F34</f>
        <v>31.992999999999999</v>
      </c>
      <c r="G23" s="64">
        <f>'Exptl Setup'!$C$5</f>
        <v>1.2793390913194711</v>
      </c>
      <c r="H23" s="7">
        <f t="shared" si="4"/>
        <v>25.007443465987894</v>
      </c>
      <c r="I23" s="8">
        <f t="shared" si="5"/>
        <v>9.4367711192407153</v>
      </c>
      <c r="J23" s="8">
        <f t="shared" si="6"/>
        <v>6.9855565340121046</v>
      </c>
      <c r="K23" s="8">
        <f>'Exptl Setup'!H34+'Exptl Setup'!I34+'Exptl Setup'!J34+5</f>
        <v>23.003024686832859</v>
      </c>
      <c r="L23" s="8">
        <f t="shared" si="7"/>
        <v>29.988581220844964</v>
      </c>
      <c r="M23" s="44">
        <v>300</v>
      </c>
      <c r="N23" s="85">
        <f t="shared" si="8"/>
        <v>260.57464765991432</v>
      </c>
      <c r="O23" s="193">
        <f>10^(-'Pre-DEA characterisation'!V24)</f>
        <v>1.8197008586099817E-5</v>
      </c>
      <c r="P23" s="66">
        <v>60</v>
      </c>
      <c r="Q23" s="30">
        <v>62.872</v>
      </c>
      <c r="R23" s="86">
        <f t="shared" si="9"/>
        <v>47.719847999999999</v>
      </c>
      <c r="S23" s="86">
        <f t="shared" si="10"/>
        <v>48.886819317859072</v>
      </c>
      <c r="T23" s="86">
        <f t="shared" si="11"/>
        <v>17.848895599416522</v>
      </c>
      <c r="U23" s="67">
        <f t="shared" si="12"/>
        <v>1305.809799855514</v>
      </c>
      <c r="V23" s="199">
        <f t="shared" si="13"/>
        <v>356.12994541514018</v>
      </c>
      <c r="W23" s="66">
        <v>120</v>
      </c>
      <c r="X23" s="30">
        <v>183.47200000000001</v>
      </c>
      <c r="Y23" s="86">
        <f t="shared" si="14"/>
        <v>139.25524799999999</v>
      </c>
      <c r="Z23" s="86">
        <f t="shared" si="15"/>
        <v>142.66068383201167</v>
      </c>
      <c r="AA23" s="86">
        <f t="shared" si="37"/>
        <v>52.086343259577369</v>
      </c>
      <c r="AB23" s="67">
        <f t="shared" si="16"/>
        <v>3810.5919264392878</v>
      </c>
      <c r="AC23" s="199">
        <f t="shared" si="38"/>
        <v>1039.2523435743512</v>
      </c>
      <c r="AD23" s="66">
        <v>180</v>
      </c>
      <c r="AE23" s="30">
        <v>244.05799999999999</v>
      </c>
      <c r="AF23" s="86">
        <f t="shared" si="17"/>
        <v>185.24002200000001</v>
      </c>
      <c r="AG23" s="86">
        <f t="shared" si="18"/>
        <v>189.76999855385625</v>
      </c>
      <c r="AH23" s="86">
        <f t="shared" si="19"/>
        <v>69.286260373495324</v>
      </c>
      <c r="AI23" s="67">
        <f t="shared" si="20"/>
        <v>5068.9230203132884</v>
      </c>
      <c r="AJ23" s="199">
        <f t="shared" si="39"/>
        <v>1382.4335509945331</v>
      </c>
      <c r="AK23" s="3">
        <v>240</v>
      </c>
      <c r="AL23" s="30">
        <v>282.35300000000001</v>
      </c>
      <c r="AM23" s="86">
        <f t="shared" si="21"/>
        <v>214.305927</v>
      </c>
      <c r="AN23" s="86">
        <f t="shared" si="22"/>
        <v>219.54669956189497</v>
      </c>
      <c r="AO23" s="86">
        <f t="shared" si="23"/>
        <v>80.157927522300113</v>
      </c>
      <c r="AP23" s="67">
        <f t="shared" si="24"/>
        <v>5864.2848075232841</v>
      </c>
      <c r="AQ23" s="199">
        <f t="shared" si="40"/>
        <v>1599.3504020518048</v>
      </c>
      <c r="AR23" s="199">
        <f>(((AL23*$N23*10^-3)*$E$3*$E$4)/($E$5*$E$6*$H23))*1000*(12/44)+'post-DEA dissolved CO2'!N21</f>
        <v>5989.1529149216713</v>
      </c>
      <c r="AS23" s="87">
        <f t="shared" si="3"/>
        <v>356.12994541514018</v>
      </c>
      <c r="AT23" s="87">
        <f t="shared" si="41"/>
        <v>1039.2523435743512</v>
      </c>
      <c r="AU23" s="87">
        <f t="shared" si="42"/>
        <v>1382.4335509945331</v>
      </c>
      <c r="AV23" s="87">
        <f t="shared" si="43"/>
        <v>1599.3504020518048</v>
      </c>
      <c r="AW23" s="71">
        <f t="shared" si="25"/>
        <v>0.93609663812556043</v>
      </c>
      <c r="AX23" s="72">
        <f t="shared" si="26"/>
        <v>6.7880709622169597</v>
      </c>
      <c r="AY23" s="88">
        <f t="shared" si="27"/>
        <v>0.40728425773301757</v>
      </c>
      <c r="AZ23" s="88"/>
      <c r="BA23" s="3">
        <v>16</v>
      </c>
      <c r="BB23" s="3" t="s">
        <v>82</v>
      </c>
      <c r="BC23" s="111">
        <v>0</v>
      </c>
      <c r="BD23" s="75">
        <f t="shared" si="28"/>
        <v>5989.1529149216713</v>
      </c>
      <c r="BE23" s="160">
        <f t="shared" si="29"/>
        <v>0.26704117005713851</v>
      </c>
      <c r="BF23" s="3">
        <f t="shared" si="30"/>
        <v>1333.6143836508036</v>
      </c>
      <c r="BG23" s="3">
        <f t="shared" si="31"/>
        <v>3891.7307894958053</v>
      </c>
      <c r="BH23" s="3">
        <f t="shared" si="32"/>
        <v>5176.8555039611883</v>
      </c>
      <c r="BI23" s="3">
        <f t="shared" si="33"/>
        <v>5989.1529149216713</v>
      </c>
      <c r="BJ23" s="222">
        <v>1599.3504020518048</v>
      </c>
      <c r="BK23" s="71">
        <f t="shared" si="34"/>
        <v>0.93609663812556054</v>
      </c>
      <c r="BL23" s="72">
        <f t="shared" si="35"/>
        <v>25.419567180463314</v>
      </c>
      <c r="BM23" s="88">
        <f t="shared" si="36"/>
        <v>1.5251740308277988</v>
      </c>
      <c r="BN23" s="227">
        <v>0.40728425773301757</v>
      </c>
      <c r="BO23" s="234"/>
      <c r="BP23" s="241">
        <v>24</v>
      </c>
      <c r="BQ23" s="30" t="s">
        <v>82</v>
      </c>
      <c r="BR23" s="231">
        <f>AVERAGE(BC51:BC53)</f>
        <v>15.999820999307127</v>
      </c>
      <c r="BS23" s="231">
        <f>AVERAGE(BD51:BD53)</f>
        <v>33859.556043590746</v>
      </c>
      <c r="BT23" s="231">
        <f>STDEV(BD51:BD53)/SQRT(3)</f>
        <v>1678.5820893370148</v>
      </c>
      <c r="BU23" s="231">
        <f>AVERAGE(BJ51:BJ53)</f>
        <v>27111.910999714488</v>
      </c>
      <c r="BV23" s="231">
        <f>STDEV(BJ51:BJ53)/SQRT(3)</f>
        <v>559.02416750653413</v>
      </c>
      <c r="BW23" s="231">
        <f>AVERAGE(BM51:BM53)</f>
        <v>2.735267572410192</v>
      </c>
      <c r="BX23" s="231">
        <f>STDEV(BM51:BM53)/SQRT(3)</f>
        <v>0.91105276522835199</v>
      </c>
      <c r="BY23" s="242">
        <f>AVERAGE(BN51:BN53)</f>
        <v>2.1684193655486386</v>
      </c>
      <c r="BZ23" s="242">
        <f>STDEV(BN51:BN53)/SQRT(3)</f>
        <v>0.68597758633168526</v>
      </c>
      <c r="CA23">
        <v>8.23</v>
      </c>
      <c r="CC23" s="273"/>
      <c r="CD23" s="270">
        <v>6</v>
      </c>
      <c r="CE23" s="270">
        <v>19118.493498662949</v>
      </c>
      <c r="CF23">
        <v>22161.470499484571</v>
      </c>
      <c r="CG23">
        <v>23855.891340192971</v>
      </c>
      <c r="CH23">
        <v>18300.816919901677</v>
      </c>
      <c r="CI23">
        <v>20362.908315576959</v>
      </c>
      <c r="CJ23" s="270"/>
      <c r="CK23" s="270"/>
      <c r="CL23" s="270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</row>
    <row r="24" spans="1:382" ht="15.75" thickBot="1">
      <c r="A24" s="3">
        <f>'Exptl Setup'!A38</f>
        <v>31</v>
      </c>
      <c r="B24" s="3" t="str">
        <f>'Exptl Setup'!C38</f>
        <v>a</v>
      </c>
      <c r="C24" s="3">
        <f>'Exptl Setup'!D38</f>
        <v>16</v>
      </c>
      <c r="D24" s="3" t="str">
        <f>'Exptl Setup'!E38</f>
        <v>-</v>
      </c>
      <c r="E24" s="75">
        <f>'Exptl Setup'!K38</f>
        <v>5.9992453948002522</v>
      </c>
      <c r="F24" s="63">
        <f>'Exptl Setup'!F38</f>
        <v>32.000999999999998</v>
      </c>
      <c r="G24" s="64">
        <f>'Exptl Setup'!$C$5</f>
        <v>1.2793390913194711</v>
      </c>
      <c r="H24" s="7">
        <f t="shared" si="4"/>
        <v>25.013696694748184</v>
      </c>
      <c r="I24" s="8">
        <f t="shared" si="5"/>
        <v>9.4391308282068618</v>
      </c>
      <c r="J24" s="8">
        <f t="shared" si="6"/>
        <v>6.9873033052518139</v>
      </c>
      <c r="K24" s="8">
        <f>'Exptl Setup'!H38+'Exptl Setup'!I38+'Exptl Setup'!J38+5</f>
        <v>23.003024686832859</v>
      </c>
      <c r="L24" s="8">
        <f t="shared" si="7"/>
        <v>29.990327992084673</v>
      </c>
      <c r="M24" s="44">
        <v>300</v>
      </c>
      <c r="N24" s="85">
        <f t="shared" si="8"/>
        <v>260.57054117970847</v>
      </c>
      <c r="O24" s="193">
        <f>10^(-'Pre-DEA characterisation'!V25)</f>
        <v>2.3988329190194845E-7</v>
      </c>
      <c r="P24" s="66">
        <v>60</v>
      </c>
      <c r="Q24" s="30">
        <v>633.29399999999998</v>
      </c>
      <c r="R24" s="86">
        <f t="shared" si="9"/>
        <v>480.67014599999999</v>
      </c>
      <c r="S24" s="86">
        <f t="shared" si="10"/>
        <v>1372.5206491597626</v>
      </c>
      <c r="T24" s="86">
        <f t="shared" si="11"/>
        <v>206.18010475007253</v>
      </c>
      <c r="U24" s="67">
        <f t="shared" si="12"/>
        <v>15080.187674449724</v>
      </c>
      <c r="V24" s="199">
        <f t="shared" si="13"/>
        <v>4112.7784566681066</v>
      </c>
      <c r="W24" s="66">
        <v>120</v>
      </c>
      <c r="X24" s="30">
        <v>876.495</v>
      </c>
      <c r="Y24" s="86">
        <f t="shared" si="14"/>
        <v>665.25970500000005</v>
      </c>
      <c r="Z24" s="86">
        <f t="shared" si="15"/>
        <v>1899.6034801929061</v>
      </c>
      <c r="AA24" s="86">
        <f t="shared" si="37"/>
        <v>285.35850791719935</v>
      </c>
      <c r="AB24" s="67">
        <f t="shared" si="16"/>
        <v>20871.363214741985</v>
      </c>
      <c r="AC24" s="199">
        <f t="shared" si="38"/>
        <v>5692.1899676569046</v>
      </c>
      <c r="AD24" s="66">
        <v>180</v>
      </c>
      <c r="AE24" s="30">
        <v>1052.537</v>
      </c>
      <c r="AF24" s="86">
        <f t="shared" si="17"/>
        <v>798.87558300000001</v>
      </c>
      <c r="AG24" s="86">
        <f t="shared" si="18"/>
        <v>2281.1344596738154</v>
      </c>
      <c r="AH24" s="86">
        <f t="shared" si="19"/>
        <v>342.67210634133136</v>
      </c>
      <c r="AI24" s="67">
        <f t="shared" si="20"/>
        <v>25063.328397714631</v>
      </c>
      <c r="AJ24" s="199">
        <f t="shared" si="39"/>
        <v>6835.4531993767168</v>
      </c>
      <c r="AK24" s="3">
        <v>240</v>
      </c>
      <c r="AL24" s="30">
        <v>1215.1469999999999</v>
      </c>
      <c r="AM24" s="86">
        <f t="shared" si="21"/>
        <v>922.29657299999997</v>
      </c>
      <c r="AN24" s="86">
        <f t="shared" si="22"/>
        <v>2633.5546353897844</v>
      </c>
      <c r="AO24" s="86">
        <f t="shared" si="23"/>
        <v>395.61267870331375</v>
      </c>
      <c r="AP24" s="67">
        <f t="shared" si="24"/>
        <v>28935.446746763049</v>
      </c>
      <c r="AQ24" s="199">
        <f t="shared" si="40"/>
        <v>7891.485476389923</v>
      </c>
      <c r="AR24" s="199">
        <f>(((AL24*$N24*10^-3)*$E$3*$E$4)/($E$5*$E$6*$H24))*1000*(12/44)+'post-DEA dissolved CO2'!N22</f>
        <v>17064.541408966739</v>
      </c>
      <c r="AS24" s="87">
        <f t="shared" si="3"/>
        <v>4112.7784566681066</v>
      </c>
      <c r="AT24" s="87">
        <f t="shared" si="41"/>
        <v>5692.1899676569046</v>
      </c>
      <c r="AU24" s="87">
        <f t="shared" si="42"/>
        <v>6835.4531993767168</v>
      </c>
      <c r="AV24" s="87">
        <f t="shared" si="43"/>
        <v>7891.485476389923</v>
      </c>
      <c r="AW24" s="71">
        <f t="shared" si="25"/>
        <v>0.99051449141072756</v>
      </c>
      <c r="AX24" s="72">
        <f t="shared" si="26"/>
        <v>20.798973818142102</v>
      </c>
      <c r="AY24" s="88">
        <f t="shared" si="27"/>
        <v>1.2479384290885263</v>
      </c>
      <c r="AZ24" s="88"/>
      <c r="BA24" s="3">
        <v>16</v>
      </c>
      <c r="BB24" s="3" t="s">
        <v>82</v>
      </c>
      <c r="BC24" s="111">
        <v>6</v>
      </c>
      <c r="BD24" s="75">
        <f t="shared" si="28"/>
        <v>17064.541408966739</v>
      </c>
      <c r="BE24" s="160">
        <f t="shared" si="29"/>
        <v>0.462449314474004</v>
      </c>
      <c r="BF24" s="3">
        <f t="shared" si="30"/>
        <v>8893.4685984907028</v>
      </c>
      <c r="BG24" s="3">
        <f t="shared" si="31"/>
        <v>12308.786691858928</v>
      </c>
      <c r="BH24" s="3">
        <f t="shared" si="32"/>
        <v>14780.978121140588</v>
      </c>
      <c r="BI24" s="3">
        <f t="shared" si="33"/>
        <v>17064.541408966739</v>
      </c>
      <c r="BJ24" s="222">
        <v>7891.485476389923</v>
      </c>
      <c r="BK24" s="71">
        <f t="shared" si="34"/>
        <v>0.99051449141072712</v>
      </c>
      <c r="BL24" s="72">
        <f t="shared" si="35"/>
        <v>44.975683101182945</v>
      </c>
      <c r="BM24" s="88">
        <f t="shared" si="36"/>
        <v>2.6985409860709764</v>
      </c>
      <c r="BN24" s="227">
        <v>1.2479384290885263</v>
      </c>
      <c r="BO24" s="234"/>
      <c r="BP24" s="241">
        <v>24</v>
      </c>
      <c r="BQ24" s="30" t="s">
        <v>82</v>
      </c>
      <c r="BR24" s="231">
        <f>AVERAGE(BC54:BC56)</f>
        <v>19.998110390865612</v>
      </c>
      <c r="BS24" s="231">
        <f>AVERAGE(BD54:BD56)</f>
        <v>15327.474965482972</v>
      </c>
      <c r="BT24" s="231">
        <f>STDEV(BD54:BD56)/SQRT(3)</f>
        <v>329.46443588953258</v>
      </c>
      <c r="BU24" s="231">
        <f>AVERAGE(BJ54:BJ56)</f>
        <v>11293.918971524277</v>
      </c>
      <c r="BV24" s="231">
        <f>STDEV(BJ54:BJ56)/SQRT(3)</f>
        <v>44.163118127393417</v>
      </c>
      <c r="BW24" s="231">
        <f>AVERAGE(BM54:BM56)</f>
        <v>-0.86417845761617462</v>
      </c>
      <c r="BX24" s="231">
        <f>STDEV(BM54:BM56)/SQRT(3)</f>
        <v>0.46011870375999131</v>
      </c>
      <c r="BY24" s="242">
        <f>AVERAGE(BN54:BN56)</f>
        <v>-0.64544519772447739</v>
      </c>
      <c r="BZ24" s="242">
        <f>STDEV(BN54:BN56)/SQRT(3)</f>
        <v>0.3427416973365186</v>
      </c>
      <c r="CA24">
        <v>8.7949999999999999</v>
      </c>
      <c r="CC24" s="273"/>
      <c r="CD24" s="270">
        <v>16</v>
      </c>
      <c r="CE24" s="270">
        <v>25788.436351952812</v>
      </c>
      <c r="CF24">
        <v>39078.956220951375</v>
      </c>
      <c r="CG24">
        <v>41334.554029910425</v>
      </c>
      <c r="CH24">
        <v>72228.006270915736</v>
      </c>
      <c r="CI24">
        <v>86675.922391753425</v>
      </c>
      <c r="CJ24" s="270"/>
      <c r="CK24" s="270"/>
      <c r="CL24" s="270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</row>
    <row r="25" spans="1:382">
      <c r="A25" s="3">
        <f>'Exptl Setup'!A39</f>
        <v>32</v>
      </c>
      <c r="B25" s="3" t="str">
        <f>'Exptl Setup'!C39</f>
        <v>b</v>
      </c>
      <c r="C25" s="3">
        <f>'Exptl Setup'!D39</f>
        <v>16</v>
      </c>
      <c r="D25" s="3" t="str">
        <f>'Exptl Setup'!E39</f>
        <v>-</v>
      </c>
      <c r="E25" s="75">
        <f>'Exptl Setup'!K39</f>
        <v>5.9998078592100397</v>
      </c>
      <c r="F25" s="63">
        <f>'Exptl Setup'!F39</f>
        <v>31.998000000000001</v>
      </c>
      <c r="G25" s="64">
        <f>'Exptl Setup'!$C$5</f>
        <v>1.2793390913194711</v>
      </c>
      <c r="H25" s="7">
        <f t="shared" si="4"/>
        <v>25.011351733963078</v>
      </c>
      <c r="I25" s="8">
        <f t="shared" si="5"/>
        <v>9.4382459373445577</v>
      </c>
      <c r="J25" s="8">
        <f t="shared" si="6"/>
        <v>6.9866482660369229</v>
      </c>
      <c r="K25" s="8">
        <f>'Exptl Setup'!H39+'Exptl Setup'!I39+'Exptl Setup'!J39+5</f>
        <v>23.003024686832859</v>
      </c>
      <c r="L25" s="8">
        <f t="shared" si="7"/>
        <v>29.989672952869782</v>
      </c>
      <c r="M25" s="44">
        <v>300</v>
      </c>
      <c r="N25" s="85">
        <f t="shared" si="8"/>
        <v>260.57208110978564</v>
      </c>
      <c r="O25" s="193">
        <f>10^(-'Pre-DEA characterisation'!V26)</f>
        <v>2.3988329190194845E-7</v>
      </c>
      <c r="P25" s="66">
        <v>60</v>
      </c>
      <c r="Q25" s="30">
        <v>650.72699999999998</v>
      </c>
      <c r="R25" s="86">
        <f t="shared" si="9"/>
        <v>493.901793</v>
      </c>
      <c r="S25" s="86">
        <f t="shared" si="10"/>
        <v>1410.3027100616537</v>
      </c>
      <c r="T25" s="86">
        <f t="shared" si="11"/>
        <v>211.85580566362242</v>
      </c>
      <c r="U25" s="67">
        <f t="shared" si="12"/>
        <v>15496.766027914484</v>
      </c>
      <c r="V25" s="199">
        <f t="shared" si="13"/>
        <v>4226.3907348857683</v>
      </c>
      <c r="W25" s="66">
        <v>120</v>
      </c>
      <c r="X25" s="30">
        <v>896.5</v>
      </c>
      <c r="Y25" s="86">
        <f t="shared" si="14"/>
        <v>680.44349999999997</v>
      </c>
      <c r="Z25" s="86">
        <f t="shared" si="15"/>
        <v>1942.9597658776606</v>
      </c>
      <c r="AA25" s="86">
        <f t="shared" si="37"/>
        <v>291.87159865417834</v>
      </c>
      <c r="AB25" s="67">
        <f t="shared" si="16"/>
        <v>21349.737668830916</v>
      </c>
      <c r="AC25" s="199">
        <f t="shared" si="38"/>
        <v>5822.6557278629771</v>
      </c>
      <c r="AD25" s="66">
        <v>180</v>
      </c>
      <c r="AE25" s="30">
        <v>1102.2629999999999</v>
      </c>
      <c r="AF25" s="86">
        <f t="shared" si="17"/>
        <v>836.617617</v>
      </c>
      <c r="AG25" s="86">
        <f t="shared" si="18"/>
        <v>2388.9042503241585</v>
      </c>
      <c r="AH25" s="86">
        <f t="shared" si="19"/>
        <v>358.86142102325778</v>
      </c>
      <c r="AI25" s="67">
        <f t="shared" si="20"/>
        <v>26249.889450148996</v>
      </c>
      <c r="AJ25" s="199">
        <f t="shared" si="39"/>
        <v>7159.0607591315438</v>
      </c>
      <c r="AK25" s="3">
        <v>240</v>
      </c>
      <c r="AL25" s="30">
        <v>1260.8720000000001</v>
      </c>
      <c r="AM25" s="86">
        <f t="shared" si="21"/>
        <v>957.00184800000011</v>
      </c>
      <c r="AN25" s="86">
        <f t="shared" si="22"/>
        <v>2732.6531689031767</v>
      </c>
      <c r="AO25" s="86">
        <f t="shared" si="23"/>
        <v>410.49941588208719</v>
      </c>
      <c r="AP25" s="67">
        <f t="shared" si="24"/>
        <v>30027.090277717987</v>
      </c>
      <c r="AQ25" s="199">
        <f t="shared" si="40"/>
        <v>8189.2064393776327</v>
      </c>
      <c r="AR25" s="199">
        <f>(((AL25*$N25*10^-3)*$E$3*$E$4)/($E$5*$E$6*$H25))*1000*(12/44)+'post-DEA dissolved CO2'!N23</f>
        <v>15332.000099292101</v>
      </c>
      <c r="AS25" s="87">
        <f t="shared" si="3"/>
        <v>4226.3907348857683</v>
      </c>
      <c r="AT25" s="87">
        <f t="shared" si="41"/>
        <v>5822.6557278629771</v>
      </c>
      <c r="AU25" s="87">
        <f t="shared" si="42"/>
        <v>7159.0607591315438</v>
      </c>
      <c r="AV25" s="87">
        <f t="shared" si="43"/>
        <v>8189.2064393776327</v>
      </c>
      <c r="AW25" s="71">
        <f t="shared" si="25"/>
        <v>0.99090880305303619</v>
      </c>
      <c r="AX25" s="72">
        <f t="shared" si="26"/>
        <v>22.041420241240267</v>
      </c>
      <c r="AY25" s="88">
        <f t="shared" si="27"/>
        <v>1.3224852144744161</v>
      </c>
      <c r="AZ25" s="88"/>
      <c r="BA25" s="3">
        <v>16</v>
      </c>
      <c r="BB25" s="3" t="s">
        <v>82</v>
      </c>
      <c r="BC25" s="111">
        <v>6</v>
      </c>
      <c r="BD25" s="75">
        <f t="shared" si="28"/>
        <v>15332.000099292101</v>
      </c>
      <c r="BE25" s="160">
        <f t="shared" si="29"/>
        <v>0.5341251230330829</v>
      </c>
      <c r="BF25" s="3">
        <f t="shared" si="30"/>
        <v>7912.7353360309771</v>
      </c>
      <c r="BG25" s="3">
        <f t="shared" ref="BG25:BG32" si="44">IF($BD25&gt;$AV25,(AT25/$BE25),(AT25*$BE25))</f>
        <v>10901.295364648726</v>
      </c>
      <c r="BH25" s="3">
        <f t="shared" ref="BH25:BH32" si="45">IF($BD25&gt;$AV25,(AU25/$BE25),(AU25*$BE25))</f>
        <v>13403.340248213943</v>
      </c>
      <c r="BI25" s="3">
        <f t="shared" ref="BI25:BI32" si="46">IF($BD25&gt;$AV25,(AV25/$BE25),(AV25*$BE25))</f>
        <v>15332.000099292101</v>
      </c>
      <c r="BJ25" s="222">
        <v>8189.2064393776327</v>
      </c>
      <c r="BK25" s="71">
        <f t="shared" si="34"/>
        <v>0.99090880305303597</v>
      </c>
      <c r="BL25" s="72">
        <f t="shared" si="35"/>
        <v>41.26639862224765</v>
      </c>
      <c r="BM25" s="88">
        <f t="shared" si="36"/>
        <v>2.475983917334859</v>
      </c>
      <c r="BN25" s="227">
        <v>1.3224852144744161</v>
      </c>
      <c r="BO25" s="234"/>
      <c r="BP25" s="237">
        <v>32</v>
      </c>
      <c r="BQ25" s="238" t="s">
        <v>81</v>
      </c>
      <c r="BR25" s="239">
        <f>AVERAGE(BC57:BC59)</f>
        <v>0</v>
      </c>
      <c r="BS25" s="239">
        <f>AVERAGE(BD57:BD59)</f>
        <v>7667.5670845043796</v>
      </c>
      <c r="BT25" s="239">
        <f>STDEV(BD57:BD59)/SQRT(3)</f>
        <v>543.90623747715938</v>
      </c>
      <c r="BU25" s="239">
        <f>AVERAGE(BJ57:BJ59)</f>
        <v>6236.5180569772156</v>
      </c>
      <c r="BV25" s="239">
        <f>STDEV(BJ57:BJ59)/SQRT(3)</f>
        <v>539.84107498162211</v>
      </c>
      <c r="BW25" s="239">
        <f>AVERAGE(BM57:BM59)</f>
        <v>1.2737854187817568</v>
      </c>
      <c r="BX25" s="239">
        <f>STDEV(BM57:BM59)/SQRT(3)</f>
        <v>9.1715183823950969E-2</v>
      </c>
      <c r="BY25" s="240">
        <f>AVERAGE(BN57:BN59)</f>
        <v>1.0359410296210703</v>
      </c>
      <c r="BZ25" s="240">
        <f>STDEV(BN57:BN59)/SQRT(3)</f>
        <v>8.9996247002887553E-2</v>
      </c>
      <c r="CA25">
        <v>4.63</v>
      </c>
      <c r="CC25" s="273"/>
      <c r="CD25" s="270">
        <v>20</v>
      </c>
      <c r="CE25" s="270">
        <v>16290.541199392494</v>
      </c>
      <c r="CF25">
        <v>13169.171041200303</v>
      </c>
      <c r="CG25">
        <v>8881.0823653142634</v>
      </c>
      <c r="CH25">
        <v>25987.510273798296</v>
      </c>
      <c r="CI25">
        <v>58549.21003304296</v>
      </c>
      <c r="CJ25" s="230"/>
      <c r="CK25" s="230"/>
      <c r="CL25" s="230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</row>
    <row r="26" spans="1:382">
      <c r="A26" s="3">
        <f>'Exptl Setup'!A40</f>
        <v>33</v>
      </c>
      <c r="B26" s="3" t="str">
        <f>'Exptl Setup'!C40</f>
        <v>c</v>
      </c>
      <c r="C26" s="3">
        <f>'Exptl Setup'!D40</f>
        <v>16</v>
      </c>
      <c r="D26" s="3" t="str">
        <f>'Exptl Setup'!E40</f>
        <v>-</v>
      </c>
      <c r="E26" s="75">
        <f>'Exptl Setup'!K40</f>
        <v>5.9992453948002522</v>
      </c>
      <c r="F26" s="63">
        <f>'Exptl Setup'!F40</f>
        <v>32.000999999999998</v>
      </c>
      <c r="G26" s="64">
        <f>'Exptl Setup'!$C$5</f>
        <v>1.2793390913194711</v>
      </c>
      <c r="H26" s="7">
        <f t="shared" si="4"/>
        <v>25.013696694748184</v>
      </c>
      <c r="I26" s="8">
        <f t="shared" si="5"/>
        <v>9.4391308282068618</v>
      </c>
      <c r="J26" s="8">
        <f t="shared" si="6"/>
        <v>6.9873033052518139</v>
      </c>
      <c r="K26" s="8">
        <f>'Exptl Setup'!H40+'Exptl Setup'!I40+'Exptl Setup'!J40+5</f>
        <v>23.003024686832859</v>
      </c>
      <c r="L26" s="8">
        <f t="shared" si="7"/>
        <v>29.990327992084673</v>
      </c>
      <c r="M26" s="44">
        <v>300</v>
      </c>
      <c r="N26" s="85">
        <f t="shared" si="8"/>
        <v>260.57054117970847</v>
      </c>
      <c r="O26" s="193">
        <f>10^(-'Pre-DEA characterisation'!V27)</f>
        <v>2.3988329190194845E-7</v>
      </c>
      <c r="P26" s="66">
        <v>60</v>
      </c>
      <c r="Q26" s="30">
        <v>654.15599999999995</v>
      </c>
      <c r="R26" s="86">
        <f t="shared" si="9"/>
        <v>496.50440399999997</v>
      </c>
      <c r="S26" s="86">
        <f t="shared" si="10"/>
        <v>1417.7342873479834</v>
      </c>
      <c r="T26" s="86">
        <f t="shared" si="11"/>
        <v>212.97209921914379</v>
      </c>
      <c r="U26" s="67">
        <f t="shared" si="12"/>
        <v>15576.959908616431</v>
      </c>
      <c r="V26" s="199">
        <f t="shared" si="13"/>
        <v>4248.2617932590265</v>
      </c>
      <c r="W26" s="66">
        <v>120</v>
      </c>
      <c r="X26" s="30">
        <v>904.21600000000001</v>
      </c>
      <c r="Y26" s="86">
        <f t="shared" si="14"/>
        <v>686.29994399999998</v>
      </c>
      <c r="Z26" s="86">
        <f t="shared" si="15"/>
        <v>1959.6824402262519</v>
      </c>
      <c r="AA26" s="86">
        <f t="shared" si="37"/>
        <v>294.38357160606546</v>
      </c>
      <c r="AB26" s="67">
        <f t="shared" si="16"/>
        <v>21531.464024987185</v>
      </c>
      <c r="AC26" s="199">
        <f t="shared" si="38"/>
        <v>5872.217461360141</v>
      </c>
      <c r="AD26" s="66">
        <v>180</v>
      </c>
      <c r="AE26" s="30">
        <v>1109.693</v>
      </c>
      <c r="AF26" s="86">
        <f t="shared" si="17"/>
        <v>842.25698699999998</v>
      </c>
      <c r="AG26" s="86">
        <f t="shared" si="18"/>
        <v>2405.007084747439</v>
      </c>
      <c r="AH26" s="86">
        <f t="shared" si="19"/>
        <v>361.28025684819733</v>
      </c>
      <c r="AI26" s="67">
        <f t="shared" si="20"/>
        <v>26424.34430299851</v>
      </c>
      <c r="AJ26" s="199">
        <f t="shared" si="39"/>
        <v>7206.6393553632306</v>
      </c>
      <c r="AK26" s="3">
        <v>240</v>
      </c>
      <c r="AL26" s="30">
        <v>1262.873</v>
      </c>
      <c r="AM26" s="86">
        <f t="shared" si="21"/>
        <v>958.52060700000004</v>
      </c>
      <c r="AN26" s="86">
        <f t="shared" si="22"/>
        <v>2736.9898811078851</v>
      </c>
      <c r="AO26" s="86">
        <f t="shared" si="23"/>
        <v>411.1507252966843</v>
      </c>
      <c r="AP26" s="67">
        <f t="shared" si="24"/>
        <v>30071.912648778212</v>
      </c>
      <c r="AQ26" s="199">
        <f t="shared" si="40"/>
        <v>8201.4307223940577</v>
      </c>
      <c r="AR26" s="199">
        <f>(((AL26*$N26*10^-3)*$E$3*$E$4)/($E$5*$E$6*$H26))*1000*(12/44)+'post-DEA dissolved CO2'!N24</f>
        <v>17742.418281985832</v>
      </c>
      <c r="AS26" s="87">
        <f t="shared" si="3"/>
        <v>4248.2617932590265</v>
      </c>
      <c r="AT26" s="87">
        <f t="shared" si="41"/>
        <v>5872.217461360141</v>
      </c>
      <c r="AU26" s="87">
        <f t="shared" si="42"/>
        <v>7206.6393553632306</v>
      </c>
      <c r="AV26" s="87">
        <f t="shared" si="43"/>
        <v>8201.4307223940577</v>
      </c>
      <c r="AW26" s="71">
        <f t="shared" si="25"/>
        <v>0.98874399998181206</v>
      </c>
      <c r="AX26" s="72">
        <f t="shared" si="26"/>
        <v>21.989881135680307</v>
      </c>
      <c r="AY26" s="88">
        <f t="shared" si="27"/>
        <v>1.3193928681408182</v>
      </c>
      <c r="AZ26" s="88"/>
      <c r="BA26" s="3">
        <v>16</v>
      </c>
      <c r="BB26" s="3" t="s">
        <v>82</v>
      </c>
      <c r="BC26" s="111">
        <v>6</v>
      </c>
      <c r="BD26" s="75">
        <f t="shared" si="28"/>
        <v>17742.418281985832</v>
      </c>
      <c r="BE26" s="160">
        <f t="shared" si="29"/>
        <v>0.46224988003586326</v>
      </c>
      <c r="BF26" s="3">
        <f t="shared" si="30"/>
        <v>9190.4010725312219</v>
      </c>
      <c r="BG26" s="3">
        <f t="shared" si="44"/>
        <v>12703.556485303036</v>
      </c>
      <c r="BH26" s="3">
        <f t="shared" si="45"/>
        <v>15590.354192853678</v>
      </c>
      <c r="BI26" s="3">
        <f t="shared" si="46"/>
        <v>17742.418281985832</v>
      </c>
      <c r="BJ26" s="222">
        <v>8201.4307223940577</v>
      </c>
      <c r="BK26" s="71">
        <f t="shared" si="34"/>
        <v>0.98874399998181206</v>
      </c>
      <c r="BL26" s="72">
        <f t="shared" si="35"/>
        <v>47.571415559857456</v>
      </c>
      <c r="BM26" s="88">
        <f t="shared" si="36"/>
        <v>2.8542849335914475</v>
      </c>
      <c r="BN26" s="227">
        <v>1.3193928681408182</v>
      </c>
      <c r="BO26" s="234"/>
      <c r="BP26" s="241">
        <v>32</v>
      </c>
      <c r="BQ26" s="30" t="s">
        <v>81</v>
      </c>
      <c r="BR26" s="231">
        <f>AVERAGE(BC60:BC62)</f>
        <v>5.9998706208773278</v>
      </c>
      <c r="BS26" s="231">
        <f>AVERAGE(BD60:BD62)</f>
        <v>23855.891340192971</v>
      </c>
      <c r="BT26" s="231">
        <f>STDEV(BD60:BD62)/SQRT(3)</f>
        <v>528.78794028305003</v>
      </c>
      <c r="BU26" s="231">
        <f>AVERAGE(BJ60:BJ62)</f>
        <v>25072.852978849351</v>
      </c>
      <c r="BV26" s="231">
        <f>STDEV(BJ60:BJ62)/SQRT(3)</f>
        <v>349.22417823731598</v>
      </c>
      <c r="BW26" s="231">
        <f>AVERAGE(BM61:BM62)</f>
        <v>2.5896891824054062</v>
      </c>
      <c r="BX26" s="231">
        <f>STDEV(BM61:BM62)/SQRT(3)</f>
        <v>4.9363499045204873E-2</v>
      </c>
      <c r="BY26" s="242">
        <f>AVERAGE(BN61:BN62)</f>
        <v>2.6973777932160088</v>
      </c>
      <c r="BZ26" s="242">
        <f>STDEV(BN61:BN62)/SQRT(3)</f>
        <v>3.6555353906660107E-2</v>
      </c>
      <c r="CA26">
        <v>6.6349999999999998</v>
      </c>
      <c r="CC26" s="274" t="s">
        <v>82</v>
      </c>
      <c r="CD26" s="270">
        <v>0</v>
      </c>
      <c r="CE26" s="270">
        <v>6435.4693452212668</v>
      </c>
      <c r="CF26">
        <v>7925.6147520913664</v>
      </c>
      <c r="CG26">
        <v>7679.9764542947933</v>
      </c>
      <c r="CH26">
        <v>6360.3942157529191</v>
      </c>
      <c r="CI26">
        <v>7418.085875978948</v>
      </c>
      <c r="CJ26"/>
      <c r="CK26"/>
      <c r="CL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</row>
    <row r="27" spans="1:382">
      <c r="A27" s="3">
        <f>'Exptl Setup'!A44</f>
        <v>37</v>
      </c>
      <c r="B27" s="3" t="str">
        <f>'Exptl Setup'!C44</f>
        <v>a</v>
      </c>
      <c r="C27" s="3">
        <f>'Exptl Setup'!D44</f>
        <v>16</v>
      </c>
      <c r="D27" s="3" t="str">
        <f>'Exptl Setup'!E44</f>
        <v>-</v>
      </c>
      <c r="E27" s="75">
        <f>'Exptl Setup'!K44</f>
        <v>16.000487717548268</v>
      </c>
      <c r="F27" s="63">
        <f>'Exptl Setup'!F44</f>
        <v>31.995999999999999</v>
      </c>
      <c r="G27" s="64">
        <f>'Exptl Setup'!$C$5</f>
        <v>1.2793390913194711</v>
      </c>
      <c r="H27" s="7">
        <f t="shared" si="4"/>
        <v>25.009788426773003</v>
      </c>
      <c r="I27" s="8">
        <f t="shared" si="5"/>
        <v>9.4376560101030211</v>
      </c>
      <c r="J27" s="8">
        <f t="shared" si="6"/>
        <v>6.9862115732269956</v>
      </c>
      <c r="K27" s="8">
        <f>'Exptl Setup'!H44+'Exptl Setup'!I44+'Exptl Setup'!J44+5</f>
        <v>23.003024686832862</v>
      </c>
      <c r="L27" s="8">
        <f t="shared" si="7"/>
        <v>29.989236260059858</v>
      </c>
      <c r="M27" s="44">
        <v>300</v>
      </c>
      <c r="N27" s="85">
        <f t="shared" si="8"/>
        <v>260.57310772983715</v>
      </c>
      <c r="O27" s="193">
        <f>10^(-'Pre-DEA characterisation'!V28)</f>
        <v>6.4565422903465326E-9</v>
      </c>
      <c r="P27" s="66">
        <v>60</v>
      </c>
      <c r="Q27" s="30">
        <v>63.728999999999999</v>
      </c>
      <c r="R27" s="86">
        <f t="shared" si="9"/>
        <v>48.370311000000001</v>
      </c>
      <c r="S27" s="86">
        <f t="shared" si="10"/>
        <v>3406.3818294632088</v>
      </c>
      <c r="T27" s="86">
        <f t="shared" si="11"/>
        <v>118.76085305826189</v>
      </c>
      <c r="U27" s="67">
        <f t="shared" si="12"/>
        <v>8687.6268852117464</v>
      </c>
      <c r="V27" s="199">
        <f t="shared" si="13"/>
        <v>2369.3527868759306</v>
      </c>
      <c r="W27" s="66">
        <v>120</v>
      </c>
      <c r="X27" s="30">
        <v>100.595</v>
      </c>
      <c r="Y27" s="86">
        <f t="shared" si="14"/>
        <v>76.351605000000006</v>
      </c>
      <c r="Z27" s="86">
        <f t="shared" si="15"/>
        <v>5376.9081600974669</v>
      </c>
      <c r="AA27" s="86">
        <f t="shared" si="37"/>
        <v>187.46172093388967</v>
      </c>
      <c r="AB27" s="67">
        <f t="shared" si="16"/>
        <v>13713.251840102239</v>
      </c>
      <c r="AC27" s="199">
        <f t="shared" si="38"/>
        <v>3739.9777745733377</v>
      </c>
      <c r="AD27" s="66">
        <v>180</v>
      </c>
      <c r="AE27" s="30">
        <v>106.31100000000001</v>
      </c>
      <c r="AF27" s="86">
        <f t="shared" si="17"/>
        <v>80.690049000000002</v>
      </c>
      <c r="AG27" s="86">
        <f t="shared" si="18"/>
        <v>5682.4343497004993</v>
      </c>
      <c r="AH27" s="86">
        <f t="shared" si="19"/>
        <v>198.11365390131459</v>
      </c>
      <c r="AI27" s="67">
        <f t="shared" si="20"/>
        <v>14492.464996998946</v>
      </c>
      <c r="AJ27" s="199">
        <f t="shared" si="39"/>
        <v>3952.4904537269849</v>
      </c>
      <c r="AK27" s="3">
        <v>240</v>
      </c>
      <c r="AL27" s="30">
        <v>119.74299999999999</v>
      </c>
      <c r="AM27" s="86">
        <f t="shared" si="21"/>
        <v>90.884936999999994</v>
      </c>
      <c r="AN27" s="86">
        <f t="shared" si="22"/>
        <v>6400.388824638907</v>
      </c>
      <c r="AO27" s="86">
        <f t="shared" si="23"/>
        <v>223.1445782572369</v>
      </c>
      <c r="AP27" s="67">
        <f t="shared" si="24"/>
        <v>16323.534122862589</v>
      </c>
      <c r="AQ27" s="199">
        <f t="shared" si="40"/>
        <v>4451.8729425988877</v>
      </c>
      <c r="AR27" s="199">
        <f>(((AL27*$N27*10^-3)*$E$3*$E$4)/($E$5*$E$6*$H27))*1000*(12/44)+'post-DEA dissolved CO2'!N25</f>
        <v>36517.733135215269</v>
      </c>
      <c r="AS27" s="87">
        <f t="shared" si="3"/>
        <v>2369.3527868759306</v>
      </c>
      <c r="AT27" s="87">
        <f t="shared" si="41"/>
        <v>3739.9777745733377</v>
      </c>
      <c r="AU27" s="87">
        <f t="shared" si="42"/>
        <v>3952.4904537269849</v>
      </c>
      <c r="AV27" s="87">
        <f t="shared" si="43"/>
        <v>4451.8729425988877</v>
      </c>
      <c r="AW27" s="71">
        <f t="shared" si="25"/>
        <v>0.87644255996957843</v>
      </c>
      <c r="AX27" s="72">
        <f t="shared" si="26"/>
        <v>10.766788577204199</v>
      </c>
      <c r="AY27" s="88">
        <f t="shared" si="27"/>
        <v>0.64600731463225192</v>
      </c>
      <c r="AZ27" s="88"/>
      <c r="BA27" s="3">
        <v>16</v>
      </c>
      <c r="BB27" s="3" t="s">
        <v>82</v>
      </c>
      <c r="BC27" s="111">
        <v>16</v>
      </c>
      <c r="BD27" s="75">
        <f t="shared" si="28"/>
        <v>36517.733135215269</v>
      </c>
      <c r="BE27" s="160">
        <f t="shared" si="29"/>
        <v>0.1219098930953575</v>
      </c>
      <c r="BF27" s="3">
        <f t="shared" si="30"/>
        <v>19435.279014006115</v>
      </c>
      <c r="BG27" s="3">
        <f t="shared" si="44"/>
        <v>30678.213880869698</v>
      </c>
      <c r="BH27" s="3">
        <f t="shared" si="45"/>
        <v>32421.408577853155</v>
      </c>
      <c r="BI27" s="3">
        <f t="shared" si="46"/>
        <v>36517.733135215269</v>
      </c>
      <c r="BJ27" s="222">
        <v>4451.8729425988877</v>
      </c>
      <c r="BK27" s="71">
        <f t="shared" si="34"/>
        <v>0.87644255996957887</v>
      </c>
      <c r="BL27" s="72">
        <f t="shared" si="35"/>
        <v>88.317595101018199</v>
      </c>
      <c r="BM27" s="88">
        <f t="shared" si="36"/>
        <v>5.2990557060610914</v>
      </c>
      <c r="BN27" s="227">
        <v>0.64600731463225192</v>
      </c>
      <c r="BO27" s="234"/>
      <c r="BP27" s="241">
        <v>32</v>
      </c>
      <c r="BQ27" s="30" t="s">
        <v>81</v>
      </c>
      <c r="BR27" s="231">
        <f>AVERAGE(BC63:BC65)</f>
        <v>16.000321051012467</v>
      </c>
      <c r="BS27" s="231">
        <f>AVERAGE(BD63:BD65)</f>
        <v>41334.554029910425</v>
      </c>
      <c r="BT27" s="231">
        <f>STDEV(BD63:BD65)/SQRT(3)</f>
        <v>9426.7182510985895</v>
      </c>
      <c r="BU27" s="231">
        <f>AVERAGE(BJ63:BJ65)</f>
        <v>109347.3505621965</v>
      </c>
      <c r="BV27" s="231">
        <f>STDEV(BJ63:BJ65)/SQRT(3)</f>
        <v>26440.581412561292</v>
      </c>
      <c r="BW27" s="231">
        <f>AVERAGE(BM63:BM65)</f>
        <v>2.1135183767618155</v>
      </c>
      <c r="BX27" s="231">
        <f>STDEV(BM63:BM65)/SQRT(3)</f>
        <v>0.1027577664687236</v>
      </c>
      <c r="BY27" s="242">
        <f>AVERAGE(BN63:BN65)</f>
        <v>5.5553317432490692</v>
      </c>
      <c r="BZ27" s="242">
        <f>STDEV(BN63:BN65)/SQRT(3)</f>
        <v>0.28711304667577581</v>
      </c>
      <c r="CA27">
        <v>8.254999999999999</v>
      </c>
      <c r="CD27" s="230">
        <v>6</v>
      </c>
      <c r="CE27" s="230">
        <v>16712.986596748222</v>
      </c>
      <c r="CF27">
        <v>20421.537583411937</v>
      </c>
      <c r="CG27">
        <v>25137.907784175699</v>
      </c>
      <c r="CH27">
        <v>21505.975920922156</v>
      </c>
      <c r="CI27">
        <v>20058.141114563863</v>
      </c>
      <c r="CJ27"/>
      <c r="CK27"/>
      <c r="CL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</row>
    <row r="28" spans="1:382">
      <c r="A28" s="3">
        <f>'Exptl Setup'!A45</f>
        <v>38</v>
      </c>
      <c r="B28" s="3" t="str">
        <f>'Exptl Setup'!C45</f>
        <v>b</v>
      </c>
      <c r="C28" s="3">
        <f>'Exptl Setup'!D45</f>
        <v>16</v>
      </c>
      <c r="D28" s="3" t="str">
        <f>'Exptl Setup'!E45</f>
        <v>-</v>
      </c>
      <c r="E28" s="75">
        <f>'Exptl Setup'!K45</f>
        <v>15.999987655426267</v>
      </c>
      <c r="F28" s="63">
        <f>'Exptl Setup'!F45</f>
        <v>31.997</v>
      </c>
      <c r="G28" s="64">
        <f>'Exptl Setup'!$C$5</f>
        <v>1.2793390913194711</v>
      </c>
      <c r="H28" s="7">
        <f t="shared" si="4"/>
        <v>25.010570080368041</v>
      </c>
      <c r="I28" s="8">
        <f t="shared" si="5"/>
        <v>9.4379509737237886</v>
      </c>
      <c r="J28" s="8">
        <f t="shared" si="6"/>
        <v>6.9864299196319593</v>
      </c>
      <c r="K28" s="8">
        <f>'Exptl Setup'!H45+'Exptl Setup'!I45+'Exptl Setup'!J45+5</f>
        <v>23.003024686832862</v>
      </c>
      <c r="L28" s="8">
        <f t="shared" si="7"/>
        <v>29.989454606464822</v>
      </c>
      <c r="M28" s="44">
        <v>300</v>
      </c>
      <c r="N28" s="85">
        <f t="shared" si="8"/>
        <v>260.57259441981137</v>
      </c>
      <c r="O28" s="193">
        <f>10^(-'Pre-DEA characterisation'!V29)</f>
        <v>6.4565422903465326E-9</v>
      </c>
      <c r="P28" s="66">
        <v>60</v>
      </c>
      <c r="Q28" s="30">
        <v>63.728999999999999</v>
      </c>
      <c r="R28" s="86">
        <f t="shared" si="9"/>
        <v>48.370311000000001</v>
      </c>
      <c r="S28" s="86">
        <f t="shared" si="10"/>
        <v>3406.3818294632088</v>
      </c>
      <c r="T28" s="86">
        <f t="shared" si="11"/>
        <v>118.76156411675365</v>
      </c>
      <c r="U28" s="67">
        <f t="shared" si="12"/>
        <v>8687.4073853396694</v>
      </c>
      <c r="V28" s="199">
        <f t="shared" si="13"/>
        <v>2369.2929232744555</v>
      </c>
      <c r="W28" s="66">
        <v>120</v>
      </c>
      <c r="X28" s="30">
        <v>116.88500000000001</v>
      </c>
      <c r="Y28" s="86">
        <f t="shared" si="14"/>
        <v>88.715715000000003</v>
      </c>
      <c r="Z28" s="86">
        <f t="shared" si="15"/>
        <v>6247.6257298373912</v>
      </c>
      <c r="AA28" s="86">
        <f t="shared" si="37"/>
        <v>217.81991592189974</v>
      </c>
      <c r="AB28" s="67">
        <f t="shared" si="16"/>
        <v>15933.524960935008</v>
      </c>
      <c r="AC28" s="199">
        <f t="shared" si="38"/>
        <v>4345.5068075277295</v>
      </c>
      <c r="AD28" s="66">
        <v>180</v>
      </c>
      <c r="AE28" s="30">
        <v>135.17500000000001</v>
      </c>
      <c r="AF28" s="86">
        <f t="shared" si="17"/>
        <v>102.59782500000001</v>
      </c>
      <c r="AG28" s="86">
        <f t="shared" si="18"/>
        <v>7225.2453953096583</v>
      </c>
      <c r="AH28" s="86">
        <f t="shared" si="19"/>
        <v>251.90406925390599</v>
      </c>
      <c r="AI28" s="67">
        <f t="shared" si="20"/>
        <v>18426.780481622023</v>
      </c>
      <c r="AJ28" s="199">
        <f t="shared" si="39"/>
        <v>5025.4855858969158</v>
      </c>
      <c r="AK28" s="3">
        <v>240</v>
      </c>
      <c r="AL28" s="30">
        <v>141.74799999999999</v>
      </c>
      <c r="AM28" s="86">
        <f t="shared" si="21"/>
        <v>107.586732</v>
      </c>
      <c r="AN28" s="86">
        <f t="shared" si="22"/>
        <v>7576.5791329339991</v>
      </c>
      <c r="AO28" s="86">
        <f t="shared" si="23"/>
        <v>264.15312009323219</v>
      </c>
      <c r="AP28" s="67">
        <f t="shared" si="24"/>
        <v>19322.798444305223</v>
      </c>
      <c r="AQ28" s="199">
        <f t="shared" si="40"/>
        <v>5269.8541211741513</v>
      </c>
      <c r="AR28" s="199">
        <f>(((AL28*$N28*10^-3)*$E$3*$E$4)/($E$5*$E$6*$H28))*1000*(12/44)+'post-DEA dissolved CO2'!N26</f>
        <v>35425.349488131025</v>
      </c>
      <c r="AS28" s="87">
        <f t="shared" si="3"/>
        <v>2369.2929232744555</v>
      </c>
      <c r="AT28" s="87">
        <f t="shared" si="41"/>
        <v>4345.5068075277295</v>
      </c>
      <c r="AU28" s="87">
        <f t="shared" si="42"/>
        <v>5025.4855858969158</v>
      </c>
      <c r="AV28" s="87">
        <f t="shared" si="43"/>
        <v>5269.8541211741513</v>
      </c>
      <c r="AW28" s="71">
        <f t="shared" si="25"/>
        <v>0.84832090276527561</v>
      </c>
      <c r="AX28" s="72">
        <f t="shared" si="26"/>
        <v>15.636103953447122</v>
      </c>
      <c r="AY28" s="88">
        <f t="shared" si="27"/>
        <v>0.93816623720682735</v>
      </c>
      <c r="AZ28" s="88"/>
      <c r="BA28" s="3">
        <v>16</v>
      </c>
      <c r="BB28" s="3" t="s">
        <v>82</v>
      </c>
      <c r="BC28" s="111">
        <v>16</v>
      </c>
      <c r="BD28" s="75">
        <f t="shared" si="28"/>
        <v>35425.349488131025</v>
      </c>
      <c r="BE28" s="160">
        <f t="shared" si="29"/>
        <v>0.14875941091109837</v>
      </c>
      <c r="BF28" s="3">
        <f t="shared" si="30"/>
        <v>15927.012003902011</v>
      </c>
      <c r="BG28" s="3">
        <f t="shared" si="44"/>
        <v>29211.643020855281</v>
      </c>
      <c r="BH28" s="3">
        <f t="shared" si="45"/>
        <v>33782.639734303921</v>
      </c>
      <c r="BI28" s="3">
        <f t="shared" si="46"/>
        <v>35425.349488131025</v>
      </c>
      <c r="BJ28" s="222">
        <v>5269.8541211741513</v>
      </c>
      <c r="BK28" s="71">
        <f t="shared" si="34"/>
        <v>0.84832090276527583</v>
      </c>
      <c r="BL28" s="72">
        <f t="shared" si="35"/>
        <v>105.11001527689281</v>
      </c>
      <c r="BM28" s="88">
        <f t="shared" si="36"/>
        <v>6.3066009166135686</v>
      </c>
      <c r="BN28" s="227">
        <v>0.93816623720682735</v>
      </c>
      <c r="BO28" s="234"/>
      <c r="BP28" s="241">
        <v>32</v>
      </c>
      <c r="BQ28" s="30" t="s">
        <v>81</v>
      </c>
      <c r="BR28" s="231">
        <f>AVERAGE(BC66:BC68)</f>
        <v>19.998526523495343</v>
      </c>
      <c r="BS28" s="231">
        <f>AVERAGE(BD66:BD68)</f>
        <v>8881.0823653142634</v>
      </c>
      <c r="BT28" s="231">
        <f>STDEV(BD66:BD68)/SQRT(3)</f>
        <v>356.1274826183195</v>
      </c>
      <c r="BU28" s="231">
        <f>AVERAGE(BJ66:BJ68)</f>
        <v>17938.201447882751</v>
      </c>
      <c r="BV28" s="231">
        <f>STDEV(BJ66:BJ68)/SQRT(3)</f>
        <v>2237.5175761867877</v>
      </c>
      <c r="BW28" s="231">
        <f>AVERAGE(BM66,BM68)</f>
        <v>0.29978518551570466</v>
      </c>
      <c r="BX28" s="231">
        <f>STDEV(BM66,BM68)/SQRT(3)</f>
        <v>0.16150010281783661</v>
      </c>
      <c r="BY28" s="242">
        <f>AVERAGE(BN66,BN68)</f>
        <v>0.50016982827335843</v>
      </c>
      <c r="BZ28" s="242">
        <f>STDEV(BN66,BN68)/SQRT(3)</f>
        <v>0.2304576856954958</v>
      </c>
      <c r="CA28">
        <v>8.75</v>
      </c>
      <c r="CD28">
        <v>16</v>
      </c>
      <c r="CE28">
        <v>36590.726719702485</v>
      </c>
      <c r="CF28">
        <v>33859.556043590746</v>
      </c>
      <c r="CG28">
        <v>42948.751298609764</v>
      </c>
      <c r="CH28">
        <v>86854.698779251543</v>
      </c>
      <c r="CI28">
        <v>119784.83410239498</v>
      </c>
      <c r="CJ28"/>
      <c r="CK28"/>
      <c r="CL28"/>
      <c r="CM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</row>
    <row r="29" spans="1:382">
      <c r="A29" s="3">
        <f>'Exptl Setup'!A46</f>
        <v>39</v>
      </c>
      <c r="B29" s="3" t="str">
        <f>'Exptl Setup'!C46</f>
        <v>c</v>
      </c>
      <c r="C29" s="3">
        <f>'Exptl Setup'!D46</f>
        <v>16</v>
      </c>
      <c r="D29" s="3" t="str">
        <f>'Exptl Setup'!E46</f>
        <v>-</v>
      </c>
      <c r="E29" s="75">
        <f>'Exptl Setup'!K46</f>
        <v>15.996488095571626</v>
      </c>
      <c r="F29" s="63">
        <f>'Exptl Setup'!F46</f>
        <v>32.003999999999998</v>
      </c>
      <c r="G29" s="64">
        <f>'Exptl Setup'!$C$5</f>
        <v>1.2793390913194711</v>
      </c>
      <c r="H29" s="7">
        <f t="shared" si="4"/>
        <v>25.016041655533289</v>
      </c>
      <c r="I29" s="8">
        <f t="shared" si="5"/>
        <v>9.4400157190691658</v>
      </c>
      <c r="J29" s="8">
        <f t="shared" si="6"/>
        <v>6.9879583444667084</v>
      </c>
      <c r="K29" s="8">
        <f>'Exptl Setup'!H46+'Exptl Setup'!I46+'Exptl Setup'!J46+5</f>
        <v>23.003024686832862</v>
      </c>
      <c r="L29" s="8">
        <f t="shared" si="7"/>
        <v>29.990983031299571</v>
      </c>
      <c r="M29" s="44">
        <v>300</v>
      </c>
      <c r="N29" s="85">
        <f t="shared" si="8"/>
        <v>260.56900124963124</v>
      </c>
      <c r="O29" s="193">
        <f>10^(-'Pre-DEA characterisation'!V30)</f>
        <v>6.4565422903465326E-9</v>
      </c>
      <c r="P29" s="66">
        <v>60</v>
      </c>
      <c r="Q29" s="30">
        <v>62.015000000000001</v>
      </c>
      <c r="R29" s="86">
        <f t="shared" si="9"/>
        <v>47.069385000000004</v>
      </c>
      <c r="S29" s="86">
        <f t="shared" si="10"/>
        <v>3314.7667334205917</v>
      </c>
      <c r="T29" s="86">
        <f t="shared" si="11"/>
        <v>115.57229946722917</v>
      </c>
      <c r="U29" s="67">
        <f t="shared" si="12"/>
        <v>8452.2635978658673</v>
      </c>
      <c r="V29" s="199">
        <f t="shared" si="13"/>
        <v>2305.1627994179639</v>
      </c>
      <c r="W29" s="66">
        <v>120</v>
      </c>
      <c r="X29" s="30">
        <v>119.17100000000001</v>
      </c>
      <c r="Y29" s="86">
        <f t="shared" si="14"/>
        <v>90.450789</v>
      </c>
      <c r="Z29" s="86">
        <f t="shared" si="15"/>
        <v>6369.8148252594574</v>
      </c>
      <c r="AA29" s="86">
        <f t="shared" si="37"/>
        <v>222.08927678479665</v>
      </c>
      <c r="AB29" s="67">
        <f t="shared" si="16"/>
        <v>16242.275340180167</v>
      </c>
      <c r="AC29" s="199">
        <f t="shared" si="38"/>
        <v>4429.7114564127733</v>
      </c>
      <c r="AD29" s="66">
        <v>180</v>
      </c>
      <c r="AE29" s="30">
        <v>122.315</v>
      </c>
      <c r="AF29" s="86">
        <f t="shared" si="17"/>
        <v>92.837085000000002</v>
      </c>
      <c r="AG29" s="86">
        <f t="shared" si="18"/>
        <v>6537.8649197506993</v>
      </c>
      <c r="AH29" s="86">
        <f t="shared" si="19"/>
        <v>227.9484932570206</v>
      </c>
      <c r="AI29" s="67">
        <f t="shared" si="20"/>
        <v>16670.783229427769</v>
      </c>
      <c r="AJ29" s="199">
        <f t="shared" si="39"/>
        <v>4546.5772443893911</v>
      </c>
      <c r="AK29" s="3">
        <v>240</v>
      </c>
      <c r="AL29" s="30">
        <v>140.89099999999999</v>
      </c>
      <c r="AM29" s="86">
        <f t="shared" si="21"/>
        <v>106.936269</v>
      </c>
      <c r="AN29" s="86">
        <f t="shared" si="22"/>
        <v>7530.7715849126907</v>
      </c>
      <c r="AO29" s="86">
        <f t="shared" si="23"/>
        <v>262.56706997077129</v>
      </c>
      <c r="AP29" s="67">
        <f t="shared" si="24"/>
        <v>19202.577933837289</v>
      </c>
      <c r="AQ29" s="199">
        <f t="shared" si="40"/>
        <v>5237.0667092283511</v>
      </c>
      <c r="AR29" s="199">
        <f>(((AL29*$N29*10^-3)*$E$3*$E$4)/($E$5*$E$6*$H29))*1000*(12/44)+'post-DEA dissolved CO2'!N27</f>
        <v>37829.097535761161</v>
      </c>
      <c r="AS29" s="87">
        <f t="shared" si="3"/>
        <v>2305.1627994179639</v>
      </c>
      <c r="AT29" s="87">
        <f t="shared" si="41"/>
        <v>4429.7114564127733</v>
      </c>
      <c r="AU29" s="87">
        <f t="shared" si="42"/>
        <v>4546.5772443893911</v>
      </c>
      <c r="AV29" s="87">
        <f t="shared" si="43"/>
        <v>5237.0667092283511</v>
      </c>
      <c r="AW29" s="71">
        <f t="shared" si="25"/>
        <v>0.82417715639340916</v>
      </c>
      <c r="AX29" s="72">
        <f t="shared" si="26"/>
        <v>14.8542958623463</v>
      </c>
      <c r="AY29" s="88">
        <f t="shared" si="27"/>
        <v>0.89125775174077793</v>
      </c>
      <c r="AZ29" s="88"/>
      <c r="BA29" s="3">
        <v>16</v>
      </c>
      <c r="BB29" s="3" t="s">
        <v>82</v>
      </c>
      <c r="BC29" s="111">
        <v>16</v>
      </c>
      <c r="BD29" s="75">
        <f t="shared" si="28"/>
        <v>37829.097535761161</v>
      </c>
      <c r="BE29" s="160">
        <f t="shared" si="29"/>
        <v>0.13844017040791337</v>
      </c>
      <c r="BF29" s="3">
        <f t="shared" si="30"/>
        <v>16650.967653577798</v>
      </c>
      <c r="BG29" s="3">
        <f t="shared" si="44"/>
        <v>31997.298496243158</v>
      </c>
      <c r="BH29" s="3">
        <f t="shared" si="45"/>
        <v>32841.45946218443</v>
      </c>
      <c r="BI29" s="3">
        <f t="shared" si="46"/>
        <v>37829.097535761161</v>
      </c>
      <c r="BJ29" s="222">
        <v>5237.0667092283511</v>
      </c>
      <c r="BK29" s="71">
        <f t="shared" si="34"/>
        <v>0.82417715639340861</v>
      </c>
      <c r="BL29" s="72">
        <f t="shared" si="35"/>
        <v>107.29758435415225</v>
      </c>
      <c r="BM29" s="88">
        <f t="shared" si="36"/>
        <v>6.4378550612491354</v>
      </c>
      <c r="BN29" s="227">
        <v>0.89125775174077793</v>
      </c>
      <c r="BO29" s="234"/>
      <c r="BP29" s="241">
        <v>32</v>
      </c>
      <c r="BQ29" s="30" t="s">
        <v>82</v>
      </c>
      <c r="BR29" s="231">
        <f>AVERAGE(BC69:BC71)</f>
        <v>0</v>
      </c>
      <c r="BS29" s="231">
        <f>AVERAGE(BD69:BD71)</f>
        <v>7679.9764542947933</v>
      </c>
      <c r="BT29" s="231">
        <f>STDEV(BD69:BD71)/SQRT(3)</f>
        <v>628.65143926738745</v>
      </c>
      <c r="BU29" s="231">
        <f>AVERAGE(BJ69:BJ71)</f>
        <v>5590.2794046146219</v>
      </c>
      <c r="BV29" s="231">
        <f>STDEV(BJ69:BJ71)/SQRT(3)</f>
        <v>442.2122357829133</v>
      </c>
      <c r="BW29" s="231">
        <f>AVERAGE(BM69:BM71)</f>
        <v>1.1537240168436929</v>
      </c>
      <c r="BX29" s="231">
        <f>STDEV(BM69:BM71)/SQRT(3)</f>
        <v>8.6573230022165173E-2</v>
      </c>
      <c r="BY29" s="242">
        <f>AVERAGE(BN69:BN71)</f>
        <v>0.84048836167168639</v>
      </c>
      <c r="BZ29" s="242">
        <f>STDEV(BN69:BN71)/SQRT(3)</f>
        <v>6.533440181703469E-2</v>
      </c>
      <c r="CA29">
        <v>4.6899999999999995</v>
      </c>
      <c r="CC29"/>
      <c r="CD29">
        <v>20</v>
      </c>
      <c r="CE29">
        <v>20762.561760926983</v>
      </c>
      <c r="CF29">
        <v>15327.474965482972</v>
      </c>
      <c r="CG29">
        <v>11918.208827204711</v>
      </c>
      <c r="CH29">
        <v>29549.818104418951</v>
      </c>
      <c r="CI29">
        <v>92000.524098472437</v>
      </c>
      <c r="CJ29"/>
      <c r="CK29"/>
      <c r="CL29"/>
      <c r="CM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</row>
    <row r="30" spans="1:382">
      <c r="A30" s="3">
        <f>'Exptl Setup'!A50</f>
        <v>43</v>
      </c>
      <c r="B30" s="3" t="str">
        <f>'Exptl Setup'!C50</f>
        <v>a</v>
      </c>
      <c r="C30" s="3">
        <f>'Exptl Setup'!D50</f>
        <v>16</v>
      </c>
      <c r="D30" s="3" t="str">
        <f>'Exptl Setup'!E50</f>
        <v>-</v>
      </c>
      <c r="E30" s="75">
        <f>'Exptl Setup'!K50</f>
        <v>19.996234923705366</v>
      </c>
      <c r="F30" s="63">
        <f>'Exptl Setup'!F50</f>
        <v>32.003</v>
      </c>
      <c r="G30" s="64">
        <f>'Exptl Setup'!$C$5</f>
        <v>1.2793390913194711</v>
      </c>
      <c r="H30" s="7">
        <f t="shared" si="4"/>
        <v>25.015260001938255</v>
      </c>
      <c r="I30" s="8">
        <f t="shared" si="5"/>
        <v>9.4397207554483984</v>
      </c>
      <c r="J30" s="8">
        <f t="shared" si="6"/>
        <v>6.9877399980617447</v>
      </c>
      <c r="K30" s="8">
        <f>'Exptl Setup'!H50+'Exptl Setup'!I50+'Exptl Setup'!J50+5</f>
        <v>23.003024686832859</v>
      </c>
      <c r="L30" s="8">
        <f t="shared" si="7"/>
        <v>29.990764684894604</v>
      </c>
      <c r="M30" s="44">
        <v>300</v>
      </c>
      <c r="N30" s="85">
        <f t="shared" si="8"/>
        <v>260.56951455965702</v>
      </c>
      <c r="O30" s="193">
        <f>10^(-'Pre-DEA characterisation'!V31)</f>
        <v>1.9498445997580341E-9</v>
      </c>
      <c r="P30" s="66">
        <v>60</v>
      </c>
      <c r="Q30" s="30">
        <v>65.73</v>
      </c>
      <c r="R30" s="86">
        <f t="shared" si="9"/>
        <v>49.889070000000004</v>
      </c>
      <c r="S30" s="86">
        <f t="shared" si="10"/>
        <v>11709.604141676926</v>
      </c>
      <c r="T30" s="86">
        <f t="shared" si="11"/>
        <v>368.30721655830621</v>
      </c>
      <c r="U30" s="67">
        <f t="shared" si="12"/>
        <v>26936.618608059605</v>
      </c>
      <c r="V30" s="199">
        <f t="shared" si="13"/>
        <v>7346.3505294708011</v>
      </c>
      <c r="W30" s="66">
        <v>120</v>
      </c>
      <c r="X30" s="30">
        <v>65.158000000000001</v>
      </c>
      <c r="Y30" s="86">
        <f t="shared" si="14"/>
        <v>49.454922000000003</v>
      </c>
      <c r="Z30" s="86">
        <f t="shared" si="15"/>
        <v>11607.704041737186</v>
      </c>
      <c r="AA30" s="86">
        <f t="shared" si="37"/>
        <v>365.10210887731807</v>
      </c>
      <c r="AB30" s="67">
        <f t="shared" si="16"/>
        <v>26702.208964916288</v>
      </c>
      <c r="AC30" s="199">
        <f t="shared" si="38"/>
        <v>7282.4206267953505</v>
      </c>
      <c r="AD30" s="66">
        <v>180</v>
      </c>
      <c r="AE30" s="30">
        <v>62.301000000000002</v>
      </c>
      <c r="AF30" s="86">
        <f t="shared" si="17"/>
        <v>47.286459000000001</v>
      </c>
      <c r="AG30" s="86">
        <f t="shared" si="18"/>
        <v>11098.737983122079</v>
      </c>
      <c r="AH30" s="86">
        <f t="shared" si="19"/>
        <v>349.09338047769722</v>
      </c>
      <c r="AI30" s="67">
        <f t="shared" si="20"/>
        <v>25531.390170405015</v>
      </c>
      <c r="AJ30" s="199">
        <f t="shared" si="39"/>
        <v>6963.1064101104594</v>
      </c>
      <c r="AK30" s="3">
        <v>240</v>
      </c>
      <c r="AL30" s="30">
        <v>65.73</v>
      </c>
      <c r="AM30" s="86">
        <f t="shared" si="21"/>
        <v>49.889070000000004</v>
      </c>
      <c r="AN30" s="86">
        <f t="shared" si="22"/>
        <v>11709.604141676926</v>
      </c>
      <c r="AO30" s="86">
        <f t="shared" si="23"/>
        <v>368.30721655830621</v>
      </c>
      <c r="AP30" s="67">
        <f t="shared" si="24"/>
        <v>26936.618608059605</v>
      </c>
      <c r="AQ30" s="199">
        <f t="shared" si="40"/>
        <v>7346.3505294708011</v>
      </c>
      <c r="AR30" s="199">
        <f>(((AL30*$N30*10^-3)*$E$3*$E$4)/($E$5*$E$6*$H30))*1000*(12/44)+'post-DEA dissolved CO2'!N28</f>
        <v>17134.198831872327</v>
      </c>
      <c r="AS30" s="87">
        <f t="shared" si="3"/>
        <v>7346.3505294708011</v>
      </c>
      <c r="AT30" s="87">
        <f t="shared" si="41"/>
        <v>7282.4206267953505</v>
      </c>
      <c r="AU30" s="87">
        <f t="shared" si="42"/>
        <v>6963.1064101104594</v>
      </c>
      <c r="AV30" s="87">
        <f t="shared" si="43"/>
        <v>7346.3505294708011</v>
      </c>
      <c r="AW30" s="71">
        <f t="shared" si="25"/>
        <v>5.0490053490099607E-2</v>
      </c>
      <c r="AX30" s="72">
        <f t="shared" si="26"/>
        <v>-0.53219036114148521</v>
      </c>
      <c r="AY30" s="88">
        <f t="shared" si="27"/>
        <v>-3.1931421668489113E-2</v>
      </c>
      <c r="AZ30" s="88"/>
      <c r="BA30" s="3">
        <v>16</v>
      </c>
      <c r="BB30" s="3" t="s">
        <v>82</v>
      </c>
      <c r="BC30" s="111">
        <v>20</v>
      </c>
      <c r="BD30" s="75">
        <f t="shared" si="28"/>
        <v>17134.198831872327</v>
      </c>
      <c r="BE30" s="160">
        <f t="shared" si="29"/>
        <v>0.42875366403507725</v>
      </c>
      <c r="BF30" s="3">
        <f t="shared" si="30"/>
        <v>17134.198831872327</v>
      </c>
      <c r="BG30" s="3">
        <f t="shared" si="44"/>
        <v>16985.092461389577</v>
      </c>
      <c r="BH30" s="3">
        <f t="shared" si="45"/>
        <v>16240.342635394465</v>
      </c>
      <c r="BI30" s="3">
        <f t="shared" si="46"/>
        <v>17134.198831872327</v>
      </c>
      <c r="BJ30" s="222">
        <v>7346.3505294708011</v>
      </c>
      <c r="BK30" s="71">
        <f t="shared" si="34"/>
        <v>5.0490053490099558E-2</v>
      </c>
      <c r="BL30" s="72">
        <f t="shared" si="35"/>
        <v>-1.2412497099918529</v>
      </c>
      <c r="BM30" s="88">
        <f t="shared" si="36"/>
        <v>-7.4474982599511186E-2</v>
      </c>
      <c r="BN30" s="227">
        <v>-3.1931421668489113E-2</v>
      </c>
      <c r="BO30" s="234"/>
      <c r="BP30" s="241">
        <v>32</v>
      </c>
      <c r="BQ30" s="30" t="s">
        <v>82</v>
      </c>
      <c r="BR30" s="231">
        <f>AVERAGE(BC72:BC74)</f>
        <v>5.9987457192733435</v>
      </c>
      <c r="BS30" s="231">
        <f>AVERAGE(BD72:BD74)</f>
        <v>25137.907784175699</v>
      </c>
      <c r="BT30" s="231">
        <f>STDEV(BD72:BD74)/SQRT(3)</f>
        <v>2051.9205474104524</v>
      </c>
      <c r="BU30" s="231">
        <f>AVERAGE(BJ72:BJ74)</f>
        <v>25550.146960879239</v>
      </c>
      <c r="BV30" s="231">
        <f>STDEV(BJ72:BJ74)/SQRT(3)</f>
        <v>2189.2875046760964</v>
      </c>
      <c r="BW30" s="231">
        <f>AVERAGE(BM72:BM74)</f>
        <v>2.4436416676953487</v>
      </c>
      <c r="BX30" s="231">
        <f>STDEV(BM72:BM74)/SQRT(3)</f>
        <v>0.30631076407659835</v>
      </c>
      <c r="BY30" s="242">
        <f>AVERAGE(BN72:BN74)</f>
        <v>2.4840450524675997</v>
      </c>
      <c r="BZ30" s="242">
        <f>STDEV(BN72:BN74)/SQRT(3)</f>
        <v>0.32052195975401476</v>
      </c>
      <c r="CA30">
        <v>6.63</v>
      </c>
      <c r="CC30"/>
      <c r="CD30"/>
      <c r="CJ30"/>
      <c r="CK30"/>
      <c r="CL30"/>
      <c r="CM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</row>
    <row r="31" spans="1:382">
      <c r="A31" s="3">
        <f>'Exptl Setup'!A51</f>
        <v>44</v>
      </c>
      <c r="B31" s="3" t="str">
        <f>'Exptl Setup'!C51</f>
        <v>b</v>
      </c>
      <c r="C31" s="3">
        <f>'Exptl Setup'!D51</f>
        <v>16</v>
      </c>
      <c r="D31" s="3" t="str">
        <f>'Exptl Setup'!E51</f>
        <v>-</v>
      </c>
      <c r="E31" s="75">
        <f>'Exptl Setup'!K51</f>
        <v>19.993735940992373</v>
      </c>
      <c r="F31" s="63">
        <f>'Exptl Setup'!F51</f>
        <v>32.006999999999998</v>
      </c>
      <c r="G31" s="64">
        <f>'Exptl Setup'!$C$5</f>
        <v>1.2793390913194711</v>
      </c>
      <c r="H31" s="7">
        <f t="shared" si="4"/>
        <v>25.018386616318399</v>
      </c>
      <c r="I31" s="8">
        <f t="shared" si="5"/>
        <v>9.4409006099314716</v>
      </c>
      <c r="J31" s="8">
        <f t="shared" si="6"/>
        <v>6.9886133836815993</v>
      </c>
      <c r="K31" s="8">
        <f>'Exptl Setup'!H51+'Exptl Setup'!I51+'Exptl Setup'!J51+5</f>
        <v>23.003024686832859</v>
      </c>
      <c r="L31" s="8">
        <f t="shared" si="7"/>
        <v>29.991638070514458</v>
      </c>
      <c r="M31" s="44">
        <v>300</v>
      </c>
      <c r="N31" s="85">
        <f t="shared" si="8"/>
        <v>260.56746131955407</v>
      </c>
      <c r="O31" s="193">
        <f>10^(-'Pre-DEA characterisation'!V32)</f>
        <v>1.9498445997580341E-9</v>
      </c>
      <c r="P31" s="66">
        <v>60</v>
      </c>
      <c r="Q31" s="30">
        <v>65.158000000000001</v>
      </c>
      <c r="R31" s="86">
        <f t="shared" si="9"/>
        <v>49.454922000000003</v>
      </c>
      <c r="S31" s="86">
        <f t="shared" si="10"/>
        <v>11607.704041737186</v>
      </c>
      <c r="T31" s="86">
        <f t="shared" si="11"/>
        <v>365.11211309408901</v>
      </c>
      <c r="U31" s="67">
        <f t="shared" si="12"/>
        <v>26699.603498504461</v>
      </c>
      <c r="V31" s="199">
        <f t="shared" si="13"/>
        <v>7281.7100450466705</v>
      </c>
      <c r="W31" s="66">
        <v>120</v>
      </c>
      <c r="X31" s="30">
        <v>65.444000000000003</v>
      </c>
      <c r="Y31" s="86">
        <f t="shared" si="14"/>
        <v>49.671996</v>
      </c>
      <c r="Z31" s="86">
        <f t="shared" si="15"/>
        <v>11658.654091707056</v>
      </c>
      <c r="AA31" s="86">
        <f t="shared" si="37"/>
        <v>366.71471084639734</v>
      </c>
      <c r="AB31" s="67">
        <f t="shared" si="16"/>
        <v>26816.796883822801</v>
      </c>
      <c r="AC31" s="199">
        <f t="shared" si="38"/>
        <v>7313.6718774062183</v>
      </c>
      <c r="AD31" s="66">
        <v>180</v>
      </c>
      <c r="AE31" s="30">
        <v>67.73</v>
      </c>
      <c r="AF31" s="86">
        <f t="shared" si="17"/>
        <v>51.407070000000004</v>
      </c>
      <c r="AG31" s="86">
        <f t="shared" si="18"/>
        <v>12065.89819741029</v>
      </c>
      <c r="AH31" s="86">
        <f t="shared" si="19"/>
        <v>379.52428588757562</v>
      </c>
      <c r="AI31" s="67">
        <f t="shared" si="20"/>
        <v>27753.524432206446</v>
      </c>
      <c r="AJ31" s="199">
        <f t="shared" si="39"/>
        <v>7569.1430269653947</v>
      </c>
      <c r="AK31" s="3">
        <v>240</v>
      </c>
      <c r="AL31" s="30">
        <v>68.016000000000005</v>
      </c>
      <c r="AM31" s="86">
        <f t="shared" si="21"/>
        <v>51.624144000000001</v>
      </c>
      <c r="AN31" s="86">
        <f t="shared" si="22"/>
        <v>12116.848247380158</v>
      </c>
      <c r="AO31" s="86">
        <f t="shared" si="23"/>
        <v>381.12688363988394</v>
      </c>
      <c r="AP31" s="67">
        <f t="shared" si="24"/>
        <v>27870.717817524783</v>
      </c>
      <c r="AQ31" s="199">
        <f t="shared" si="40"/>
        <v>7601.1048593249407</v>
      </c>
      <c r="AR31" s="199">
        <f>(((AL31*$N31*10^-3)*$E$3*$E$4)/($E$5*$E$6*$H31))*1000*(12/44)+'post-DEA dissolved CO2'!N29</f>
        <v>23349.263483708943</v>
      </c>
      <c r="AS31" s="87">
        <f t="shared" si="3"/>
        <v>7281.7100450466705</v>
      </c>
      <c r="AT31" s="87">
        <f t="shared" si="41"/>
        <v>7313.6718774062183</v>
      </c>
      <c r="AU31" s="87">
        <f t="shared" si="42"/>
        <v>7569.1430269653947</v>
      </c>
      <c r="AV31" s="87">
        <f t="shared" si="43"/>
        <v>7601.1048593249407</v>
      </c>
      <c r="AW31" s="71">
        <f t="shared" si="25"/>
        <v>0.88054317020507722</v>
      </c>
      <c r="AX31" s="72">
        <f t="shared" si="26"/>
        <v>2.0227593206566445</v>
      </c>
      <c r="AY31" s="88">
        <f t="shared" si="27"/>
        <v>0.12136555923939868</v>
      </c>
      <c r="AZ31" s="88"/>
      <c r="BA31" s="3">
        <v>16</v>
      </c>
      <c r="BB31" s="3" t="s">
        <v>82</v>
      </c>
      <c r="BC31" s="111">
        <v>20</v>
      </c>
      <c r="BD31" s="75">
        <f t="shared" si="28"/>
        <v>23349.263483708943</v>
      </c>
      <c r="BE31" s="160">
        <f t="shared" si="29"/>
        <v>0.32553938434196528</v>
      </c>
      <c r="BF31" s="3">
        <f t="shared" si="30"/>
        <v>22368.138527280447</v>
      </c>
      <c r="BG31" s="3">
        <f t="shared" si="44"/>
        <v>22466.319681072804</v>
      </c>
      <c r="BH31" s="3">
        <f t="shared" si="45"/>
        <v>23251.08232991659</v>
      </c>
      <c r="BI31" s="3">
        <f t="shared" si="46"/>
        <v>23349.263483708943</v>
      </c>
      <c r="BJ31" s="222">
        <v>7601.1048593249407</v>
      </c>
      <c r="BK31" s="71">
        <f t="shared" si="34"/>
        <v>0.88054317020507766</v>
      </c>
      <c r="BL31" s="72">
        <f t="shared" si="35"/>
        <v>6.2135625302154525</v>
      </c>
      <c r="BM31" s="88">
        <f t="shared" si="36"/>
        <v>0.37281375181292714</v>
      </c>
      <c r="BN31" s="227">
        <v>0.12136555923939868</v>
      </c>
      <c r="BO31" s="234"/>
      <c r="BP31" s="241">
        <v>32</v>
      </c>
      <c r="BQ31" s="30" t="s">
        <v>82</v>
      </c>
      <c r="BR31" s="231">
        <f>AVERAGE(BC75:BC77)</f>
        <v>15.99648831420919</v>
      </c>
      <c r="BS31" s="231">
        <f>AVERAGE(BD75:BD77)</f>
        <v>42948.751298609764</v>
      </c>
      <c r="BT31" s="231">
        <f>STDEV(BD75:BD77)/SQRT(3)</f>
        <v>2798.6426122493931</v>
      </c>
      <c r="BU31" s="231">
        <f>AVERAGE(BJ75:BJ77)</f>
        <v>91469.888220002817</v>
      </c>
      <c r="BV31" s="231">
        <f>STDEV(BJ75:BJ77)/SQRT(3)</f>
        <v>3677.7114420649677</v>
      </c>
      <c r="BW31" s="231">
        <f>AVERAGE(BM75:BM77)</f>
        <v>2.8838443997471743</v>
      </c>
      <c r="BX31" s="231">
        <f>STDEV(BM75:BM77)/SQRT(3)</f>
        <v>6.6891966559536664E-2</v>
      </c>
      <c r="BY31" s="242">
        <f>AVERAGE(BN75:BN77)</f>
        <v>6.1545702007000935</v>
      </c>
      <c r="BZ31" s="242">
        <f>STDEV(BN75:BN77)/SQRT(3)</f>
        <v>5.4031040685471814E-2</v>
      </c>
      <c r="CA31">
        <v>8.2650000000000006</v>
      </c>
      <c r="CB31"/>
      <c r="CC31"/>
      <c r="CD31"/>
      <c r="CE31" s="3" t="s">
        <v>24</v>
      </c>
      <c r="CF31"/>
      <c r="CG31"/>
      <c r="CH31"/>
      <c r="CI31"/>
      <c r="CJ31"/>
      <c r="CK31"/>
      <c r="CL31"/>
      <c r="CM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</row>
    <row r="32" spans="1:382" ht="15.75" thickBot="1">
      <c r="A32" s="132">
        <f>'Exptl Setup'!A52</f>
        <v>45</v>
      </c>
      <c r="B32" s="132" t="str">
        <f>'Exptl Setup'!C52</f>
        <v>c</v>
      </c>
      <c r="C32" s="132">
        <f>'Exptl Setup'!D52</f>
        <v>16</v>
      </c>
      <c r="D32" s="132" t="str">
        <f>'Exptl Setup'!E52</f>
        <v>-</v>
      </c>
      <c r="E32" s="148">
        <f>'Exptl Setup'!K52</f>
        <v>19.998109570729465</v>
      </c>
      <c r="F32" s="134">
        <f>'Exptl Setup'!F52</f>
        <v>32</v>
      </c>
      <c r="G32" s="135">
        <f>'Exptl Setup'!$C$5</f>
        <v>1.2793390913194711</v>
      </c>
      <c r="H32" s="136">
        <f t="shared" si="4"/>
        <v>25.01291504115315</v>
      </c>
      <c r="I32" s="137">
        <f t="shared" si="5"/>
        <v>9.4388358645860944</v>
      </c>
      <c r="J32" s="137">
        <f t="shared" si="6"/>
        <v>6.9870849588468502</v>
      </c>
      <c r="K32" s="137">
        <f>'Exptl Setup'!H52+'Exptl Setup'!I52+'Exptl Setup'!J52+5</f>
        <v>23.003024686832859</v>
      </c>
      <c r="L32" s="137">
        <f t="shared" si="7"/>
        <v>29.990109645679709</v>
      </c>
      <c r="M32" s="138">
        <v>300</v>
      </c>
      <c r="N32" s="137">
        <f t="shared" si="8"/>
        <v>260.57105448973419</v>
      </c>
      <c r="O32" s="195">
        <f>10^(-'Pre-DEA characterisation'!V33)</f>
        <v>1.9498445997580341E-9</v>
      </c>
      <c r="P32" s="140">
        <v>60</v>
      </c>
      <c r="Q32" s="132">
        <v>77.447000000000003</v>
      </c>
      <c r="R32" s="149">
        <f t="shared" si="9"/>
        <v>58.782273000000004</v>
      </c>
      <c r="S32" s="149">
        <f t="shared" si="10"/>
        <v>13796.952867190827</v>
      </c>
      <c r="T32" s="149">
        <f t="shared" si="11"/>
        <v>433.95257572039441</v>
      </c>
      <c r="U32" s="141">
        <f t="shared" si="12"/>
        <v>31740.651186028001</v>
      </c>
      <c r="V32" s="199">
        <f t="shared" si="13"/>
        <v>8656.5412325530906</v>
      </c>
      <c r="W32" s="140">
        <v>120</v>
      </c>
      <c r="X32" s="132">
        <v>64.587000000000003</v>
      </c>
      <c r="Y32" s="149">
        <f t="shared" si="14"/>
        <v>49.021533000000005</v>
      </c>
      <c r="Z32" s="149">
        <f t="shared" si="15"/>
        <v>11505.982088825311</v>
      </c>
      <c r="AA32" s="149">
        <f t="shared" si="37"/>
        <v>361.89516712142643</v>
      </c>
      <c r="AB32" s="141">
        <f t="shared" si="16"/>
        <v>26470.14652797384</v>
      </c>
      <c r="AC32" s="199">
        <f t="shared" si="38"/>
        <v>7219.1308712655918</v>
      </c>
      <c r="AD32" s="140">
        <v>180</v>
      </c>
      <c r="AE32" s="132">
        <v>63.728999999999999</v>
      </c>
      <c r="AF32" s="149">
        <f t="shared" si="17"/>
        <v>48.370311000000001</v>
      </c>
      <c r="AG32" s="149">
        <f t="shared" si="18"/>
        <v>11353.1319389157</v>
      </c>
      <c r="AH32" s="149">
        <f t="shared" si="19"/>
        <v>357.08760440152639</v>
      </c>
      <c r="AI32" s="141">
        <f t="shared" si="20"/>
        <v>26118.50632606012</v>
      </c>
      <c r="AJ32" s="199">
        <f t="shared" si="39"/>
        <v>7123.2289980163969</v>
      </c>
      <c r="AK32" s="132">
        <v>240</v>
      </c>
      <c r="AL32" s="132">
        <v>65.158000000000001</v>
      </c>
      <c r="AM32" s="149">
        <f t="shared" si="21"/>
        <v>49.454922000000003</v>
      </c>
      <c r="AN32" s="149">
        <f t="shared" si="22"/>
        <v>11607.704041737186</v>
      </c>
      <c r="AO32" s="149">
        <f t="shared" si="23"/>
        <v>365.09460571473983</v>
      </c>
      <c r="AP32" s="141">
        <f t="shared" si="24"/>
        <v>26704.163492184489</v>
      </c>
      <c r="AQ32" s="199">
        <f t="shared" si="40"/>
        <v>7282.9536796866796</v>
      </c>
      <c r="AR32" s="199">
        <f>(((AL32*$N32*10^-3)*$E$3*$E$4)/($E$5*$E$6*$H32))*1000*(12/44)+'post-DEA dissolved CO2'!N30</f>
        <v>21804.222967199676</v>
      </c>
      <c r="AS32" s="87">
        <f t="shared" si="3"/>
        <v>8656.5412325530906</v>
      </c>
      <c r="AT32" s="87">
        <f t="shared" si="41"/>
        <v>7219.1308712655918</v>
      </c>
      <c r="AU32" s="87">
        <f t="shared" si="42"/>
        <v>7123.2289980163969</v>
      </c>
      <c r="AV32" s="87">
        <f t="shared" si="43"/>
        <v>7282.9536796866796</v>
      </c>
      <c r="AW32" s="145">
        <f t="shared" si="25"/>
        <v>0.56065092490245028</v>
      </c>
      <c r="AX32" s="146">
        <f t="shared" si="26"/>
        <v>-7.0277742197473794</v>
      </c>
      <c r="AY32" s="150">
        <f t="shared" si="27"/>
        <v>-0.42166645318484275</v>
      </c>
      <c r="AZ32" s="211"/>
      <c r="BA32" s="132">
        <v>16</v>
      </c>
      <c r="BB32" s="132" t="s">
        <v>82</v>
      </c>
      <c r="BC32" s="133">
        <v>20</v>
      </c>
      <c r="BD32" s="148">
        <f t="shared" si="28"/>
        <v>21804.222967199676</v>
      </c>
      <c r="BE32" s="161">
        <f t="shared" si="29"/>
        <v>0.33401574046653731</v>
      </c>
      <c r="BF32" s="132">
        <f t="shared" si="30"/>
        <v>25916.566747609097</v>
      </c>
      <c r="BG32" s="132">
        <f t="shared" si="44"/>
        <v>21613.145719367156</v>
      </c>
      <c r="BH32" s="132">
        <f t="shared" si="45"/>
        <v>21326.027893377148</v>
      </c>
      <c r="BI32" s="132">
        <f t="shared" si="46"/>
        <v>21804.222967199676</v>
      </c>
      <c r="BJ32" s="222">
        <v>7282.9536796866796</v>
      </c>
      <c r="BK32" s="145">
        <f t="shared" si="34"/>
        <v>0.56065092490245039</v>
      </c>
      <c r="BL32" s="146">
        <f t="shared" si="35"/>
        <v>-21.040248612030449</v>
      </c>
      <c r="BM32" s="150">
        <f t="shared" si="36"/>
        <v>-1.262414916721827</v>
      </c>
      <c r="BN32" s="227">
        <v>-0.42166645318484275</v>
      </c>
      <c r="BO32" s="234"/>
      <c r="BP32" s="243">
        <v>32</v>
      </c>
      <c r="BQ32" s="132" t="s">
        <v>82</v>
      </c>
      <c r="BR32" s="244">
        <f>AVERAGE(BC78:BC80)</f>
        <v>19.997069570876238</v>
      </c>
      <c r="BS32" s="244">
        <f>AVERAGE(BD78:BD80)</f>
        <v>11918.208827204711</v>
      </c>
      <c r="BT32" s="244">
        <f>STDEV(BD78:BD80)/SQRT(3)</f>
        <v>57.481915550157488</v>
      </c>
      <c r="BU32" s="244">
        <f>AVERAGE(BJ78:BJ80)</f>
        <v>19614.947288387611</v>
      </c>
      <c r="BV32" s="244">
        <f>STDEV(BJ78:BJ80)/SQRT(3)</f>
        <v>2818.6614148562348</v>
      </c>
      <c r="BW32" s="244">
        <f>AVERAGE(BM78:BM80)</f>
        <v>0.34982910970040271</v>
      </c>
      <c r="BX32" s="244">
        <f>STDEV(BM78:BM80)/SQRT(3)</f>
        <v>0.45634141695038455</v>
      </c>
      <c r="BY32" s="245">
        <f>AVERAGE(BN78:BN80)</f>
        <v>0.6589979716946428</v>
      </c>
      <c r="BZ32" s="245">
        <f>STDEV(BN78:BN80)/SQRT(3)</f>
        <v>0.87737033267207754</v>
      </c>
      <c r="CA32">
        <v>8.7650000000000006</v>
      </c>
      <c r="CB32"/>
      <c r="CC32"/>
      <c r="CD32" s="3" t="s">
        <v>22</v>
      </c>
      <c r="CE32" s="250">
        <v>16</v>
      </c>
      <c r="CF32" s="251">
        <v>24</v>
      </c>
      <c r="CG32" s="251">
        <v>32</v>
      </c>
      <c r="CH32" s="251">
        <v>40</v>
      </c>
      <c r="CI32" s="252">
        <v>48</v>
      </c>
      <c r="CJ32"/>
      <c r="CK32"/>
      <c r="CL32"/>
      <c r="CM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</row>
    <row r="33" spans="1:382">
      <c r="A33" s="3">
        <f>'Exptl Setup'!A56</f>
        <v>49</v>
      </c>
      <c r="B33" s="3" t="str">
        <f>'Exptl Setup'!C56</f>
        <v>a</v>
      </c>
      <c r="C33" s="3">
        <f>'Exptl Setup'!D56</f>
        <v>24</v>
      </c>
      <c r="D33" s="3" t="str">
        <f>'Exptl Setup'!E56</f>
        <v>+</v>
      </c>
      <c r="E33" s="75">
        <f>'Exptl Setup'!K56</f>
        <v>0</v>
      </c>
      <c r="F33" s="63">
        <f>'Exptl Setup'!F56</f>
        <v>32.003999999999998</v>
      </c>
      <c r="G33" s="64">
        <f>'Exptl Setup'!$C$5</f>
        <v>1.2793390913194711</v>
      </c>
      <c r="H33" s="7">
        <f t="shared" si="4"/>
        <v>25.016041655533289</v>
      </c>
      <c r="I33" s="8">
        <f t="shared" si="5"/>
        <v>9.4400157190691658</v>
      </c>
      <c r="J33" s="8">
        <f t="shared" si="6"/>
        <v>6.9879583444667084</v>
      </c>
      <c r="K33" s="8">
        <f>'Exptl Setup'!H56+'Exptl Setup'!I56+'Exptl Setup'!J56+5</f>
        <v>23.003024686832859</v>
      </c>
      <c r="L33" s="8">
        <f t="shared" si="7"/>
        <v>29.990983031299567</v>
      </c>
      <c r="M33" s="44">
        <v>300</v>
      </c>
      <c r="N33" s="85">
        <f t="shared" si="8"/>
        <v>260.56900124963124</v>
      </c>
      <c r="O33" s="193">
        <f>10^(-'Pre-DEA characterisation'!V34)</f>
        <v>1.5488166189124783E-5</v>
      </c>
      <c r="P33" s="66">
        <v>60</v>
      </c>
      <c r="Q33" s="30">
        <v>473.85399999999998</v>
      </c>
      <c r="R33" s="86">
        <f t="shared" ref="R33:R96" si="47">Q33*$E$2</f>
        <v>359.65518600000001</v>
      </c>
      <c r="S33" s="86">
        <f t="shared" ref="S33:S96" si="48">(R33/$O33^2)*($O33^2+$O33*$J$3+$J$3*$J$4)</f>
        <v>369.98869097764515</v>
      </c>
      <c r="T33" s="86">
        <f t="shared" ref="T33:T96" si="49">(Q33*$N33*10^-3)+(S33*$L33*10^-3)</f>
        <v>134.56798807102606</v>
      </c>
      <c r="U33" s="67">
        <f t="shared" ref="U33:U96" si="50">((T33*$E$3*$E$4)/($E$5*$E$6*$H33))*1000</f>
        <v>9841.4941318468427</v>
      </c>
      <c r="V33" s="199">
        <f t="shared" si="13"/>
        <v>2684.0438541400481</v>
      </c>
      <c r="W33" s="66">
        <v>120</v>
      </c>
      <c r="X33" s="30">
        <v>563.43100000000004</v>
      </c>
      <c r="Y33" s="86">
        <f t="shared" ref="Y33:Y96" si="51">X33*$E$2</f>
        <v>427.64412900000002</v>
      </c>
      <c r="Z33" s="86">
        <f t="shared" ref="Z33:Z96" si="52">(Y33/$O33^2)*($O33^2+$O33*$J$3+$J$3*$J$4)</f>
        <v>439.93107190448029</v>
      </c>
      <c r="AA33" s="86">
        <f t="shared" ref="AA33:AA96" si="53">(X33*$N33*10^-3)+(Z33*$L33*10^-3)</f>
        <v>160.00661825550969</v>
      </c>
      <c r="AB33" s="67">
        <f t="shared" ref="AB33:AB96" si="54">((AA33*$E$3*$E$4)/($E$5*$E$6*$H33))*1000</f>
        <v>11701.92270235262</v>
      </c>
      <c r="AC33" s="199">
        <f t="shared" si="38"/>
        <v>3191.4334642779872</v>
      </c>
      <c r="AD33" s="66">
        <v>180</v>
      </c>
      <c r="AE33" s="30">
        <v>722.26</v>
      </c>
      <c r="AF33" s="86">
        <f t="shared" ref="AF33:AF96" si="55">AE33*$E$2</f>
        <v>548.19533999999999</v>
      </c>
      <c r="AG33" s="86">
        <f t="shared" ref="AG33:AG96" si="56">(AF33/$O33^2)*($O33^2+$O33*$J$3+$J$3*$J$4)</f>
        <v>563.94592415704835</v>
      </c>
      <c r="AH33" s="86">
        <f t="shared" ref="AH33:AH96" si="57">(AE33*$N33*10^-3)+(AG33*$L33*10^-3)</f>
        <v>205.11185948452322</v>
      </c>
      <c r="AI33" s="67">
        <f t="shared" ref="AI33:AI96" si="58">((AH33*$E$3*$E$4)/($E$5*$E$6*$H33))*1000</f>
        <v>15000.649043097028</v>
      </c>
      <c r="AJ33" s="199">
        <f t="shared" si="39"/>
        <v>4091.0861026628259</v>
      </c>
      <c r="AK33" s="3">
        <v>240</v>
      </c>
      <c r="AL33" s="30">
        <v>824.63400000000001</v>
      </c>
      <c r="AM33" s="86">
        <f t="shared" ref="AM33:AM96" si="59">AL33*$E$2</f>
        <v>625.89720599999998</v>
      </c>
      <c r="AN33" s="86">
        <f t="shared" ref="AN33:AN96" si="60">(AM33/$O33^2)*($O33^2+$O33*$J$3+$J$3*$J$4)</f>
        <v>643.88029687553433</v>
      </c>
      <c r="AO33" s="86">
        <f t="shared" ref="AO33:AO96" si="61">(AL33*$N33*10^-3)+(AN33*$L33*10^-3)</f>
        <v>234.18466083427072</v>
      </c>
      <c r="AP33" s="67">
        <f t="shared" ref="AP33:AP96" si="62">((AO33*$E$3*$E$4)/($E$5*$E$6*$H33))*1000</f>
        <v>17126.859057687365</v>
      </c>
      <c r="AQ33" s="199">
        <f t="shared" si="40"/>
        <v>4670.9615611874624</v>
      </c>
      <c r="AR33" s="199">
        <f>(((AL33*$N33*10^-3)*$E$3*$E$4)/($E$5*$E$6*$H33))*1000*(12/44)+'post-DEA dissolved CO2'!N31</f>
        <v>7405.2150084649547</v>
      </c>
      <c r="AS33" s="87">
        <f t="shared" ref="AS33:AS96" si="63">V33</f>
        <v>2684.0438541400481</v>
      </c>
      <c r="AT33" s="87">
        <f t="shared" ref="AT33:AT96" si="64">AC33</f>
        <v>3191.4334642779872</v>
      </c>
      <c r="AU33" s="87">
        <f t="shared" ref="AU33:AU96" si="65">AJ33</f>
        <v>4091.0861026628259</v>
      </c>
      <c r="AV33" s="87">
        <f t="shared" ref="AV33:AV96" si="66">AQ33</f>
        <v>4670.9615611874624</v>
      </c>
      <c r="AW33" s="71">
        <f t="shared" ref="AW33:AW96" si="67">RSQ($AS$8:$AV$8,AS33:AV33)</f>
        <v>0.98879643418188323</v>
      </c>
      <c r="AX33" s="72">
        <f t="shared" ref="AX33:AX96" si="68">SLOPE(AS33:AV33,AS$8:AV$8)</f>
        <v>11.434009599211802</v>
      </c>
      <c r="AY33" s="88">
        <f t="shared" ref="AY33:AY96" si="69">AX33*60/1000</f>
        <v>0.68604057595270806</v>
      </c>
      <c r="AZ33" s="88"/>
      <c r="BA33" s="3">
        <v>24</v>
      </c>
      <c r="BB33" s="3" t="s">
        <v>81</v>
      </c>
      <c r="BC33" s="111">
        <v>0</v>
      </c>
      <c r="BD33" s="75">
        <f t="shared" si="28"/>
        <v>7405.2150084649547</v>
      </c>
      <c r="BE33" s="160">
        <f t="shared" si="29"/>
        <v>0.63076650115466637</v>
      </c>
      <c r="BF33" s="3">
        <f t="shared" ref="BF33:BF96" si="70">IF($BD33&gt;$AV33,(AS33/$BE33),(AS33*$BE33))</f>
        <v>4255.2098902314883</v>
      </c>
      <c r="BG33" s="3">
        <f t="shared" ref="BG33:BG96" si="71">IF($BD33&gt;$AV33,(AT33/$BE33),(AT33*$BE33))</f>
        <v>5059.6115336433113</v>
      </c>
      <c r="BH33" s="3">
        <f t="shared" ref="BH33:BH96" si="72">IF($BD33&gt;$AV33,(AU33/$BE33),(AU33*$BE33))</f>
        <v>6485.8962788508579</v>
      </c>
      <c r="BI33" s="3">
        <f t="shared" ref="BI33:BI96" si="73">IF($BD33&gt;$AV33,(AV33/$BE33),(AV33*$BE33))</f>
        <v>7405.2150084649547</v>
      </c>
      <c r="BJ33" s="222">
        <v>4670.9615611874624</v>
      </c>
      <c r="BK33" s="71">
        <f t="shared" ref="BK33:BK96" si="74">RSQ($BF$8:$BI$8,BF33:BI33)</f>
        <v>0.98879643418188323</v>
      </c>
      <c r="BL33" s="72">
        <f t="shared" ref="BL33:BL96" si="75">SLOPE(BF33:BI33,BF$8:BI$8)</f>
        <v>18.127166833179913</v>
      </c>
      <c r="BM33" s="88">
        <f t="shared" si="36"/>
        <v>1.087630009990795</v>
      </c>
      <c r="BN33" s="227">
        <v>0.68604057595270806</v>
      </c>
      <c r="BO33" s="234"/>
      <c r="BP33" s="241">
        <v>40</v>
      </c>
      <c r="BQ33" s="30" t="s">
        <v>81</v>
      </c>
      <c r="BR33" s="231">
        <f>AVERAGE(BC81:BC83)</f>
        <v>0</v>
      </c>
      <c r="BS33" s="231">
        <f>AVERAGE(BD81:BD83)</f>
        <v>6462.838691427427</v>
      </c>
      <c r="BT33" s="231">
        <f>STDEV(BD81:BD83)/SQRT(3)</f>
        <v>314.21153496856624</v>
      </c>
      <c r="BU33" s="231">
        <f>AVERAGE(BJ81:BJ83)</f>
        <v>3276.8754374404984</v>
      </c>
      <c r="BV33" s="231">
        <f>STDEV(BJ81:BJ83)/SQRT(3)</f>
        <v>216.95192628162889</v>
      </c>
      <c r="BW33" s="231">
        <f>AVERAGE(BM81:BM83)</f>
        <v>0.80099725044284875</v>
      </c>
      <c r="BX33" s="231">
        <f>STDEV(BM81:BM83)/SQRT(3)</f>
        <v>0.10574171954909067</v>
      </c>
      <c r="BY33" s="242">
        <f>AVERAGE(BN81:BN83)</f>
        <v>0.40708034078924094</v>
      </c>
      <c r="BZ33" s="242">
        <f>STDEV(BN81:BN83)/SQRT(3)</f>
        <v>5.8829892932724497E-2</v>
      </c>
      <c r="CA33">
        <v>4.58</v>
      </c>
      <c r="CC33" s="272" t="s">
        <v>81</v>
      </c>
      <c r="CD33" s="270">
        <v>0</v>
      </c>
      <c r="CE33" s="270">
        <v>2373.8090954372192</v>
      </c>
      <c r="CF33">
        <v>4518.4741287524266</v>
      </c>
      <c r="CG33">
        <v>6236.5180569772156</v>
      </c>
      <c r="CH33">
        <v>3276.8754374404984</v>
      </c>
      <c r="CI33">
        <v>3205.8085593828887</v>
      </c>
      <c r="CJ33"/>
      <c r="CK33"/>
      <c r="CL33"/>
      <c r="CM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</row>
    <row r="34" spans="1:382">
      <c r="A34" s="3">
        <f>'Exptl Setup'!A57</f>
        <v>50</v>
      </c>
      <c r="B34" s="3" t="str">
        <f>'Exptl Setup'!C57</f>
        <v>b</v>
      </c>
      <c r="C34" s="3">
        <f>'Exptl Setup'!D57</f>
        <v>24</v>
      </c>
      <c r="D34" s="3" t="str">
        <f>'Exptl Setup'!E57</f>
        <v>+</v>
      </c>
      <c r="E34" s="75">
        <f>'Exptl Setup'!K57</f>
        <v>0</v>
      </c>
      <c r="F34" s="63">
        <f>'Exptl Setup'!F57</f>
        <v>32.003</v>
      </c>
      <c r="G34" s="64">
        <f>'Exptl Setup'!$C$5</f>
        <v>1.2793390913194711</v>
      </c>
      <c r="H34" s="7">
        <f t="shared" si="4"/>
        <v>25.015260001938255</v>
      </c>
      <c r="I34" s="8">
        <f t="shared" si="5"/>
        <v>9.4397207554483984</v>
      </c>
      <c r="J34" s="8">
        <f t="shared" si="6"/>
        <v>6.9877399980617447</v>
      </c>
      <c r="K34" s="8">
        <f>'Exptl Setup'!H57+'Exptl Setup'!I57+'Exptl Setup'!J57+5</f>
        <v>23.003024686832859</v>
      </c>
      <c r="L34" s="8">
        <f t="shared" si="7"/>
        <v>29.990764684894604</v>
      </c>
      <c r="M34" s="44">
        <v>300</v>
      </c>
      <c r="N34" s="85">
        <f t="shared" si="8"/>
        <v>260.56951455965702</v>
      </c>
      <c r="O34" s="193">
        <f>10^(-'Pre-DEA characterisation'!V35)</f>
        <v>1.5488166189124783E-5</v>
      </c>
      <c r="P34" s="66">
        <v>60</v>
      </c>
      <c r="Q34" s="30">
        <v>432.45299999999997</v>
      </c>
      <c r="R34" s="86">
        <f t="shared" si="47"/>
        <v>328.23182700000001</v>
      </c>
      <c r="S34" s="86">
        <f t="shared" si="48"/>
        <v>337.66248544774459</v>
      </c>
      <c r="T34" s="86">
        <f t="shared" si="49"/>
        <v>122.81082442384731</v>
      </c>
      <c r="U34" s="67">
        <f t="shared" si="50"/>
        <v>8981.9264725779376</v>
      </c>
      <c r="V34" s="199">
        <f t="shared" si="13"/>
        <v>2449.6163107030739</v>
      </c>
      <c r="W34" s="66">
        <v>120</v>
      </c>
      <c r="X34" s="30">
        <v>528.80499999999995</v>
      </c>
      <c r="Y34" s="86">
        <f t="shared" si="51"/>
        <v>401.36299499999996</v>
      </c>
      <c r="Z34" s="86">
        <f t="shared" si="52"/>
        <v>412.89483624161369</v>
      </c>
      <c r="AA34" s="86">
        <f t="shared" si="53"/>
        <v>150.17349402004976</v>
      </c>
      <c r="AB34" s="67">
        <f t="shared" si="54"/>
        <v>10983.130255384001</v>
      </c>
      <c r="AC34" s="199">
        <f t="shared" si="38"/>
        <v>2995.3991605592732</v>
      </c>
      <c r="AD34" s="66">
        <v>180</v>
      </c>
      <c r="AE34" s="30">
        <v>633.43600000000004</v>
      </c>
      <c r="AF34" s="86">
        <f t="shared" si="55"/>
        <v>480.77792400000004</v>
      </c>
      <c r="AG34" s="86">
        <f t="shared" si="56"/>
        <v>494.59149117263053</v>
      </c>
      <c r="AH34" s="86">
        <f t="shared" si="57"/>
        <v>179.88728805152039</v>
      </c>
      <c r="AI34" s="67">
        <f t="shared" si="58"/>
        <v>13156.286526128573</v>
      </c>
      <c r="AJ34" s="199">
        <f t="shared" si="39"/>
        <v>3588.0781434896107</v>
      </c>
      <c r="AK34" s="3">
        <v>240</v>
      </c>
      <c r="AL34" s="30">
        <v>740.32600000000002</v>
      </c>
      <c r="AM34" s="86">
        <f t="shared" si="59"/>
        <v>561.90743399999997</v>
      </c>
      <c r="AN34" s="86">
        <f t="shared" si="60"/>
        <v>578.0519899308988</v>
      </c>
      <c r="AO34" s="86">
        <f t="shared" si="61"/>
        <v>210.24260764154531</v>
      </c>
      <c r="AP34" s="67">
        <f t="shared" si="62"/>
        <v>15376.361587820495</v>
      </c>
      <c r="AQ34" s="199">
        <f t="shared" si="40"/>
        <v>4193.5531603146801</v>
      </c>
      <c r="AR34" s="199">
        <f>(((AL34*$N34*10^-3)*$E$3*$E$4)/($E$5*$E$6*$H34))*1000*(12/44)+'post-DEA dissolved CO2'!N32</f>
        <v>7256.9441012971565</v>
      </c>
      <c r="AS34" s="87">
        <f t="shared" si="63"/>
        <v>2449.6163107030739</v>
      </c>
      <c r="AT34" s="87">
        <f t="shared" si="64"/>
        <v>2995.3991605592732</v>
      </c>
      <c r="AU34" s="87">
        <f t="shared" si="65"/>
        <v>3588.0781434896107</v>
      </c>
      <c r="AV34" s="87">
        <f t="shared" si="66"/>
        <v>4193.5531603146801</v>
      </c>
      <c r="AW34" s="71">
        <f t="shared" si="67"/>
        <v>0.99944087960795847</v>
      </c>
      <c r="AX34" s="72">
        <f t="shared" si="68"/>
        <v>9.7074825529419275</v>
      </c>
      <c r="AY34" s="88">
        <f t="shared" si="69"/>
        <v>0.58244895317651557</v>
      </c>
      <c r="AZ34" s="88"/>
      <c r="BA34" s="3">
        <v>24</v>
      </c>
      <c r="BB34" s="3" t="s">
        <v>81</v>
      </c>
      <c r="BC34" s="111">
        <v>0</v>
      </c>
      <c r="BD34" s="75">
        <f t="shared" si="28"/>
        <v>7256.9441012971565</v>
      </c>
      <c r="BE34" s="160">
        <f t="shared" si="29"/>
        <v>0.57786763984651546</v>
      </c>
      <c r="BF34" s="3">
        <f t="shared" si="70"/>
        <v>4239.0612344268047</v>
      </c>
      <c r="BG34" s="3">
        <f t="shared" si="71"/>
        <v>5183.5385026143122</v>
      </c>
      <c r="BH34" s="3">
        <f t="shared" si="72"/>
        <v>6209.1695330830817</v>
      </c>
      <c r="BI34" s="3">
        <f t="shared" si="73"/>
        <v>7256.9441012971565</v>
      </c>
      <c r="BJ34" s="222">
        <v>4193.5531603146801</v>
      </c>
      <c r="BK34" s="71">
        <f t="shared" si="74"/>
        <v>0.99944087960795824</v>
      </c>
      <c r="BL34" s="72">
        <f t="shared" si="75"/>
        <v>16.798799385133041</v>
      </c>
      <c r="BM34" s="88">
        <f t="shared" si="36"/>
        <v>1.0079279631079825</v>
      </c>
      <c r="BN34" s="227">
        <v>0.58244895317651557</v>
      </c>
      <c r="BO34" s="234"/>
      <c r="BP34" s="241">
        <v>40</v>
      </c>
      <c r="BQ34" s="30" t="s">
        <v>81</v>
      </c>
      <c r="BR34" s="231">
        <f>AVERAGE(BC84:BC86)</f>
        <v>5.9994953907006332</v>
      </c>
      <c r="BS34" s="231">
        <f>AVERAGE(BD84:BD85)</f>
        <v>18300.816919901677</v>
      </c>
      <c r="BT34" s="231">
        <f>STDEV(BD84:BD85)/SQRT(3)</f>
        <v>27.447375024497752</v>
      </c>
      <c r="BU34" s="231">
        <f>AVERAGE(BJ84:BJ85)</f>
        <v>14236.105678440295</v>
      </c>
      <c r="BV34" s="231">
        <f>STDEV(BJ84:BJ85)/SQRT(3)</f>
        <v>12.667746609475046</v>
      </c>
      <c r="BW34" s="231">
        <f>AVERAGE(BM84:BM85)</f>
        <v>1.7222263349022882</v>
      </c>
      <c r="BX34" s="231">
        <f>STDEV(BM84:BM85)/SQRT(3)</f>
        <v>5.4607148933738621E-3</v>
      </c>
      <c r="BY34" s="242">
        <f>AVERAGE(BN84:BN85)</f>
        <v>1.3397161986604051</v>
      </c>
      <c r="BZ34" s="242">
        <f>STDEV(BN84:BN85)/SQRT(3)</f>
        <v>5.065035119768151E-3</v>
      </c>
      <c r="CA34">
        <v>6.6400000000000006</v>
      </c>
      <c r="CC34" s="273"/>
      <c r="CD34" s="270">
        <v>6</v>
      </c>
      <c r="CE34" s="270">
        <v>9419.5958727869165</v>
      </c>
      <c r="CF34">
        <v>20145.597264757267</v>
      </c>
      <c r="CG34">
        <v>25072.852978849351</v>
      </c>
      <c r="CH34">
        <v>14236.105678440295</v>
      </c>
      <c r="CI34">
        <v>15822.898143435808</v>
      </c>
      <c r="CJ34"/>
      <c r="CK34"/>
      <c r="CL34"/>
      <c r="CM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</row>
    <row r="35" spans="1:382">
      <c r="A35" s="3">
        <f>'Exptl Setup'!A58</f>
        <v>51</v>
      </c>
      <c r="B35" s="3" t="str">
        <f>'Exptl Setup'!C58</f>
        <v>c</v>
      </c>
      <c r="C35" s="3">
        <f>'Exptl Setup'!D58</f>
        <v>24</v>
      </c>
      <c r="D35" s="3" t="str">
        <f>'Exptl Setup'!E58</f>
        <v>+</v>
      </c>
      <c r="E35" s="75">
        <f>'Exptl Setup'!K58</f>
        <v>0</v>
      </c>
      <c r="F35" s="63">
        <f>'Exptl Setup'!F58</f>
        <v>31.998999999999999</v>
      </c>
      <c r="G35" s="64">
        <f>'Exptl Setup'!$C$5</f>
        <v>1.2793390913194711</v>
      </c>
      <c r="H35" s="7">
        <f t="shared" si="4"/>
        <v>25.012133387558112</v>
      </c>
      <c r="I35" s="8">
        <f t="shared" si="5"/>
        <v>9.4385409009653252</v>
      </c>
      <c r="J35" s="8">
        <f t="shared" si="6"/>
        <v>6.9868666124418866</v>
      </c>
      <c r="K35" s="8">
        <f>'Exptl Setup'!H58+'Exptl Setup'!I58+'Exptl Setup'!J58+5</f>
        <v>23.003024686832859</v>
      </c>
      <c r="L35" s="8">
        <f t="shared" si="7"/>
        <v>29.989891299274746</v>
      </c>
      <c r="M35" s="44">
        <v>300</v>
      </c>
      <c r="N35" s="85">
        <f t="shared" si="8"/>
        <v>260.57156779975992</v>
      </c>
      <c r="O35" s="193">
        <f>10^(-'Pre-DEA characterisation'!V36)</f>
        <v>1.5488166189124783E-5</v>
      </c>
      <c r="P35" s="66">
        <v>60</v>
      </c>
      <c r="Q35" s="30">
        <v>447.13200000000001</v>
      </c>
      <c r="R35" s="86">
        <f t="shared" si="47"/>
        <v>339.37318800000003</v>
      </c>
      <c r="S35" s="86">
        <f t="shared" si="48"/>
        <v>349.12395669175834</v>
      </c>
      <c r="T35" s="86">
        <f t="shared" si="49"/>
        <v>126.9800757646008</v>
      </c>
      <c r="U35" s="67">
        <f t="shared" si="50"/>
        <v>9288.01088600822</v>
      </c>
      <c r="V35" s="199">
        <f t="shared" si="13"/>
        <v>2533.093878002242</v>
      </c>
      <c r="W35" s="66">
        <v>120</v>
      </c>
      <c r="X35" s="30">
        <v>580.74400000000003</v>
      </c>
      <c r="Y35" s="86">
        <f t="shared" si="51"/>
        <v>440.78469600000005</v>
      </c>
      <c r="Z35" s="86">
        <f t="shared" si="52"/>
        <v>453.44918973591354</v>
      </c>
      <c r="AA35" s="86">
        <f t="shared" si="53"/>
        <v>164.92426648022803</v>
      </c>
      <c r="AB35" s="67">
        <f t="shared" si="54"/>
        <v>12063.454626338435</v>
      </c>
      <c r="AC35" s="199">
        <f t="shared" si="38"/>
        <v>3290.0330799104822</v>
      </c>
      <c r="AD35" s="66">
        <v>180</v>
      </c>
      <c r="AE35" s="30">
        <v>779.846</v>
      </c>
      <c r="AF35" s="86">
        <f t="shared" si="55"/>
        <v>591.90311399999996</v>
      </c>
      <c r="AG35" s="86">
        <f t="shared" si="56"/>
        <v>608.90949681579696</v>
      </c>
      <c r="AH35" s="86">
        <f t="shared" si="57"/>
        <v>221.46682448297344</v>
      </c>
      <c r="AI35" s="67">
        <f t="shared" si="58"/>
        <v>16199.283740394261</v>
      </c>
      <c r="AJ35" s="199">
        <f t="shared" si="39"/>
        <v>4417.9864746529802</v>
      </c>
      <c r="AK35" s="3">
        <v>240</v>
      </c>
      <c r="AL35" s="30">
        <v>828.02099999999996</v>
      </c>
      <c r="AM35" s="86">
        <f t="shared" si="59"/>
        <v>628.467939</v>
      </c>
      <c r="AN35" s="86">
        <f t="shared" si="60"/>
        <v>646.52489140537114</v>
      </c>
      <c r="AO35" s="86">
        <f t="shared" si="61"/>
        <v>235.14794135664749</v>
      </c>
      <c r="AP35" s="67">
        <f t="shared" si="62"/>
        <v>17199.994770768837</v>
      </c>
      <c r="AQ35" s="199">
        <f t="shared" si="40"/>
        <v>4690.9076647551374</v>
      </c>
      <c r="AR35" s="199">
        <f>(((AL35*$N35*10^-3)*$E$3*$E$4)/($E$5*$E$6*$H35))*1000*(12/44)+'post-DEA dissolved CO2'!N33</f>
        <v>7817.8813316498408</v>
      </c>
      <c r="AS35" s="87">
        <f t="shared" si="63"/>
        <v>2533.093878002242</v>
      </c>
      <c r="AT35" s="87">
        <f t="shared" si="64"/>
        <v>3290.0330799104822</v>
      </c>
      <c r="AU35" s="87">
        <f t="shared" si="65"/>
        <v>4417.9864746529802</v>
      </c>
      <c r="AV35" s="87">
        <f t="shared" si="66"/>
        <v>4690.9076647551374</v>
      </c>
      <c r="AW35" s="71">
        <f t="shared" si="67"/>
        <v>0.95576009656825911</v>
      </c>
      <c r="AX35" s="72">
        <f t="shared" si="68"/>
        <v>12.668991258335307</v>
      </c>
      <c r="AY35" s="88">
        <f t="shared" si="69"/>
        <v>0.76013947550011851</v>
      </c>
      <c r="AZ35" s="88"/>
      <c r="BA35" s="3">
        <v>24</v>
      </c>
      <c r="BB35" s="3" t="s">
        <v>81</v>
      </c>
      <c r="BC35" s="111">
        <v>0</v>
      </c>
      <c r="BD35" s="75">
        <f t="shared" si="28"/>
        <v>7817.8813316498408</v>
      </c>
      <c r="BE35" s="160">
        <f t="shared" si="29"/>
        <v>0.60002287905861507</v>
      </c>
      <c r="BF35" s="3">
        <f t="shared" si="70"/>
        <v>4221.6621505774101</v>
      </c>
      <c r="BG35" s="3">
        <f t="shared" si="71"/>
        <v>5483.1793832132944</v>
      </c>
      <c r="BH35" s="3">
        <f t="shared" si="72"/>
        <v>7363.030025762394</v>
      </c>
      <c r="BI35" s="3">
        <f t="shared" si="73"/>
        <v>7817.8813316498417</v>
      </c>
      <c r="BJ35" s="222">
        <v>4690.9076647551374</v>
      </c>
      <c r="BK35" s="71">
        <f t="shared" si="74"/>
        <v>0.95576009656825911</v>
      </c>
      <c r="BL35" s="72">
        <f t="shared" si="75"/>
        <v>21.114180309610656</v>
      </c>
      <c r="BM35" s="88">
        <f t="shared" si="36"/>
        <v>1.2668508185766394</v>
      </c>
      <c r="BN35" s="227">
        <v>0.76013947550011851</v>
      </c>
      <c r="BO35" s="234"/>
      <c r="BP35" s="241">
        <v>40</v>
      </c>
      <c r="BQ35" s="30" t="s">
        <v>81</v>
      </c>
      <c r="BR35" s="231">
        <f>AVERAGE(BC87:BC89)</f>
        <v>15.998821322948217</v>
      </c>
      <c r="BS35" s="231">
        <f>AVERAGE(BD87:BD89)</f>
        <v>72228.006270915736</v>
      </c>
      <c r="BT35" s="231">
        <f>STDEV(BD87:BD89)/SQRT(3)</f>
        <v>2098.3482367688748</v>
      </c>
      <c r="BU35" s="231">
        <f>AVERAGE(BJ87:BJ89)</f>
        <v>99208.798313377818</v>
      </c>
      <c r="BV35" s="231">
        <f>STDEV(BJ87:BJ89)/SQRT(3)</f>
        <v>2934.9044154842154</v>
      </c>
      <c r="BW35" s="231">
        <f>AVERAGE(BM87:BM89)</f>
        <v>3.4803150947584078</v>
      </c>
      <c r="BX35" s="231">
        <f>STDEV(BM87:BM89)/SQRT(3)</f>
        <v>8.231652475194437E-2</v>
      </c>
      <c r="BY35" s="242">
        <f>AVERAGE(BN87:BN89)</f>
        <v>4.7836740389673471</v>
      </c>
      <c r="BZ35" s="242">
        <f>STDEV(BN87:BN89)/SQRT(3)</f>
        <v>0.17120715389918534</v>
      </c>
      <c r="CA35">
        <v>8.4049999999999994</v>
      </c>
      <c r="CC35" s="273"/>
      <c r="CD35" s="270">
        <v>16</v>
      </c>
      <c r="CE35" s="270">
        <v>4415.3890493120525</v>
      </c>
      <c r="CF35">
        <v>43598.689703374701</v>
      </c>
      <c r="CG35">
        <v>109347.3505621965</v>
      </c>
      <c r="CH35">
        <v>99208.798313377818</v>
      </c>
      <c r="CI35">
        <v>154923.36715729712</v>
      </c>
      <c r="CJ35"/>
      <c r="CK35"/>
      <c r="CL35"/>
      <c r="CM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</row>
    <row r="36" spans="1:382">
      <c r="A36" s="3">
        <f>'Exptl Setup'!A62</f>
        <v>55</v>
      </c>
      <c r="B36" s="3" t="str">
        <f>'Exptl Setup'!C62</f>
        <v>a</v>
      </c>
      <c r="C36" s="3">
        <f>'Exptl Setup'!D62</f>
        <v>24</v>
      </c>
      <c r="D36" s="3" t="str">
        <f>'Exptl Setup'!E62</f>
        <v>+</v>
      </c>
      <c r="E36" s="75">
        <f>'Exptl Setup'!K62</f>
        <v>5.9998078592100397</v>
      </c>
      <c r="F36" s="63">
        <f>'Exptl Setup'!F62</f>
        <v>31.998000000000001</v>
      </c>
      <c r="G36" s="64">
        <f>'Exptl Setup'!$C$5</f>
        <v>1.2793390913194711</v>
      </c>
      <c r="H36" s="7">
        <f t="shared" si="4"/>
        <v>25.011351733963078</v>
      </c>
      <c r="I36" s="8">
        <f t="shared" si="5"/>
        <v>9.4382459373445577</v>
      </c>
      <c r="J36" s="8">
        <f t="shared" si="6"/>
        <v>6.9866482660369229</v>
      </c>
      <c r="K36" s="8">
        <f>'Exptl Setup'!H62+'Exptl Setup'!I62+'Exptl Setup'!J62+5</f>
        <v>23.003024686832859</v>
      </c>
      <c r="L36" s="8">
        <f t="shared" si="7"/>
        <v>29.989672952869782</v>
      </c>
      <c r="M36" s="44">
        <v>300</v>
      </c>
      <c r="N36" s="85">
        <f t="shared" si="8"/>
        <v>260.57208110978564</v>
      </c>
      <c r="O36" s="193">
        <f>10^(-'Pre-DEA characterisation'!V37)</f>
        <v>2.1379620895022279E-7</v>
      </c>
      <c r="P36" s="66">
        <v>60</v>
      </c>
      <c r="Q36" s="30">
        <v>2328.998</v>
      </c>
      <c r="R36" s="86">
        <f t="shared" si="47"/>
        <v>1767.709482</v>
      </c>
      <c r="S36" s="86">
        <f t="shared" si="48"/>
        <v>5447.8649196897131</v>
      </c>
      <c r="T36" s="86">
        <f t="shared" si="49"/>
        <v>770.25154299343524</v>
      </c>
      <c r="U36" s="67">
        <f t="shared" si="50"/>
        <v>56342.132834261858</v>
      </c>
      <c r="V36" s="199">
        <f t="shared" si="13"/>
        <v>15366.036227525961</v>
      </c>
      <c r="W36" s="66">
        <v>120</v>
      </c>
      <c r="X36" s="30">
        <v>2739.998</v>
      </c>
      <c r="Y36" s="86">
        <f t="shared" si="51"/>
        <v>2079.6584820000003</v>
      </c>
      <c r="Z36" s="86">
        <f t="shared" si="52"/>
        <v>6409.2536722745044</v>
      </c>
      <c r="AA36" s="86">
        <f t="shared" si="53"/>
        <v>906.17840260014248</v>
      </c>
      <c r="AB36" s="67">
        <f t="shared" si="54"/>
        <v>66284.870696158541</v>
      </c>
      <c r="AC36" s="199">
        <f t="shared" si="38"/>
        <v>18077.692008043236</v>
      </c>
      <c r="AD36" s="66">
        <v>180</v>
      </c>
      <c r="AE36" s="30">
        <v>3026.7939999999999</v>
      </c>
      <c r="AF36" s="86">
        <f t="shared" si="55"/>
        <v>2297.3366459999997</v>
      </c>
      <c r="AG36" s="86">
        <f t="shared" si="56"/>
        <v>7080.1112116572458</v>
      </c>
      <c r="AH36" s="86">
        <f t="shared" si="57"/>
        <v>1001.0282313781598</v>
      </c>
      <c r="AI36" s="67">
        <f t="shared" si="58"/>
        <v>73222.918014505281</v>
      </c>
      <c r="AJ36" s="199">
        <f t="shared" si="39"/>
        <v>19969.886731228711</v>
      </c>
      <c r="AK36" s="3">
        <v>240</v>
      </c>
      <c r="AL36" s="30">
        <v>3305.3110000000001</v>
      </c>
      <c r="AM36" s="86">
        <f t="shared" si="59"/>
        <v>2508.731049</v>
      </c>
      <c r="AN36" s="86">
        <f t="shared" si="60"/>
        <v>7731.6029664106718</v>
      </c>
      <c r="AO36" s="86">
        <f t="shared" si="61"/>
        <v>1093.1400103491605</v>
      </c>
      <c r="AP36" s="67">
        <f t="shared" si="62"/>
        <v>79960.683272612034</v>
      </c>
      <c r="AQ36" s="199">
        <f t="shared" si="40"/>
        <v>21807.459074348735</v>
      </c>
      <c r="AR36" s="199">
        <f>(((AL36*$N36*10^-3)*$E$3*$E$4)/($E$5*$E$6*$H36))*1000*(12/44)+'post-DEA dissolved CO2'!N34</f>
        <v>23624.546851651598</v>
      </c>
      <c r="AS36" s="87">
        <f t="shared" si="63"/>
        <v>15366.036227525961</v>
      </c>
      <c r="AT36" s="87">
        <f t="shared" si="64"/>
        <v>18077.692008043236</v>
      </c>
      <c r="AU36" s="87">
        <f t="shared" si="65"/>
        <v>19969.886731228711</v>
      </c>
      <c r="AV36" s="87">
        <f t="shared" si="66"/>
        <v>21807.459074348735</v>
      </c>
      <c r="AW36" s="71">
        <f t="shared" si="67"/>
        <v>0.99030876375896792</v>
      </c>
      <c r="AX36" s="72">
        <f t="shared" si="68"/>
        <v>35.360772106089662</v>
      </c>
      <c r="AY36" s="88">
        <f t="shared" si="69"/>
        <v>2.1216463263653798</v>
      </c>
      <c r="AZ36" s="88"/>
      <c r="BA36" s="3">
        <v>24</v>
      </c>
      <c r="BB36" s="3" t="s">
        <v>81</v>
      </c>
      <c r="BC36" s="111">
        <v>5.9998078592100397</v>
      </c>
      <c r="BD36" s="75">
        <f t="shared" si="28"/>
        <v>23624.546851651598</v>
      </c>
      <c r="BE36" s="160">
        <f t="shared" si="29"/>
        <v>0.92308475634630727</v>
      </c>
      <c r="BF36" s="3">
        <f t="shared" si="70"/>
        <v>16646.397984456795</v>
      </c>
      <c r="BG36" s="3">
        <f t="shared" si="71"/>
        <v>19584.000151402299</v>
      </c>
      <c r="BH36" s="3">
        <f t="shared" si="72"/>
        <v>21633.860372986972</v>
      </c>
      <c r="BI36" s="3">
        <f t="shared" si="73"/>
        <v>23624.546851651598</v>
      </c>
      <c r="BJ36" s="222">
        <v>21807.459074348735</v>
      </c>
      <c r="BK36" s="71">
        <f t="shared" si="74"/>
        <v>0.99030876375896792</v>
      </c>
      <c r="BL36" s="72">
        <f t="shared" si="75"/>
        <v>38.307178038615142</v>
      </c>
      <c r="BM36" s="88">
        <f t="shared" si="36"/>
        <v>2.2984306823169085</v>
      </c>
      <c r="BN36" s="227">
        <v>2.1216463263653798</v>
      </c>
      <c r="BO36" s="234"/>
      <c r="BP36" s="241">
        <v>40</v>
      </c>
      <c r="BQ36" s="30" t="s">
        <v>81</v>
      </c>
      <c r="BR36" s="231">
        <f>AVERAGE(BC90:BC92)</f>
        <v>19.994777437553353</v>
      </c>
      <c r="BS36" s="231">
        <f>AVERAGE(BD90:BD92)</f>
        <v>25987.510273798296</v>
      </c>
      <c r="BT36" s="231">
        <f>STDEV(BD90:BD92)/SQRT(3)</f>
        <v>3706.9919943340924</v>
      </c>
      <c r="BU36" s="231">
        <f>AVERAGE(BJ90:BJ92)</f>
        <v>9055.9069410004795</v>
      </c>
      <c r="BV36" s="231">
        <f>STDEV(BJ90:BJ92)/SQRT(3)</f>
        <v>2058.1983414332835</v>
      </c>
      <c r="BW36" s="231">
        <f>AVERAGE(BM90:BM92)</f>
        <v>-2.0414342184498988</v>
      </c>
      <c r="BX36" s="231">
        <f>STDEV(BM90:BM92)/SQRT(3)</f>
        <v>0.54220278488342055</v>
      </c>
      <c r="BY36" s="242">
        <f>AVERAGE(BN90:BN92)</f>
        <v>-0.64879500180264627</v>
      </c>
      <c r="BZ36" s="242">
        <f>STDEV(BN90:BN92)/SQRT(3)</f>
        <v>0.1002791317894467</v>
      </c>
      <c r="CA36">
        <v>8.7149999999999999</v>
      </c>
      <c r="CC36" s="273"/>
      <c r="CD36" s="270">
        <v>20</v>
      </c>
      <c r="CE36" s="270">
        <v>9939.9959029734437</v>
      </c>
      <c r="CF36">
        <v>17452.469346133326</v>
      </c>
      <c r="CG36">
        <v>17938.201447882751</v>
      </c>
      <c r="CH36">
        <v>9055.9069410004795</v>
      </c>
      <c r="CI36">
        <v>29243.895757614227</v>
      </c>
      <c r="CJ36"/>
      <c r="CK36"/>
      <c r="CL36"/>
      <c r="CM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</row>
    <row r="37" spans="1:382">
      <c r="A37" s="3">
        <f>'Exptl Setup'!A63</f>
        <v>56</v>
      </c>
      <c r="B37" s="3" t="str">
        <f>'Exptl Setup'!C63</f>
        <v>b</v>
      </c>
      <c r="C37" s="3">
        <f>'Exptl Setup'!D63</f>
        <v>24</v>
      </c>
      <c r="D37" s="3" t="str">
        <f>'Exptl Setup'!E63</f>
        <v>+</v>
      </c>
      <c r="E37" s="75">
        <f>'Exptl Setup'!K63</f>
        <v>5.9996203593550685</v>
      </c>
      <c r="F37" s="63">
        <f>'Exptl Setup'!F63</f>
        <v>31.998999999999999</v>
      </c>
      <c r="G37" s="64">
        <f>'Exptl Setup'!$C$5</f>
        <v>1.2793390913194711</v>
      </c>
      <c r="H37" s="7">
        <f t="shared" si="4"/>
        <v>25.012133387558112</v>
      </c>
      <c r="I37" s="8">
        <f t="shared" si="5"/>
        <v>9.4385409009653252</v>
      </c>
      <c r="J37" s="8">
        <f t="shared" si="6"/>
        <v>6.9868666124418866</v>
      </c>
      <c r="K37" s="8">
        <f>'Exptl Setup'!H63+'Exptl Setup'!I63+'Exptl Setup'!J63+5</f>
        <v>23.003024686832859</v>
      </c>
      <c r="L37" s="8">
        <f t="shared" si="7"/>
        <v>29.989891299274746</v>
      </c>
      <c r="M37" s="44">
        <v>300</v>
      </c>
      <c r="N37" s="85">
        <f t="shared" si="8"/>
        <v>260.57156779975992</v>
      </c>
      <c r="O37" s="193">
        <f>10^(-'Pre-DEA characterisation'!V38)</f>
        <v>2.1379620895022279E-7</v>
      </c>
      <c r="P37" s="66">
        <v>60</v>
      </c>
      <c r="Q37" s="30">
        <v>2005.694</v>
      </c>
      <c r="R37" s="86">
        <f t="shared" si="47"/>
        <v>1522.3217460000001</v>
      </c>
      <c r="S37" s="86">
        <f t="shared" si="48"/>
        <v>4691.609860649146</v>
      </c>
      <c r="T37" s="86">
        <f t="shared" si="49"/>
        <v>663.32769984604511</v>
      </c>
      <c r="U37" s="67">
        <f t="shared" si="50"/>
        <v>48519.382746174168</v>
      </c>
      <c r="V37" s="199">
        <f t="shared" si="13"/>
        <v>13232.558930774772</v>
      </c>
      <c r="W37" s="66">
        <v>120</v>
      </c>
      <c r="X37" s="30">
        <v>2341.4189999999999</v>
      </c>
      <c r="Y37" s="86">
        <f t="shared" si="51"/>
        <v>1777.137021</v>
      </c>
      <c r="Z37" s="86">
        <f t="shared" si="52"/>
        <v>5476.9194444971481</v>
      </c>
      <c r="AA37" s="86">
        <f t="shared" si="53"/>
        <v>774.35943850149977</v>
      </c>
      <c r="AB37" s="67">
        <f t="shared" si="54"/>
        <v>56640.845827012679</v>
      </c>
      <c r="AC37" s="199">
        <f t="shared" si="38"/>
        <v>15447.503407367096</v>
      </c>
      <c r="AD37" s="66">
        <v>180</v>
      </c>
      <c r="AE37" s="30">
        <v>2639.5059999999999</v>
      </c>
      <c r="AF37" s="86">
        <f t="shared" si="55"/>
        <v>2003.3850539999999</v>
      </c>
      <c r="AG37" s="86">
        <f t="shared" si="56"/>
        <v>6174.1882744040631</v>
      </c>
      <c r="AH37" s="86">
        <f t="shared" si="57"/>
        <v>872.94345184750773</v>
      </c>
      <c r="AI37" s="67">
        <f t="shared" si="58"/>
        <v>63851.814820617292</v>
      </c>
      <c r="AJ37" s="199">
        <f t="shared" si="39"/>
        <v>17414.131314713806</v>
      </c>
      <c r="AK37" s="3">
        <v>240</v>
      </c>
      <c r="AL37" s="30">
        <v>2984.2640000000001</v>
      </c>
      <c r="AM37" s="86">
        <f t="shared" si="59"/>
        <v>2265.056376</v>
      </c>
      <c r="AN37" s="86">
        <f t="shared" si="60"/>
        <v>6980.6273585004801</v>
      </c>
      <c r="AO37" s="86">
        <f t="shared" si="61"/>
        <v>986.96260489055567</v>
      </c>
      <c r="AP37" s="67">
        <f t="shared" si="62"/>
        <v>72191.793579493533</v>
      </c>
      <c r="AQ37" s="199">
        <f t="shared" si="40"/>
        <v>19688.670976225509</v>
      </c>
      <c r="AR37" s="199">
        <f>(((AL37*$N37*10^-3)*$E$3*$E$4)/($E$5*$E$6*$H37))*1000*(12/44)+'post-DEA dissolved CO2'!N35</f>
        <v>22082.660767229398</v>
      </c>
      <c r="AS37" s="87">
        <f t="shared" si="63"/>
        <v>13232.558930774772</v>
      </c>
      <c r="AT37" s="87">
        <f t="shared" si="64"/>
        <v>15447.503407367096</v>
      </c>
      <c r="AU37" s="87">
        <f t="shared" si="65"/>
        <v>17414.131314713806</v>
      </c>
      <c r="AV37" s="87">
        <f t="shared" si="66"/>
        <v>19688.670976225509</v>
      </c>
      <c r="AW37" s="71">
        <f t="shared" si="67"/>
        <v>0.99928179528352257</v>
      </c>
      <c r="AX37" s="72">
        <f t="shared" si="68"/>
        <v>35.558273406164865</v>
      </c>
      <c r="AY37" s="88">
        <f t="shared" si="69"/>
        <v>2.1334964043698919</v>
      </c>
      <c r="AZ37" s="88"/>
      <c r="BA37" s="3">
        <v>24</v>
      </c>
      <c r="BB37" s="3" t="s">
        <v>81</v>
      </c>
      <c r="BC37" s="111">
        <v>5.9996203593550685</v>
      </c>
      <c r="BD37" s="75">
        <f t="shared" si="28"/>
        <v>22082.660767229398</v>
      </c>
      <c r="BE37" s="160">
        <f t="shared" si="29"/>
        <v>0.89158961339674414</v>
      </c>
      <c r="BF37" s="3">
        <f t="shared" si="70"/>
        <v>14841.535536020741</v>
      </c>
      <c r="BG37" s="3">
        <f t="shared" si="71"/>
        <v>17325.800093740196</v>
      </c>
      <c r="BH37" s="3">
        <f t="shared" si="72"/>
        <v>19531.554712004901</v>
      </c>
      <c r="BI37" s="3">
        <f t="shared" si="73"/>
        <v>22082.660767229398</v>
      </c>
      <c r="BJ37" s="222">
        <v>19688.670976225509</v>
      </c>
      <c r="BK37" s="71">
        <f t="shared" si="74"/>
        <v>0.99928179528352301</v>
      </c>
      <c r="BL37" s="72">
        <f t="shared" si="75"/>
        <v>39.881883853151123</v>
      </c>
      <c r="BM37" s="88">
        <f t="shared" si="36"/>
        <v>2.3929130311890678</v>
      </c>
      <c r="BN37" s="227">
        <v>2.1334964043698919</v>
      </c>
      <c r="BO37" s="234"/>
      <c r="BP37" s="241">
        <v>40</v>
      </c>
      <c r="BQ37" s="30" t="s">
        <v>82</v>
      </c>
      <c r="BR37" s="231">
        <f>AVERAGE(BC93:BC95)</f>
        <v>0</v>
      </c>
      <c r="BS37" s="231">
        <f>AVERAGE(BD93:BD95)</f>
        <v>6360.3942157529191</v>
      </c>
      <c r="BT37" s="231">
        <f>STDEV(BD93:BD95)/SQRT(3)</f>
        <v>55.399980009343594</v>
      </c>
      <c r="BU37" s="231">
        <f>AVERAGE(BJ93:BJ95)</f>
        <v>2597.2263701690858</v>
      </c>
      <c r="BV37" s="231">
        <f>STDEV(BJ93:BJ95)/SQRT(3)</f>
        <v>86.55515863188883</v>
      </c>
      <c r="BW37" s="231">
        <f>AVERAGE(BM93:BM95)</f>
        <v>0.60765313565449419</v>
      </c>
      <c r="BX37" s="231">
        <f>STDEV(BM93:BM95)/SQRT(3)</f>
        <v>6.4410870291437966E-2</v>
      </c>
      <c r="BY37" s="242">
        <f>AVERAGE(BN93:BN95)</f>
        <v>0.24756064582071527</v>
      </c>
      <c r="BZ37" s="242">
        <f>STDEV(BN93:BN95)/SQRT(3)</f>
        <v>2.4052130130818441E-2</v>
      </c>
      <c r="CA37">
        <v>4.5950000000000006</v>
      </c>
      <c r="CC37" s="274" t="s">
        <v>82</v>
      </c>
      <c r="CD37" s="270">
        <v>0</v>
      </c>
      <c r="CE37" s="270">
        <v>1634.1249749748124</v>
      </c>
      <c r="CF37">
        <v>4248.9944179868326</v>
      </c>
      <c r="CG37">
        <v>5590.2794046146219</v>
      </c>
      <c r="CH37">
        <v>2597.2263701690858</v>
      </c>
      <c r="CI37">
        <v>3361.2421949770473</v>
      </c>
      <c r="CJ37"/>
      <c r="CK37"/>
      <c r="CL37"/>
      <c r="CM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</row>
    <row r="38" spans="1:382">
      <c r="A38" s="3">
        <f>'Exptl Setup'!A64</f>
        <v>57</v>
      </c>
      <c r="B38" s="3" t="str">
        <f>'Exptl Setup'!C64</f>
        <v>c</v>
      </c>
      <c r="C38" s="3">
        <f>'Exptl Setup'!D64</f>
        <v>24</v>
      </c>
      <c r="D38" s="3" t="str">
        <f>'Exptl Setup'!E64</f>
        <v>+</v>
      </c>
      <c r="E38" s="75">
        <f>'Exptl Setup'!K64</f>
        <v>5.9994328712188389</v>
      </c>
      <c r="F38" s="63">
        <f>'Exptl Setup'!F64</f>
        <v>32</v>
      </c>
      <c r="G38" s="64">
        <f>'Exptl Setup'!$C$5</f>
        <v>1.2793390913194711</v>
      </c>
      <c r="H38" s="7">
        <f t="shared" si="4"/>
        <v>25.01291504115315</v>
      </c>
      <c r="I38" s="8">
        <f t="shared" si="5"/>
        <v>9.4388358645860944</v>
      </c>
      <c r="J38" s="8">
        <f t="shared" si="6"/>
        <v>6.9870849588468502</v>
      </c>
      <c r="K38" s="8">
        <f>'Exptl Setup'!H64+'Exptl Setup'!I64+'Exptl Setup'!J64+5</f>
        <v>23.003024686832859</v>
      </c>
      <c r="L38" s="8">
        <f t="shared" si="7"/>
        <v>29.990109645679709</v>
      </c>
      <c r="M38" s="44">
        <v>300</v>
      </c>
      <c r="N38" s="85">
        <f t="shared" si="8"/>
        <v>260.57105448973419</v>
      </c>
      <c r="O38" s="193">
        <f>10^(-'Pre-DEA characterisation'!V39)</f>
        <v>2.1379620895022279E-7</v>
      </c>
      <c r="P38" s="66">
        <v>60</v>
      </c>
      <c r="Q38" s="30">
        <v>1969.5619999999999</v>
      </c>
      <c r="R38" s="86">
        <f t="shared" si="47"/>
        <v>1494.8975579999999</v>
      </c>
      <c r="S38" s="86">
        <f t="shared" si="48"/>
        <v>4607.0918596554866</v>
      </c>
      <c r="T38" s="86">
        <f t="shared" si="49"/>
        <v>651.37803724169635</v>
      </c>
      <c r="U38" s="67">
        <f t="shared" si="50"/>
        <v>47643.830748108572</v>
      </c>
      <c r="V38" s="199">
        <f t="shared" si="13"/>
        <v>12993.772022211429</v>
      </c>
      <c r="W38" s="66">
        <v>120</v>
      </c>
      <c r="X38" s="30">
        <v>2304.91</v>
      </c>
      <c r="Y38" s="86">
        <f t="shared" si="51"/>
        <v>1749.42669</v>
      </c>
      <c r="Z38" s="86">
        <f t="shared" si="52"/>
        <v>5391.5195856939408</v>
      </c>
      <c r="AA38" s="86">
        <f t="shared" si="53"/>
        <v>762.28509273572411</v>
      </c>
      <c r="AB38" s="67">
        <f t="shared" si="54"/>
        <v>55755.920316102216</v>
      </c>
      <c r="AC38" s="199">
        <f t="shared" si="38"/>
        <v>15206.160086209695</v>
      </c>
      <c r="AD38" s="66">
        <v>180</v>
      </c>
      <c r="AE38" s="30">
        <v>2598.105</v>
      </c>
      <c r="AF38" s="86">
        <f t="shared" si="55"/>
        <v>1971.961695</v>
      </c>
      <c r="AG38" s="86">
        <f t="shared" si="56"/>
        <v>6077.3453163851746</v>
      </c>
      <c r="AH38" s="86">
        <f t="shared" si="57"/>
        <v>859.25121191810024</v>
      </c>
      <c r="AI38" s="67">
        <f t="shared" si="58"/>
        <v>62848.326118098637</v>
      </c>
      <c r="AJ38" s="199">
        <f t="shared" si="39"/>
        <v>17140.452577663265</v>
      </c>
      <c r="AK38" s="3">
        <v>240</v>
      </c>
      <c r="AL38" s="30">
        <v>2870.9760000000001</v>
      </c>
      <c r="AM38" s="86">
        <f t="shared" si="59"/>
        <v>2179.070784</v>
      </c>
      <c r="AN38" s="86">
        <f t="shared" si="60"/>
        <v>6715.6302563038234</v>
      </c>
      <c r="AO38" s="86">
        <f t="shared" si="61"/>
        <v>949.49573146111493</v>
      </c>
      <c r="AP38" s="67">
        <f t="shared" si="62"/>
        <v>69449.093060224419</v>
      </c>
      <c r="AQ38" s="199">
        <f t="shared" si="40"/>
        <v>18940.661743697568</v>
      </c>
      <c r="AR38" s="199">
        <f>(((AL38*$N38*10^-3)*$E$3*$E$4)/($E$5*$E$6*$H38))*1000*(12/44)+'post-DEA dissolved CO2'!N36</f>
        <v>20777.203879572724</v>
      </c>
      <c r="AS38" s="87">
        <f t="shared" si="63"/>
        <v>12993.772022211429</v>
      </c>
      <c r="AT38" s="87">
        <f t="shared" si="64"/>
        <v>15206.160086209695</v>
      </c>
      <c r="AU38" s="87">
        <f t="shared" si="65"/>
        <v>17140.452577663265</v>
      </c>
      <c r="AV38" s="87">
        <f t="shared" si="66"/>
        <v>18940.661743697568</v>
      </c>
      <c r="AW38" s="71">
        <f t="shared" si="67"/>
        <v>0.99777965327218643</v>
      </c>
      <c r="AX38" s="72">
        <f t="shared" si="68"/>
        <v>32.958269426519983</v>
      </c>
      <c r="AY38" s="88">
        <f t="shared" si="69"/>
        <v>1.9774961655911991</v>
      </c>
      <c r="AZ38" s="88"/>
      <c r="BA38" s="3">
        <v>24</v>
      </c>
      <c r="BB38" s="3" t="s">
        <v>81</v>
      </c>
      <c r="BC38" s="111">
        <v>5.9994328712188389</v>
      </c>
      <c r="BD38" s="75">
        <f t="shared" si="28"/>
        <v>20777.203879572724</v>
      </c>
      <c r="BE38" s="160">
        <f t="shared" si="29"/>
        <v>0.91160783007569335</v>
      </c>
      <c r="BF38" s="3">
        <f t="shared" si="70"/>
        <v>14253.686282107208</v>
      </c>
      <c r="BG38" s="3">
        <f t="shared" si="71"/>
        <v>16680.593984089719</v>
      </c>
      <c r="BH38" s="3">
        <f t="shared" si="72"/>
        <v>18802.44115086204</v>
      </c>
      <c r="BI38" s="3">
        <f t="shared" si="73"/>
        <v>20777.203879572724</v>
      </c>
      <c r="BJ38" s="222">
        <v>18940.661743697568</v>
      </c>
      <c r="BK38" s="71">
        <f t="shared" si="74"/>
        <v>0.99777965327218687</v>
      </c>
      <c r="BL38" s="72">
        <f t="shared" si="75"/>
        <v>36.153999931948114</v>
      </c>
      <c r="BM38" s="88">
        <f t="shared" si="36"/>
        <v>2.1692399959168869</v>
      </c>
      <c r="BN38" s="227">
        <v>1.9774961655911991</v>
      </c>
      <c r="BO38" s="234"/>
      <c r="BP38" s="241">
        <v>40</v>
      </c>
      <c r="BQ38" s="30" t="s">
        <v>82</v>
      </c>
      <c r="BR38" s="231">
        <f>AVERAGE(BC96:BC98)</f>
        <v>5.9989958401527739</v>
      </c>
      <c r="BS38" s="231">
        <f>AVERAGE(BD96:BD98)</f>
        <v>21505.975920922156</v>
      </c>
      <c r="BT38" s="231">
        <f>STDEV(BD96:BD98)/SQRT(3)</f>
        <v>1879.0805423354859</v>
      </c>
      <c r="BU38" s="231">
        <f>AVERAGE(BJ96:BJ98)</f>
        <v>15911.499593981998</v>
      </c>
      <c r="BV38" s="231">
        <f>STDEV(BJ96:BJ98)/SQRT(3)</f>
        <v>1972.4377969477407</v>
      </c>
      <c r="BW38" s="231">
        <f>AVERAGE(BM96:BM98)</f>
        <v>1.8740266605728639</v>
      </c>
      <c r="BX38" s="231">
        <f>STDEV(BM96:BM98)/SQRT(3)</f>
        <v>0.31539363729939612</v>
      </c>
      <c r="BY38" s="242">
        <f>AVERAGE(BN96:BN98)</f>
        <v>1.3659407781219295</v>
      </c>
      <c r="BZ38" s="242">
        <f>STDEV(BN96:BN98)/SQRT(3)</f>
        <v>0.20598995025061864</v>
      </c>
      <c r="CA38">
        <v>6.68</v>
      </c>
      <c r="CD38" s="230">
        <v>6</v>
      </c>
      <c r="CE38" s="230">
        <v>8094.0408793872048</v>
      </c>
      <c r="CF38">
        <v>18674.448797910289</v>
      </c>
      <c r="CG38">
        <v>25550.146960879239</v>
      </c>
      <c r="CH38">
        <v>15911.499593981998</v>
      </c>
      <c r="CI38">
        <v>14459.287827235943</v>
      </c>
      <c r="CJ38"/>
      <c r="CK38"/>
      <c r="CL38"/>
      <c r="CM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</row>
    <row r="39" spans="1:382">
      <c r="A39" s="3">
        <f>'Exptl Setup'!A68</f>
        <v>61</v>
      </c>
      <c r="B39" s="3" t="str">
        <f>'Exptl Setup'!C68</f>
        <v>a</v>
      </c>
      <c r="C39" s="3">
        <f>'Exptl Setup'!D68</f>
        <v>24</v>
      </c>
      <c r="D39" s="3" t="str">
        <f>'Exptl Setup'!E68</f>
        <v>+</v>
      </c>
      <c r="E39" s="75">
        <f>'Exptl Setup'!K68</f>
        <v>16.000487717548268</v>
      </c>
      <c r="F39" s="63">
        <f>'Exptl Setup'!F68</f>
        <v>31.995999999999999</v>
      </c>
      <c r="G39" s="64">
        <f>'Exptl Setup'!$C$5</f>
        <v>1.2793390913194711</v>
      </c>
      <c r="H39" s="7">
        <f t="shared" si="4"/>
        <v>25.009788426773003</v>
      </c>
      <c r="I39" s="8">
        <f t="shared" si="5"/>
        <v>9.4376560101030211</v>
      </c>
      <c r="J39" s="8">
        <f t="shared" si="6"/>
        <v>6.9862115732269956</v>
      </c>
      <c r="K39" s="8">
        <f>'Exptl Setup'!H68+'Exptl Setup'!I68+'Exptl Setup'!J68+5</f>
        <v>23.003024686832862</v>
      </c>
      <c r="L39" s="8">
        <f t="shared" si="7"/>
        <v>29.989236260059858</v>
      </c>
      <c r="M39" s="44">
        <v>300</v>
      </c>
      <c r="N39" s="85">
        <f t="shared" si="8"/>
        <v>260.57310772983715</v>
      </c>
      <c r="O39" s="193">
        <f>10^(-'Pre-DEA characterisation'!V40)</f>
        <v>4.8977881936844683E-9</v>
      </c>
      <c r="P39" s="66">
        <v>60</v>
      </c>
      <c r="Q39" s="30">
        <v>577.73299999999995</v>
      </c>
      <c r="R39" s="86">
        <f t="shared" si="47"/>
        <v>438.49934699999994</v>
      </c>
      <c r="S39" s="86">
        <f t="shared" si="48"/>
        <v>40660.889345562195</v>
      </c>
      <c r="T39" s="86">
        <f t="shared" si="49"/>
        <v>1369.9307003762974</v>
      </c>
      <c r="U39" s="67">
        <f t="shared" si="50"/>
        <v>100213.55082071906</v>
      </c>
      <c r="V39" s="199">
        <f t="shared" si="13"/>
        <v>27330.968405650652</v>
      </c>
      <c r="W39" s="66">
        <v>120</v>
      </c>
      <c r="X39" s="30">
        <v>625.15599999999995</v>
      </c>
      <c r="Y39" s="86">
        <f t="shared" si="51"/>
        <v>474.49340399999994</v>
      </c>
      <c r="Z39" s="86">
        <f t="shared" si="52"/>
        <v>43998.523435071707</v>
      </c>
      <c r="AA39" s="86">
        <f t="shared" si="53"/>
        <v>1482.3809561241001</v>
      </c>
      <c r="AB39" s="67">
        <f t="shared" si="54"/>
        <v>108439.54313995819</v>
      </c>
      <c r="AC39" s="199">
        <f t="shared" si="38"/>
        <v>29574.420856352233</v>
      </c>
      <c r="AD39" s="66">
        <v>180</v>
      </c>
      <c r="AE39" s="30">
        <v>698.173</v>
      </c>
      <c r="AF39" s="86">
        <f t="shared" si="55"/>
        <v>529.91330700000003</v>
      </c>
      <c r="AG39" s="86">
        <f t="shared" si="56"/>
        <v>49137.465052297863</v>
      </c>
      <c r="AH39" s="86">
        <f t="shared" si="57"/>
        <v>1655.5201570168588</v>
      </c>
      <c r="AI39" s="67">
        <f t="shared" si="58"/>
        <v>121105.07001876975</v>
      </c>
      <c r="AJ39" s="199">
        <f t="shared" si="39"/>
        <v>33028.655459664478</v>
      </c>
      <c r="AK39" s="3">
        <v>240</v>
      </c>
      <c r="AL39" s="30">
        <v>777.96400000000006</v>
      </c>
      <c r="AM39" s="86">
        <f t="shared" si="59"/>
        <v>590.47467600000004</v>
      </c>
      <c r="AN39" s="86">
        <f t="shared" si="60"/>
        <v>54753.161267974916</v>
      </c>
      <c r="AO39" s="86">
        <f t="shared" si="61"/>
        <v>1844.7219864323934</v>
      </c>
      <c r="AP39" s="67">
        <f t="shared" si="62"/>
        <v>134945.6147574916</v>
      </c>
      <c r="AQ39" s="199">
        <f t="shared" si="40"/>
        <v>36803.34947931589</v>
      </c>
      <c r="AR39" s="199">
        <f>(((AL39*$N39*10^-3)*$E$3*$E$4)/($E$5*$E$6*$H39))*1000*(12/44)+'post-DEA dissolved CO2'!N37</f>
        <v>36745.782571590338</v>
      </c>
      <c r="AS39" s="87">
        <f t="shared" si="63"/>
        <v>27330.968405650652</v>
      </c>
      <c r="AT39" s="87">
        <f t="shared" si="64"/>
        <v>29574.420856352233</v>
      </c>
      <c r="AU39" s="87">
        <f t="shared" si="65"/>
        <v>33028.655459664478</v>
      </c>
      <c r="AV39" s="87">
        <f t="shared" si="66"/>
        <v>36803.34947931589</v>
      </c>
      <c r="AW39" s="71">
        <f t="shared" si="67"/>
        <v>0.98782829203575162</v>
      </c>
      <c r="AX39" s="72">
        <f t="shared" si="68"/>
        <v>53.118963040513265</v>
      </c>
      <c r="AY39" s="88">
        <f t="shared" si="69"/>
        <v>3.187137782430796</v>
      </c>
      <c r="AZ39" s="88"/>
      <c r="BA39" s="3">
        <v>24</v>
      </c>
      <c r="BB39" s="3" t="s">
        <v>81</v>
      </c>
      <c r="BC39" s="111">
        <v>16.000487717548268</v>
      </c>
      <c r="BD39" s="75">
        <f t="shared" si="28"/>
        <v>36745.782571590338</v>
      </c>
      <c r="BE39" s="160">
        <f t="shared" si="29"/>
        <v>0.99843582422415367</v>
      </c>
      <c r="BF39" s="3">
        <f t="shared" si="70"/>
        <v>27288.217966940112</v>
      </c>
      <c r="BG39" s="3">
        <f t="shared" si="71"/>
        <v>29528.161263664042</v>
      </c>
      <c r="BH39" s="3">
        <f t="shared" si="72"/>
        <v>32976.9928368857</v>
      </c>
      <c r="BI39" s="3">
        <f t="shared" si="73"/>
        <v>36745.782571590338</v>
      </c>
      <c r="BJ39" s="222">
        <v>36803.34947931589</v>
      </c>
      <c r="BK39" s="71">
        <f t="shared" si="74"/>
        <v>0.98782829203575184</v>
      </c>
      <c r="BL39" s="72">
        <f t="shared" si="75"/>
        <v>53.035875645287234</v>
      </c>
      <c r="BM39" s="88">
        <f t="shared" si="36"/>
        <v>3.1821525387172342</v>
      </c>
      <c r="BN39" s="227">
        <v>3.187137782430796</v>
      </c>
      <c r="BO39" s="234"/>
      <c r="BP39" s="241">
        <v>40</v>
      </c>
      <c r="BQ39" s="30" t="s">
        <v>82</v>
      </c>
      <c r="BR39" s="231">
        <f>AVERAGE(BC99:BC101)</f>
        <v>16.000321415663901</v>
      </c>
      <c r="BS39" s="231">
        <f>AVERAGE(BD99:BD101)</f>
        <v>86854.698779251543</v>
      </c>
      <c r="BT39" s="231">
        <f>STDEV(BD99:BD101)/SQRT(3)</f>
        <v>5351.3270957565564</v>
      </c>
      <c r="BU39" s="231">
        <f>AVERAGE(BJ99:BJ101)</f>
        <v>80920.532002944485</v>
      </c>
      <c r="BV39" s="231">
        <f>STDEV(BJ99:BJ101)/SQRT(3)</f>
        <v>2701.1824904630112</v>
      </c>
      <c r="BW39" s="231">
        <f>AVERAGE(BM99:BM101)</f>
        <v>5.0128724365613699</v>
      </c>
      <c r="BX39" s="231">
        <f>STDEV(BM99:BM101)/SQRT(3)</f>
        <v>0.35281252759642967</v>
      </c>
      <c r="BY39" s="242">
        <f>AVERAGE(BN99:BN101)</f>
        <v>4.662577744731613</v>
      </c>
      <c r="BZ39" s="242">
        <f>STDEV(BN99:BN101)/SQRT(3)</f>
        <v>0.10918184971146544</v>
      </c>
      <c r="CA39">
        <v>8.3150000000000013</v>
      </c>
      <c r="CD39">
        <v>16</v>
      </c>
      <c r="CE39">
        <v>4986.264591000464</v>
      </c>
      <c r="CF39">
        <v>27111.910999714488</v>
      </c>
      <c r="CG39">
        <v>91469.888220002817</v>
      </c>
      <c r="CH39">
        <v>80920.532002944485</v>
      </c>
      <c r="CI39">
        <v>127724.71433666586</v>
      </c>
      <c r="CJ39"/>
      <c r="CK39"/>
      <c r="CL39"/>
      <c r="CM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</row>
    <row r="40" spans="1:382" ht="15.75" thickBot="1">
      <c r="A40" s="3">
        <f>'Exptl Setup'!A69</f>
        <v>62</v>
      </c>
      <c r="B40" s="3" t="str">
        <f>'Exptl Setup'!C69</f>
        <v>b</v>
      </c>
      <c r="C40" s="3">
        <f>'Exptl Setup'!D69</f>
        <v>24</v>
      </c>
      <c r="D40" s="3" t="str">
        <f>'Exptl Setup'!E69</f>
        <v>+</v>
      </c>
      <c r="E40" s="75">
        <f>'Exptl Setup'!K69</f>
        <v>15.996987938964294</v>
      </c>
      <c r="F40" s="63">
        <f>'Exptl Setup'!F69</f>
        <v>32.003</v>
      </c>
      <c r="G40" s="64">
        <f>'Exptl Setup'!$C$5</f>
        <v>1.2793390913194711</v>
      </c>
      <c r="H40" s="7">
        <f t="shared" si="4"/>
        <v>25.015260001938255</v>
      </c>
      <c r="I40" s="8">
        <f t="shared" si="5"/>
        <v>9.4397207554483984</v>
      </c>
      <c r="J40" s="8">
        <f t="shared" si="6"/>
        <v>6.9877399980617447</v>
      </c>
      <c r="K40" s="8">
        <f>'Exptl Setup'!H69+'Exptl Setup'!I69+'Exptl Setup'!J69+5</f>
        <v>23.003024686832862</v>
      </c>
      <c r="L40" s="8">
        <f t="shared" si="7"/>
        <v>29.990764684894607</v>
      </c>
      <c r="M40" s="44">
        <v>300</v>
      </c>
      <c r="N40" s="85">
        <f t="shared" si="8"/>
        <v>260.56951455965702</v>
      </c>
      <c r="O40" s="193">
        <f>10^(-'Pre-DEA characterisation'!V41)</f>
        <v>4.8977881936844683E-9</v>
      </c>
      <c r="P40" s="66">
        <v>60</v>
      </c>
      <c r="Q40" s="30">
        <v>63.606999999999999</v>
      </c>
      <c r="R40" s="86">
        <f t="shared" si="47"/>
        <v>48.277712999999999</v>
      </c>
      <c r="S40" s="86">
        <f t="shared" si="48"/>
        <v>4476.665152593283</v>
      </c>
      <c r="T40" s="86">
        <f t="shared" si="49"/>
        <v>150.83265627708909</v>
      </c>
      <c r="U40" s="67">
        <f t="shared" si="50"/>
        <v>11031.33892879696</v>
      </c>
      <c r="V40" s="199">
        <f t="shared" si="13"/>
        <v>3008.5469805809889</v>
      </c>
      <c r="W40" s="66">
        <v>120</v>
      </c>
      <c r="X40" s="30">
        <v>813.34299999999996</v>
      </c>
      <c r="Y40" s="86">
        <f t="shared" si="51"/>
        <v>617.32733699999994</v>
      </c>
      <c r="Z40" s="86">
        <f t="shared" si="52"/>
        <v>57243.137786810854</v>
      </c>
      <c r="AA40" s="86">
        <f t="shared" si="53"/>
        <v>1928.6978658697381</v>
      </c>
      <c r="AB40" s="67">
        <f t="shared" si="54"/>
        <v>141057.78135055109</v>
      </c>
      <c r="AC40" s="199">
        <f t="shared" si="38"/>
        <v>38470.304004695754</v>
      </c>
      <c r="AD40" s="66">
        <v>180</v>
      </c>
      <c r="AE40" s="30">
        <v>922.49099999999999</v>
      </c>
      <c r="AF40" s="86">
        <f t="shared" si="55"/>
        <v>700.17066899999998</v>
      </c>
      <c r="AG40" s="86">
        <f t="shared" si="56"/>
        <v>64924.981735987072</v>
      </c>
      <c r="AH40" s="86">
        <f t="shared" si="57"/>
        <v>2187.5228814707211</v>
      </c>
      <c r="AI40" s="67">
        <f t="shared" si="58"/>
        <v>159987.27938379164</v>
      </c>
      <c r="AJ40" s="199">
        <f t="shared" si="39"/>
        <v>43632.894377397723</v>
      </c>
      <c r="AK40" s="3">
        <v>240</v>
      </c>
      <c r="AL40" s="30">
        <v>1035.403</v>
      </c>
      <c r="AM40" s="86">
        <f t="shared" si="59"/>
        <v>785.87087700000006</v>
      </c>
      <c r="AN40" s="86">
        <f t="shared" si="60"/>
        <v>72871.736271016445</v>
      </c>
      <c r="AO40" s="86">
        <f t="shared" si="61"/>
        <v>2455.2735517673659</v>
      </c>
      <c r="AP40" s="67">
        <f t="shared" si="62"/>
        <v>179569.56657118179</v>
      </c>
      <c r="AQ40" s="199">
        <f t="shared" si="40"/>
        <v>48973.518155776852</v>
      </c>
      <c r="AR40" s="199">
        <f>(((AL40*$N40*10^-3)*$E$3*$E$4)/($E$5*$E$6*$H40))*1000*(12/44)+'post-DEA dissolved CO2'!N38</f>
        <v>42394.627851593927</v>
      </c>
      <c r="AS40" s="87">
        <f t="shared" si="63"/>
        <v>3008.5469805809889</v>
      </c>
      <c r="AT40" s="87">
        <f t="shared" si="64"/>
        <v>38470.304004695754</v>
      </c>
      <c r="AU40" s="87">
        <f t="shared" si="65"/>
        <v>43632.894377397723</v>
      </c>
      <c r="AV40" s="87">
        <f t="shared" si="66"/>
        <v>48973.518155776852</v>
      </c>
      <c r="AW40" s="71">
        <f t="shared" si="67"/>
        <v>0.78923560396262182</v>
      </c>
      <c r="AX40" s="72">
        <f t="shared" si="68"/>
        <v>238.42917316381593</v>
      </c>
      <c r="AY40" s="88">
        <f t="shared" si="69"/>
        <v>14.305750389828956</v>
      </c>
      <c r="AZ40" s="88"/>
      <c r="BA40" s="3">
        <v>24</v>
      </c>
      <c r="BB40" s="3" t="s">
        <v>81</v>
      </c>
      <c r="BC40" s="111">
        <v>15.996987938964294</v>
      </c>
      <c r="BD40" s="206">
        <f t="shared" si="28"/>
        <v>42394.627851593927</v>
      </c>
      <c r="BE40" s="216">
        <f t="shared" si="29"/>
        <v>0.86566433141975752</v>
      </c>
      <c r="BF40" s="74">
        <f t="shared" si="70"/>
        <v>2604.391810489572</v>
      </c>
      <c r="BG40" s="74">
        <f t="shared" si="71"/>
        <v>33302.369995739769</v>
      </c>
      <c r="BH40" s="74">
        <f t="shared" si="72"/>
        <v>37771.440339118897</v>
      </c>
      <c r="BI40" s="74">
        <f t="shared" si="73"/>
        <v>42394.627851593927</v>
      </c>
      <c r="BJ40" s="222">
        <v>48973.518155776852</v>
      </c>
      <c r="BK40" s="207">
        <f t="shared" si="74"/>
        <v>0.78923560396262182</v>
      </c>
      <c r="BL40" s="208">
        <f t="shared" si="75"/>
        <v>206.39963077782033</v>
      </c>
      <c r="BM40" s="209">
        <f t="shared" si="36"/>
        <v>12.38397784666922</v>
      </c>
      <c r="BN40" s="227">
        <v>14.305750389828956</v>
      </c>
      <c r="BO40" s="234"/>
      <c r="BP40" s="243">
        <v>40</v>
      </c>
      <c r="BQ40" s="132" t="s">
        <v>82</v>
      </c>
      <c r="BR40" s="244">
        <f>AVERAGE(BC102:BC104)</f>
        <v>19.997277058268377</v>
      </c>
      <c r="BS40" s="244">
        <f>AVERAGE(BD102:BD104)</f>
        <v>29549.818104418951</v>
      </c>
      <c r="BT40" s="244">
        <f>STDEV(BD102:BD104)/SQRT(3)</f>
        <v>2532.5869641315226</v>
      </c>
      <c r="BU40" s="244">
        <f>AVERAGE(BJ102:BJ104)</f>
        <v>8680.6426160716437</v>
      </c>
      <c r="BV40" s="244">
        <f>STDEV(BJ102:BJ104)/SQRT(3)</f>
        <v>46.327346963444406</v>
      </c>
      <c r="BW40" s="244">
        <f>AVERAGE(BM102:BM104)</f>
        <v>-3.0283628995040552</v>
      </c>
      <c r="BX40" s="244">
        <f>STDEV(BM102:BM104)/SQRT(3)</f>
        <v>0.46817887880091213</v>
      </c>
      <c r="BY40" s="245">
        <f>AVERAGE(BN102:BN104)</f>
        <v>-0.87980596721978166</v>
      </c>
      <c r="BZ40" s="245">
        <f>STDEV(BN102:BN104)/SQRT(3)</f>
        <v>5.7348434316256393E-2</v>
      </c>
      <c r="CA40">
        <v>8.8049999999999997</v>
      </c>
      <c r="CC40"/>
      <c r="CD40">
        <v>20</v>
      </c>
      <c r="CE40">
        <v>7410.1363561608059</v>
      </c>
      <c r="CF40">
        <v>11293.918971524277</v>
      </c>
      <c r="CG40">
        <v>19614.947288387611</v>
      </c>
      <c r="CH40">
        <v>8680.6426160716437</v>
      </c>
      <c r="CI40">
        <v>48782.597042361187</v>
      </c>
      <c r="CJ40"/>
      <c r="CL40"/>
      <c r="CM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</row>
    <row r="41" spans="1:382">
      <c r="A41" s="3">
        <f>'Exptl Setup'!A70</f>
        <v>63</v>
      </c>
      <c r="B41" s="3" t="str">
        <f>'Exptl Setup'!C70</f>
        <v>c</v>
      </c>
      <c r="C41" s="3">
        <f>'Exptl Setup'!D70</f>
        <v>24</v>
      </c>
      <c r="D41" s="3" t="str">
        <f>'Exptl Setup'!E70</f>
        <v>+</v>
      </c>
      <c r="E41" s="75">
        <f>'Exptl Setup'!K70</f>
        <v>15.995988283414286</v>
      </c>
      <c r="F41" s="63">
        <f>'Exptl Setup'!F70</f>
        <v>32.005000000000003</v>
      </c>
      <c r="G41" s="64">
        <f>'Exptl Setup'!$C$5</f>
        <v>1.2793390913194711</v>
      </c>
      <c r="H41" s="7">
        <f t="shared" si="4"/>
        <v>25.016823309128331</v>
      </c>
      <c r="I41" s="8">
        <f t="shared" si="5"/>
        <v>9.4403106826899368</v>
      </c>
      <c r="J41" s="8">
        <f t="shared" si="6"/>
        <v>6.988176690871672</v>
      </c>
      <c r="K41" s="8">
        <f>'Exptl Setup'!H70+'Exptl Setup'!I70+'Exptl Setup'!J70+5</f>
        <v>23.003024686832862</v>
      </c>
      <c r="L41" s="8">
        <f t="shared" si="7"/>
        <v>29.991201377704535</v>
      </c>
      <c r="M41" s="44">
        <v>300</v>
      </c>
      <c r="N41" s="85">
        <f t="shared" si="8"/>
        <v>260.56848793960552</v>
      </c>
      <c r="O41" s="193">
        <f>10^(-'Pre-DEA characterisation'!V42)</f>
        <v>4.8977881936844683E-9</v>
      </c>
      <c r="P41" s="66">
        <v>60</v>
      </c>
      <c r="Q41" s="30">
        <v>658.65300000000002</v>
      </c>
      <c r="R41" s="86">
        <f t="shared" si="47"/>
        <v>499.91762700000004</v>
      </c>
      <c r="S41" s="86">
        <f t="shared" si="48"/>
        <v>46356.044660981082</v>
      </c>
      <c r="T41" s="86">
        <f t="shared" si="49"/>
        <v>1561.8976867882338</v>
      </c>
      <c r="U41" s="67">
        <f t="shared" si="50"/>
        <v>114224.24350683173</v>
      </c>
      <c r="V41" s="199">
        <f t="shared" si="13"/>
        <v>31152.06641095411</v>
      </c>
      <c r="W41" s="66">
        <v>120</v>
      </c>
      <c r="X41" s="30">
        <v>762.15599999999995</v>
      </c>
      <c r="Y41" s="86">
        <f t="shared" si="51"/>
        <v>578.476404</v>
      </c>
      <c r="Z41" s="86">
        <f t="shared" si="52"/>
        <v>53640.593111448208</v>
      </c>
      <c r="AA41" s="86">
        <f t="shared" si="53"/>
        <v>1807.3396665190519</v>
      </c>
      <c r="AB41" s="67">
        <f t="shared" si="54"/>
        <v>132173.83437742307</v>
      </c>
      <c r="AC41" s="199">
        <f t="shared" si="38"/>
        <v>36047.409375660842</v>
      </c>
      <c r="AD41" s="66">
        <v>180</v>
      </c>
      <c r="AE41" s="30">
        <v>864.53</v>
      </c>
      <c r="AF41" s="86">
        <f t="shared" si="55"/>
        <v>656.17827</v>
      </c>
      <c r="AG41" s="86">
        <f t="shared" si="56"/>
        <v>60845.682462173514</v>
      </c>
      <c r="AH41" s="86">
        <f t="shared" si="57"/>
        <v>2050.1043905653382</v>
      </c>
      <c r="AI41" s="67">
        <f t="shared" si="58"/>
        <v>149927.63297056453</v>
      </c>
      <c r="AJ41" s="199">
        <f t="shared" si="39"/>
        <v>40889.354446517602</v>
      </c>
      <c r="AK41" s="3">
        <v>240</v>
      </c>
      <c r="AL41" s="30">
        <v>951.84799999999996</v>
      </c>
      <c r="AM41" s="86">
        <f t="shared" si="59"/>
        <v>722.45263199999999</v>
      </c>
      <c r="AN41" s="86">
        <f t="shared" si="60"/>
        <v>66991.12946948623</v>
      </c>
      <c r="AO41" s="86">
        <f t="shared" si="61"/>
        <v>2257.1660485475759</v>
      </c>
      <c r="AP41" s="67">
        <f t="shared" si="62"/>
        <v>165070.40540844837</v>
      </c>
      <c r="AQ41" s="199">
        <f t="shared" si="40"/>
        <v>45019.201475031376</v>
      </c>
      <c r="AR41" s="199">
        <f>(((AL41*$N41*10^-3)*$E$3*$E$4)/($E$5*$E$6*$H41))*1000*(12/44)+'post-DEA dissolved CO2'!N39</f>
        <v>38096.458239669875</v>
      </c>
      <c r="AS41" s="87">
        <f t="shared" si="63"/>
        <v>31152.06641095411</v>
      </c>
      <c r="AT41" s="87">
        <f t="shared" si="64"/>
        <v>36047.409375660842</v>
      </c>
      <c r="AU41" s="87">
        <f t="shared" si="65"/>
        <v>40889.354446517602</v>
      </c>
      <c r="AV41" s="87">
        <f t="shared" si="66"/>
        <v>45019.201475031376</v>
      </c>
      <c r="AW41" s="71">
        <f t="shared" si="67"/>
        <v>0.99844293368055415</v>
      </c>
      <c r="AX41" s="72">
        <f t="shared" si="68"/>
        <v>77.40558377181425</v>
      </c>
      <c r="AY41" s="88">
        <f t="shared" si="69"/>
        <v>4.6443350263088554</v>
      </c>
      <c r="AZ41" s="88"/>
      <c r="BA41" s="3">
        <v>24</v>
      </c>
      <c r="BB41" s="3" t="s">
        <v>81</v>
      </c>
      <c r="BC41" s="111">
        <v>15.995988283414286</v>
      </c>
      <c r="BD41" s="75">
        <f t="shared" si="28"/>
        <v>38096.458239669875</v>
      </c>
      <c r="BE41" s="160">
        <f t="shared" si="29"/>
        <v>0.84622687634295324</v>
      </c>
      <c r="BF41" s="3">
        <f t="shared" si="70"/>
        <v>26361.71585056993</v>
      </c>
      <c r="BG41" s="3">
        <f t="shared" si="71"/>
        <v>30504.286636221161</v>
      </c>
      <c r="BH41" s="3">
        <f t="shared" si="72"/>
        <v>34601.670688956438</v>
      </c>
      <c r="BI41" s="3">
        <f t="shared" si="73"/>
        <v>38096.458239669875</v>
      </c>
      <c r="BJ41" s="222">
        <v>45019.201475031376</v>
      </c>
      <c r="BK41" s="71">
        <f t="shared" si="74"/>
        <v>0.99844293368055437</v>
      </c>
      <c r="BL41" s="72">
        <f t="shared" si="75"/>
        <v>65.502685366725188</v>
      </c>
      <c r="BM41" s="88">
        <f t="shared" si="36"/>
        <v>3.9301611220035109</v>
      </c>
      <c r="BN41" s="227">
        <v>4.6443350263088554</v>
      </c>
      <c r="BO41" s="234"/>
      <c r="BP41" s="237">
        <v>48</v>
      </c>
      <c r="BQ41" s="238" t="s">
        <v>81</v>
      </c>
      <c r="BR41" s="239">
        <f>AVERAGE(BC105:BC107)</f>
        <v>0</v>
      </c>
      <c r="BS41" s="239">
        <f>AVERAGE(BD105:BD107)</f>
        <v>6654.0742658236059</v>
      </c>
      <c r="BT41" s="239">
        <f>STDEV(BD105:BD107)/SQRT(3)</f>
        <v>325.23993517349993</v>
      </c>
      <c r="BU41" s="239">
        <f>AVERAGE(BJ105:BJ107)</f>
        <v>3205.8085593828887</v>
      </c>
      <c r="BV41" s="239">
        <f>STDEV(BJ105:BJ107)/SQRT(3)</f>
        <v>157.09410284169095</v>
      </c>
      <c r="BW41" s="239">
        <f>AVERAGE(BM105:BM107)</f>
        <v>0.9993915017525099</v>
      </c>
      <c r="BX41" s="239">
        <f>STDEV(BM105:BM107)/SQRT(3)</f>
        <v>9.9681194898496278E-2</v>
      </c>
      <c r="BY41" s="240">
        <f>AVERAGE(BN105:BN107)</f>
        <v>0.48165724235691948</v>
      </c>
      <c r="BZ41" s="240">
        <f>STDEV(BN105:BN107)/SQRT(3)</f>
        <v>4.882979299428139E-2</v>
      </c>
      <c r="CA41">
        <v>4.41</v>
      </c>
      <c r="CC41"/>
      <c r="CD41"/>
      <c r="CE41"/>
      <c r="CF41"/>
      <c r="CG41"/>
      <c r="CH41"/>
      <c r="CI41"/>
      <c r="CJ41"/>
      <c r="CK41"/>
      <c r="CL41"/>
      <c r="CM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</row>
    <row r="42" spans="1:382">
      <c r="A42" s="3">
        <f>'Exptl Setup'!A74</f>
        <v>67</v>
      </c>
      <c r="B42" s="3" t="str">
        <f>'Exptl Setup'!C74</f>
        <v>a</v>
      </c>
      <c r="C42" s="3">
        <f>'Exptl Setup'!D74</f>
        <v>24</v>
      </c>
      <c r="D42" s="3" t="str">
        <f>'Exptl Setup'!E74</f>
        <v>+</v>
      </c>
      <c r="E42" s="75">
        <f>'Exptl Setup'!K74</f>
        <v>19.999984569282837</v>
      </c>
      <c r="F42" s="63">
        <f>'Exptl Setup'!F74</f>
        <v>31.997</v>
      </c>
      <c r="G42" s="64">
        <f>'Exptl Setup'!$C$5</f>
        <v>1.2793390913194711</v>
      </c>
      <c r="H42" s="7">
        <f t="shared" ref="H42:H74" si="76">F42/G42</f>
        <v>25.010570080368041</v>
      </c>
      <c r="I42" s="8">
        <f t="shared" ref="I42:I74" si="77">H42/$E$1</f>
        <v>9.4379509737237886</v>
      </c>
      <c r="J42" s="8">
        <f t="shared" ref="J42:J74" si="78">F42-H42</f>
        <v>6.9864299196319593</v>
      </c>
      <c r="K42" s="8">
        <f>'Exptl Setup'!H74+'Exptl Setup'!I74+'Exptl Setup'!J74+5</f>
        <v>23.003024686832859</v>
      </c>
      <c r="L42" s="8">
        <f t="shared" ref="L42:L74" si="79">J42+K42</f>
        <v>29.989454606464818</v>
      </c>
      <c r="M42" s="44">
        <v>300</v>
      </c>
      <c r="N42" s="85">
        <f t="shared" ref="N42:N74" si="80">M42-(I42+L42)</f>
        <v>260.57259441981137</v>
      </c>
      <c r="O42" s="193">
        <f>10^(-'Pre-DEA characterisation'!V43)</f>
        <v>1.071519305237607E-9</v>
      </c>
      <c r="P42" s="66">
        <v>60</v>
      </c>
      <c r="Q42" s="30">
        <v>83.930999999999997</v>
      </c>
      <c r="R42" s="86">
        <f t="shared" si="47"/>
        <v>63.703628999999999</v>
      </c>
      <c r="S42" s="86">
        <f t="shared" si="48"/>
        <v>27677.673034514777</v>
      </c>
      <c r="T42" s="86">
        <f t="shared" si="49"/>
        <v>851.90843750340548</v>
      </c>
      <c r="U42" s="67">
        <f t="shared" si="50"/>
        <v>62317.09481633734</v>
      </c>
      <c r="V42" s="199">
        <f t="shared" si="13"/>
        <v>16995.571313546548</v>
      </c>
      <c r="W42" s="66">
        <v>120</v>
      </c>
      <c r="X42" s="30">
        <v>82.049000000000007</v>
      </c>
      <c r="Y42" s="86">
        <f t="shared" si="51"/>
        <v>62.275191000000007</v>
      </c>
      <c r="Z42" s="86">
        <f t="shared" si="52"/>
        <v>27057.051563890614</v>
      </c>
      <c r="AA42" s="86">
        <f t="shared" si="53"/>
        <v>832.80594045962664</v>
      </c>
      <c r="AB42" s="67">
        <f t="shared" si="54"/>
        <v>60919.747323225776</v>
      </c>
      <c r="AC42" s="199">
        <f t="shared" si="38"/>
        <v>16614.476542697939</v>
      </c>
      <c r="AD42" s="66">
        <v>180</v>
      </c>
      <c r="AE42" s="30">
        <v>80.168000000000006</v>
      </c>
      <c r="AF42" s="86">
        <f t="shared" si="55"/>
        <v>60.847512000000009</v>
      </c>
      <c r="AG42" s="86">
        <f t="shared" si="56"/>
        <v>26436.759860254027</v>
      </c>
      <c r="AH42" s="86">
        <f t="shared" si="57"/>
        <v>813.71359352054674</v>
      </c>
      <c r="AI42" s="67">
        <f t="shared" si="58"/>
        <v>59523.142310184936</v>
      </c>
      <c r="AJ42" s="199">
        <f t="shared" si="39"/>
        <v>16233.584266414073</v>
      </c>
      <c r="AK42" s="3">
        <v>240</v>
      </c>
      <c r="AL42" s="30">
        <v>95.221999999999994</v>
      </c>
      <c r="AM42" s="86">
        <f t="shared" si="59"/>
        <v>72.273497999999989</v>
      </c>
      <c r="AN42" s="86">
        <f t="shared" si="60"/>
        <v>31401.072091272184</v>
      </c>
      <c r="AO42" s="86">
        <f t="shared" si="61"/>
        <v>966.51326966137981</v>
      </c>
      <c r="AP42" s="67">
        <f t="shared" si="62"/>
        <v>70700.437294936011</v>
      </c>
      <c r="AQ42" s="199">
        <f t="shared" si="40"/>
        <v>19281.937444073457</v>
      </c>
      <c r="AR42" s="199">
        <f>(((AL42*$N42*10^-3)*$E$3*$E$4)/($E$5*$E$6*$H42))*1000*(12/44)+'post-DEA dissolved CO2'!N40</f>
        <v>13055.158606773495</v>
      </c>
      <c r="AS42" s="87">
        <f t="shared" si="63"/>
        <v>16995.571313546548</v>
      </c>
      <c r="AT42" s="87">
        <f t="shared" si="64"/>
        <v>16614.476542697939</v>
      </c>
      <c r="AU42" s="87">
        <f t="shared" si="65"/>
        <v>16233.584266414073</v>
      </c>
      <c r="AV42" s="87">
        <f t="shared" si="66"/>
        <v>19281.937444073457</v>
      </c>
      <c r="AW42" s="71">
        <f t="shared" si="67"/>
        <v>0.37293842137315109</v>
      </c>
      <c r="AX42" s="72">
        <f t="shared" si="68"/>
        <v>10.797010192161434</v>
      </c>
      <c r="AY42" s="88">
        <f t="shared" si="69"/>
        <v>0.64782061152968606</v>
      </c>
      <c r="AZ42" s="88"/>
      <c r="BA42" s="3">
        <v>24</v>
      </c>
      <c r="BB42" s="3" t="s">
        <v>81</v>
      </c>
      <c r="BC42" s="111">
        <v>19.999984569282837</v>
      </c>
      <c r="BD42" s="75">
        <f t="shared" si="28"/>
        <v>13055.158606773495</v>
      </c>
      <c r="BE42" s="160">
        <f t="shared" si="29"/>
        <v>0.67706674418167245</v>
      </c>
      <c r="BF42" s="3">
        <f t="shared" si="70"/>
        <v>11507.136134770391</v>
      </c>
      <c r="BG42" s="3">
        <f t="shared" si="71"/>
        <v>11249.109539047264</v>
      </c>
      <c r="BH42" s="3">
        <f t="shared" si="72"/>
        <v>10991.2200456598</v>
      </c>
      <c r="BI42" s="3">
        <f t="shared" si="73"/>
        <v>13055.158606773495</v>
      </c>
      <c r="BJ42" s="222">
        <v>19281.937444073457</v>
      </c>
      <c r="BK42" s="71">
        <f t="shared" si="74"/>
        <v>0.37293842137315136</v>
      </c>
      <c r="BL42" s="72">
        <f t="shared" si="75"/>
        <v>7.3102965377030795</v>
      </c>
      <c r="BM42" s="88">
        <f t="shared" si="36"/>
        <v>0.43861779226218478</v>
      </c>
      <c r="BN42" s="227">
        <v>0.64782061152968606</v>
      </c>
      <c r="BO42" s="234"/>
      <c r="BP42" s="241">
        <v>48</v>
      </c>
      <c r="BQ42" s="30" t="s">
        <v>81</v>
      </c>
      <c r="BR42" s="231">
        <f>AVERAGE(BC108:BC110)</f>
        <v>5.9996203945112923</v>
      </c>
      <c r="BS42" s="231">
        <f>AVERAGE(BD108:BD110)</f>
        <v>20362.908315576959</v>
      </c>
      <c r="BT42" s="231">
        <f>STDEV(BD108:BD110)/SQRT(3)</f>
        <v>2130.2713107877512</v>
      </c>
      <c r="BU42" s="231">
        <f>AVERAGE(BJ108:BJ110)</f>
        <v>15822.898143435808</v>
      </c>
      <c r="BV42" s="231">
        <f>STDEV(BJ108:BJ110)/SQRT(3)</f>
        <v>2003.1529827285826</v>
      </c>
      <c r="BW42" s="231">
        <f>AVERAGE(BM108:BM110)</f>
        <v>1.5259444051685851</v>
      </c>
      <c r="BX42" s="231">
        <f>STDEV(BM108:BM110)/SQRT(3)</f>
        <v>0.20154054521593612</v>
      </c>
      <c r="BY42" s="242">
        <f>AVERAGE(BN108:BN110)</f>
        <v>1.1739935546333575</v>
      </c>
      <c r="BZ42" s="242">
        <f>STDEV(BN108:BN110)/SQRT(3)</f>
        <v>0.13263336728323222</v>
      </c>
      <c r="CA42">
        <v>6.7200000000000006</v>
      </c>
      <c r="CC42"/>
      <c r="CD42"/>
      <c r="CE42" s="3" t="s">
        <v>25</v>
      </c>
      <c r="CF42"/>
      <c r="CG42"/>
      <c r="CH42"/>
      <c r="CI42"/>
      <c r="CJ42"/>
      <c r="CK42"/>
      <c r="CL42"/>
      <c r="CM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</row>
    <row r="43" spans="1:382">
      <c r="A43" s="3">
        <f>'Exptl Setup'!A75</f>
        <v>68</v>
      </c>
      <c r="B43" s="3" t="str">
        <f>'Exptl Setup'!C75</f>
        <v>b</v>
      </c>
      <c r="C43" s="3">
        <f>'Exptl Setup'!D75</f>
        <v>24</v>
      </c>
      <c r="D43" s="3" t="str">
        <f>'Exptl Setup'!E75</f>
        <v>+</v>
      </c>
      <c r="E43" s="75">
        <f>'Exptl Setup'!K75</f>
        <v>19.998109570729465</v>
      </c>
      <c r="F43" s="63">
        <f>'Exptl Setup'!F75</f>
        <v>32</v>
      </c>
      <c r="G43" s="64">
        <f>'Exptl Setup'!$C$5</f>
        <v>1.2793390913194711</v>
      </c>
      <c r="H43" s="7">
        <f t="shared" si="76"/>
        <v>25.01291504115315</v>
      </c>
      <c r="I43" s="8">
        <f t="shared" si="77"/>
        <v>9.4388358645860944</v>
      </c>
      <c r="J43" s="8">
        <f t="shared" si="78"/>
        <v>6.9870849588468502</v>
      </c>
      <c r="K43" s="8">
        <f>'Exptl Setup'!H75+'Exptl Setup'!I75+'Exptl Setup'!J75+5</f>
        <v>23.003024686832859</v>
      </c>
      <c r="L43" s="8">
        <f t="shared" si="79"/>
        <v>29.990109645679709</v>
      </c>
      <c r="M43" s="44">
        <v>300</v>
      </c>
      <c r="N43" s="85">
        <f t="shared" si="80"/>
        <v>260.57105448973419</v>
      </c>
      <c r="O43" s="193">
        <f>10^(-'Pre-DEA characterisation'!V44)</f>
        <v>1.071519305237607E-9</v>
      </c>
      <c r="P43" s="66">
        <v>60</v>
      </c>
      <c r="Q43" s="30">
        <v>134.36500000000001</v>
      </c>
      <c r="R43" s="86">
        <f t="shared" si="47"/>
        <v>101.983035</v>
      </c>
      <c r="S43" s="86">
        <f t="shared" si="48"/>
        <v>44309.141286087121</v>
      </c>
      <c r="T43" s="86">
        <f t="shared" si="49"/>
        <v>1363.8476352121795</v>
      </c>
      <c r="U43" s="67">
        <f t="shared" si="50"/>
        <v>99756.089679373879</v>
      </c>
      <c r="V43" s="199">
        <f t="shared" si="13"/>
        <v>27206.206276192876</v>
      </c>
      <c r="W43" s="66">
        <v>120</v>
      </c>
      <c r="X43" s="30">
        <v>82.426000000000002</v>
      </c>
      <c r="Y43" s="86">
        <f t="shared" si="51"/>
        <v>62.561334000000002</v>
      </c>
      <c r="Z43" s="86">
        <f t="shared" si="52"/>
        <v>27181.373718207993</v>
      </c>
      <c r="AA43" s="86">
        <f t="shared" si="53"/>
        <v>836.65020786662524</v>
      </c>
      <c r="AB43" s="67">
        <f t="shared" si="54"/>
        <v>61195.217861139965</v>
      </c>
      <c r="AC43" s="199">
        <f t="shared" si="38"/>
        <v>16689.604871219988</v>
      </c>
      <c r="AD43" s="66">
        <v>180</v>
      </c>
      <c r="AE43" s="30">
        <v>117.80500000000001</v>
      </c>
      <c r="AF43" s="86">
        <f t="shared" si="55"/>
        <v>89.413995</v>
      </c>
      <c r="AG43" s="86">
        <f t="shared" si="56"/>
        <v>38848.199971774586</v>
      </c>
      <c r="AH43" s="86">
        <f t="shared" si="57"/>
        <v>1195.7583497649744</v>
      </c>
      <c r="AI43" s="67">
        <f t="shared" si="58"/>
        <v>87461.512631106598</v>
      </c>
      <c r="AJ43" s="199">
        <f t="shared" si="39"/>
        <v>23853.139808483618</v>
      </c>
      <c r="AK43" s="3">
        <v>240</v>
      </c>
      <c r="AL43" s="30">
        <v>82.049000000000007</v>
      </c>
      <c r="AM43" s="86">
        <f t="shared" si="59"/>
        <v>62.275191000000007</v>
      </c>
      <c r="AN43" s="86">
        <f t="shared" si="60"/>
        <v>27057.051563890614</v>
      </c>
      <c r="AO43" s="86">
        <f t="shared" si="61"/>
        <v>832.82353753971734</v>
      </c>
      <c r="AP43" s="67">
        <f t="shared" si="62"/>
        <v>60915.323202492815</v>
      </c>
      <c r="AQ43" s="199">
        <f t="shared" si="40"/>
        <v>16613.269964316223</v>
      </c>
      <c r="AR43" s="199">
        <f>(((AL43*$N43*10^-3)*$E$3*$E$4)/($E$5*$E$6*$H43))*1000*(12/44)+'post-DEA dissolved CO2'!N41</f>
        <v>12986.637278109734</v>
      </c>
      <c r="AS43" s="87">
        <f t="shared" si="63"/>
        <v>27206.206276192876</v>
      </c>
      <c r="AT43" s="87">
        <f t="shared" si="64"/>
        <v>16689.604871219988</v>
      </c>
      <c r="AU43" s="87">
        <f t="shared" si="65"/>
        <v>23853.139808483618</v>
      </c>
      <c r="AV43" s="87">
        <f t="shared" si="66"/>
        <v>16613.269964316223</v>
      </c>
      <c r="AW43" s="71">
        <f t="shared" si="67"/>
        <v>0.35875049688578969</v>
      </c>
      <c r="AX43" s="72">
        <f t="shared" si="68"/>
        <v>-41.025456663943878</v>
      </c>
      <c r="AY43" s="88">
        <f t="shared" si="69"/>
        <v>-2.4615273998366329</v>
      </c>
      <c r="AZ43" s="88"/>
      <c r="BA43" s="3">
        <v>24</v>
      </c>
      <c r="BB43" s="3" t="s">
        <v>81</v>
      </c>
      <c r="BC43" s="111">
        <v>19.998109570729465</v>
      </c>
      <c r="BD43" s="75">
        <f t="shared" si="28"/>
        <v>12986.637278109734</v>
      </c>
      <c r="BE43" s="160">
        <f t="shared" si="29"/>
        <v>0.78170265733379629</v>
      </c>
      <c r="BF43" s="3">
        <f t="shared" si="70"/>
        <v>21267.163742071378</v>
      </c>
      <c r="BG43" s="3">
        <f t="shared" si="71"/>
        <v>13046.308477683735</v>
      </c>
      <c r="BH43" s="3">
        <f t="shared" si="72"/>
        <v>18646.062774046204</v>
      </c>
      <c r="BI43" s="3">
        <f t="shared" si="73"/>
        <v>12986.637278109734</v>
      </c>
      <c r="BJ43" s="222">
        <v>16613.269964316223</v>
      </c>
      <c r="BK43" s="71">
        <f t="shared" si="74"/>
        <v>0.35875049688578969</v>
      </c>
      <c r="BL43" s="72">
        <f t="shared" si="75"/>
        <v>-32.069708492537437</v>
      </c>
      <c r="BM43" s="88">
        <f t="shared" si="36"/>
        <v>-1.9241825095522462</v>
      </c>
      <c r="BN43" s="227">
        <v>-2.4615273998366329</v>
      </c>
      <c r="BO43" s="234"/>
      <c r="BP43" s="241">
        <v>48</v>
      </c>
      <c r="BQ43" s="30" t="s">
        <v>81</v>
      </c>
      <c r="BR43" s="231">
        <f>AVERAGE(BC111:BC113)</f>
        <v>15.998654437698711</v>
      </c>
      <c r="BS43" s="231">
        <f>AVERAGE(BD111:BD113)</f>
        <v>86675.922391753425</v>
      </c>
      <c r="BT43" s="231">
        <f>STDEV(BD111:BD113)/SQRT(3)</f>
        <v>4065.9681516136661</v>
      </c>
      <c r="BU43" s="231">
        <f>AVERAGE(BJ111:BJ113)</f>
        <v>154923.36715729712</v>
      </c>
      <c r="BV43" s="231">
        <f>STDEV(BJ111:BJ113)/SQRT(3)</f>
        <v>1543.8042963064624</v>
      </c>
      <c r="BW43" s="231">
        <f>AVERAGE(BM111:BM113)</f>
        <v>3.6188027836922423</v>
      </c>
      <c r="BX43" s="231">
        <f>STDEV(BM111:BM113)/SQRT(3)</f>
        <v>0.52791935609391272</v>
      </c>
      <c r="BY43" s="242">
        <f>AVERAGE(BN111:BN113)</f>
        <v>6.4702934010301876</v>
      </c>
      <c r="BZ43" s="242">
        <f>STDEV(BN111:BN113)/SQRT(3)</f>
        <v>0.89365083163465031</v>
      </c>
      <c r="CA43">
        <v>8.4499999999999993</v>
      </c>
      <c r="CC43"/>
      <c r="CD43" s="3" t="s">
        <v>22</v>
      </c>
      <c r="CE43" s="250">
        <v>16</v>
      </c>
      <c r="CF43" s="251">
        <v>24</v>
      </c>
      <c r="CG43" s="251">
        <v>32</v>
      </c>
      <c r="CH43" s="251">
        <v>40</v>
      </c>
      <c r="CI43" s="252">
        <v>48</v>
      </c>
      <c r="CJ43"/>
      <c r="CK43"/>
      <c r="CL43"/>
      <c r="CM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</row>
    <row r="44" spans="1:382">
      <c r="A44" s="3">
        <f>'Exptl Setup'!A76</f>
        <v>69</v>
      </c>
      <c r="B44" s="3" t="str">
        <f>'Exptl Setup'!C76</f>
        <v>c</v>
      </c>
      <c r="C44" s="3">
        <f>'Exptl Setup'!D76</f>
        <v>24</v>
      </c>
      <c r="D44" s="3" t="str">
        <f>'Exptl Setup'!E76</f>
        <v>+</v>
      </c>
      <c r="E44" s="75">
        <f>'Exptl Setup'!K76</f>
        <v>19.999984569282837</v>
      </c>
      <c r="F44" s="63">
        <f>'Exptl Setup'!F76</f>
        <v>31.997</v>
      </c>
      <c r="G44" s="64">
        <f>'Exptl Setup'!$C$5</f>
        <v>1.2793390913194711</v>
      </c>
      <c r="H44" s="7">
        <f t="shared" si="76"/>
        <v>25.010570080368041</v>
      </c>
      <c r="I44" s="8">
        <f t="shared" si="77"/>
        <v>9.4379509737237886</v>
      </c>
      <c r="J44" s="8">
        <f t="shared" si="78"/>
        <v>6.9864299196319593</v>
      </c>
      <c r="K44" s="8">
        <f>'Exptl Setup'!H76+'Exptl Setup'!I76+'Exptl Setup'!J76+5</f>
        <v>23.003024686832859</v>
      </c>
      <c r="L44" s="8">
        <f t="shared" si="79"/>
        <v>29.989454606464818</v>
      </c>
      <c r="M44" s="44">
        <v>300</v>
      </c>
      <c r="N44" s="85">
        <f t="shared" si="80"/>
        <v>260.57259441981137</v>
      </c>
      <c r="O44" s="193">
        <f>10^(-'Pre-DEA characterisation'!V45)</f>
        <v>1.071519305237607E-9</v>
      </c>
      <c r="P44" s="66">
        <v>60</v>
      </c>
      <c r="Q44" s="30">
        <v>81.296999999999997</v>
      </c>
      <c r="R44" s="86">
        <f t="shared" si="47"/>
        <v>61.704422999999998</v>
      </c>
      <c r="S44" s="86">
        <f t="shared" si="48"/>
        <v>26809.066789231012</v>
      </c>
      <c r="T44" s="86">
        <f t="shared" si="49"/>
        <v>825.17306172587439</v>
      </c>
      <c r="U44" s="67">
        <f t="shared" si="50"/>
        <v>60361.402310037745</v>
      </c>
      <c r="V44" s="199">
        <f t="shared" si="13"/>
        <v>16462.200630010295</v>
      </c>
      <c r="W44" s="66">
        <v>120</v>
      </c>
      <c r="X44" s="30">
        <v>80.92</v>
      </c>
      <c r="Y44" s="86">
        <f t="shared" si="51"/>
        <v>61.418280000000003</v>
      </c>
      <c r="Z44" s="86">
        <f t="shared" si="52"/>
        <v>26684.74463491363</v>
      </c>
      <c r="AA44" s="86">
        <f t="shared" si="53"/>
        <v>821.34647225429899</v>
      </c>
      <c r="AB44" s="67">
        <f t="shared" si="54"/>
        <v>60081.487323372967</v>
      </c>
      <c r="AC44" s="199">
        <f t="shared" si="38"/>
        <v>16385.860179101717</v>
      </c>
      <c r="AD44" s="66">
        <v>180</v>
      </c>
      <c r="AE44" s="30">
        <v>83.555000000000007</v>
      </c>
      <c r="AF44" s="86">
        <f t="shared" si="55"/>
        <v>63.418245000000006</v>
      </c>
      <c r="AG44" s="86">
        <f t="shared" si="56"/>
        <v>27553.680647184978</v>
      </c>
      <c r="AH44" s="86">
        <f t="shared" si="57"/>
        <v>848.09199813652936</v>
      </c>
      <c r="AI44" s="67">
        <f t="shared" si="58"/>
        <v>62037.922309743321</v>
      </c>
      <c r="AJ44" s="199">
        <f t="shared" si="39"/>
        <v>16919.433357202724</v>
      </c>
      <c r="AK44" s="3">
        <v>240</v>
      </c>
      <c r="AL44" s="30">
        <v>81.296999999999997</v>
      </c>
      <c r="AM44" s="86">
        <f t="shared" si="59"/>
        <v>61.704422999999998</v>
      </c>
      <c r="AN44" s="86">
        <f t="shared" si="60"/>
        <v>26809.066789231012</v>
      </c>
      <c r="AO44" s="86">
        <f t="shared" si="61"/>
        <v>825.17306172587439</v>
      </c>
      <c r="AP44" s="67">
        <f t="shared" si="62"/>
        <v>60361.402310037745</v>
      </c>
      <c r="AQ44" s="199">
        <f t="shared" si="40"/>
        <v>16462.200630010295</v>
      </c>
      <c r="AR44" s="199">
        <f>(((AL44*$N44*10^-3)*$E$3*$E$4)/($E$5*$E$6*$H44))*1000*(12/44)+'post-DEA dissolved CO2'!N42</f>
        <v>13465.717238717682</v>
      </c>
      <c r="AS44" s="87">
        <f t="shared" si="63"/>
        <v>16462.200630010295</v>
      </c>
      <c r="AT44" s="87">
        <f t="shared" si="64"/>
        <v>16385.860179101717</v>
      </c>
      <c r="AU44" s="87">
        <f t="shared" si="65"/>
        <v>16919.433357202724</v>
      </c>
      <c r="AV44" s="87">
        <f t="shared" si="66"/>
        <v>16462.200630010295</v>
      </c>
      <c r="AW44" s="71">
        <f t="shared" si="67"/>
        <v>7.9694462045667783E-2</v>
      </c>
      <c r="AX44" s="72">
        <f t="shared" si="68"/>
        <v>0.88928863016834536</v>
      </c>
      <c r="AY44" s="88">
        <f t="shared" si="69"/>
        <v>5.3357317810100724E-2</v>
      </c>
      <c r="AZ44" s="88"/>
      <c r="BA44" s="3">
        <v>24</v>
      </c>
      <c r="BB44" s="3" t="s">
        <v>81</v>
      </c>
      <c r="BC44" s="111">
        <v>19.999984569282837</v>
      </c>
      <c r="BD44" s="75">
        <f t="shared" si="28"/>
        <v>13465.717238717682</v>
      </c>
      <c r="BE44" s="160">
        <f t="shared" si="29"/>
        <v>0.81797795697920983</v>
      </c>
      <c r="BF44" s="3">
        <f t="shared" si="70"/>
        <v>13465.717238717682</v>
      </c>
      <c r="BG44" s="3">
        <f t="shared" si="71"/>
        <v>13403.272432648611</v>
      </c>
      <c r="BH44" s="3">
        <f t="shared" si="72"/>
        <v>13839.723530770578</v>
      </c>
      <c r="BI44" s="3">
        <f t="shared" si="73"/>
        <v>13465.717238717682</v>
      </c>
      <c r="BJ44" s="222">
        <v>16462.200630010295</v>
      </c>
      <c r="BK44" s="71">
        <f t="shared" si="74"/>
        <v>7.969446204566781E-2</v>
      </c>
      <c r="BL44" s="72">
        <f t="shared" si="75"/>
        <v>0.72741849686994409</v>
      </c>
      <c r="BM44" s="88">
        <f t="shared" si="36"/>
        <v>4.3645109812196645E-2</v>
      </c>
      <c r="BN44" s="227">
        <v>5.3357317810100724E-2</v>
      </c>
      <c r="BO44" s="234"/>
      <c r="BP44" s="241">
        <v>48</v>
      </c>
      <c r="BQ44" s="30" t="s">
        <v>81</v>
      </c>
      <c r="BR44" s="231">
        <f>AVERAGE(BC114:BC116)</f>
        <v>19.995610601060481</v>
      </c>
      <c r="BS44" s="231">
        <f>AVERAGE(BD114:BD116)</f>
        <v>58549.21003304296</v>
      </c>
      <c r="BT44" s="231">
        <f>STDEV(BD114:BD116)/SQRT(3)</f>
        <v>6994.5925627812312</v>
      </c>
      <c r="BU44" s="231">
        <f>AVERAGE(BJ114:BJ116)</f>
        <v>29243.895757614227</v>
      </c>
      <c r="BV44" s="231">
        <f>STDEV(BJ114:BJ116)/SQRT(3)</f>
        <v>5377.932137944259</v>
      </c>
      <c r="BW44" s="231">
        <f>AVERAGE(BM115:BM116)</f>
        <v>-0.13451944096938906</v>
      </c>
      <c r="BX44" s="231">
        <f>STDEV(BM115:BM116)/SQRT(3)</f>
        <v>4.4858191766982998</v>
      </c>
      <c r="BY44" s="242">
        <f>AVERAGE(BN115:BN116)</f>
        <v>0.25249017222375669</v>
      </c>
      <c r="BZ44" s="242">
        <f>STDEV(BN115:BN116)/SQRT(3)</f>
        <v>2.1005510991813945</v>
      </c>
      <c r="CA44">
        <v>8.7399999999999984</v>
      </c>
      <c r="CC44" s="272" t="s">
        <v>81</v>
      </c>
      <c r="CD44" s="270">
        <v>0</v>
      </c>
      <c r="CE44" s="230">
        <v>1.4574610952046827</v>
      </c>
      <c r="CF44">
        <v>1.1208029305584724</v>
      </c>
      <c r="CG44">
        <v>1.2737854187817568</v>
      </c>
      <c r="CH44">
        <v>0.80099725044284875</v>
      </c>
      <c r="CI44">
        <v>0.9993915017525099</v>
      </c>
      <c r="CJ44"/>
      <c r="CK44"/>
      <c r="CL44"/>
      <c r="CM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</row>
    <row r="45" spans="1:382">
      <c r="A45" s="3">
        <f>'Exptl Setup'!A80</f>
        <v>73</v>
      </c>
      <c r="B45" s="3" t="str">
        <f>'Exptl Setup'!C80</f>
        <v>a</v>
      </c>
      <c r="C45" s="3">
        <f>'Exptl Setup'!D80</f>
        <v>24</v>
      </c>
      <c r="D45" s="3" t="str">
        <f>'Exptl Setup'!E80</f>
        <v>-</v>
      </c>
      <c r="E45" s="75">
        <f>'Exptl Setup'!K80</f>
        <v>0</v>
      </c>
      <c r="F45" s="63">
        <f>'Exptl Setup'!F80</f>
        <v>32.002000000000002</v>
      </c>
      <c r="G45" s="64">
        <f>'Exptl Setup'!$C$5</f>
        <v>1.2793390913194711</v>
      </c>
      <c r="H45" s="7">
        <f t="shared" si="76"/>
        <v>25.014478348343221</v>
      </c>
      <c r="I45" s="8">
        <f t="shared" si="77"/>
        <v>9.439425791827631</v>
      </c>
      <c r="J45" s="8">
        <f t="shared" si="78"/>
        <v>6.9875216516567811</v>
      </c>
      <c r="K45" s="8">
        <f>'Exptl Setup'!H80+'Exptl Setup'!I80+'Exptl Setup'!J80+5</f>
        <v>23.003024686832859</v>
      </c>
      <c r="L45" s="8">
        <f t="shared" si="79"/>
        <v>29.99054633848964</v>
      </c>
      <c r="M45" s="44">
        <v>300</v>
      </c>
      <c r="N45" s="85">
        <f t="shared" si="80"/>
        <v>260.57002786968275</v>
      </c>
      <c r="O45" s="193">
        <f>10^(-'Pre-DEA characterisation'!V46)</f>
        <v>1.9275249131909337E-5</v>
      </c>
      <c r="P45" s="66">
        <v>60</v>
      </c>
      <c r="Q45" s="30">
        <v>359.81299999999999</v>
      </c>
      <c r="R45" s="86">
        <f t="shared" si="47"/>
        <v>273.09806700000001</v>
      </c>
      <c r="S45" s="86">
        <f t="shared" si="48"/>
        <v>279.4029886476232</v>
      </c>
      <c r="T45" s="86">
        <f t="shared" si="49"/>
        <v>102.13593171602319</v>
      </c>
      <c r="U45" s="67">
        <f t="shared" si="50"/>
        <v>7470.0752107029411</v>
      </c>
      <c r="V45" s="199">
        <f t="shared" si="13"/>
        <v>2037.2932392826203</v>
      </c>
      <c r="W45" s="66">
        <v>120</v>
      </c>
      <c r="X45" s="30">
        <v>477.99400000000003</v>
      </c>
      <c r="Y45" s="86">
        <f t="shared" si="51"/>
        <v>362.79744600000004</v>
      </c>
      <c r="Z45" s="86">
        <f t="shared" si="52"/>
        <v>371.1732265249783</v>
      </c>
      <c r="AA45" s="86">
        <f t="shared" si="53"/>
        <v>135.68259775124523</v>
      </c>
      <c r="AB45" s="67">
        <f t="shared" si="54"/>
        <v>9923.6301363895745</v>
      </c>
      <c r="AC45" s="199">
        <f t="shared" si="38"/>
        <v>2706.4445826517021</v>
      </c>
      <c r="AD45" s="66">
        <v>180</v>
      </c>
      <c r="AE45" s="30">
        <v>606.71400000000006</v>
      </c>
      <c r="AF45" s="86">
        <f t="shared" si="55"/>
        <v>460.49592600000005</v>
      </c>
      <c r="AG45" s="86">
        <f t="shared" si="56"/>
        <v>471.12723791067606</v>
      </c>
      <c r="AH45" s="86">
        <f t="shared" si="57"/>
        <v>172.22084714881149</v>
      </c>
      <c r="AI45" s="67">
        <f t="shared" si="58"/>
        <v>12595.985168369194</v>
      </c>
      <c r="AJ45" s="199">
        <f t="shared" si="39"/>
        <v>3435.2686822825071</v>
      </c>
      <c r="AK45" s="3">
        <v>240</v>
      </c>
      <c r="AL45" s="30">
        <v>710.59299999999996</v>
      </c>
      <c r="AM45" s="86">
        <f t="shared" si="59"/>
        <v>539.34008699999993</v>
      </c>
      <c r="AN45" s="86">
        <f t="shared" si="60"/>
        <v>551.79164708356973</v>
      </c>
      <c r="AO45" s="86">
        <f t="shared" si="61"/>
        <v>201.70777077505275</v>
      </c>
      <c r="AP45" s="67">
        <f t="shared" si="62"/>
        <v>14752.616370723221</v>
      </c>
      <c r="AQ45" s="199">
        <f t="shared" si="40"/>
        <v>4023.4408283790603</v>
      </c>
      <c r="AR45" s="199">
        <f>(((AL45*$N45*10^-3)*$E$3*$E$4)/($E$5*$E$6*$H45))*1000*(12/44)+'post-DEA dissolved CO2'!N43</f>
        <v>7738.7022023173167</v>
      </c>
      <c r="AS45" s="87">
        <f t="shared" si="63"/>
        <v>2037.2932392826203</v>
      </c>
      <c r="AT45" s="87">
        <f t="shared" si="64"/>
        <v>2706.4445826517021</v>
      </c>
      <c r="AU45" s="87">
        <f t="shared" si="65"/>
        <v>3435.2686822825071</v>
      </c>
      <c r="AV45" s="87">
        <f t="shared" si="66"/>
        <v>4023.4408283790603</v>
      </c>
      <c r="AW45" s="71">
        <f t="shared" si="67"/>
        <v>0.99837208879914718</v>
      </c>
      <c r="AX45" s="72">
        <f t="shared" si="68"/>
        <v>11.145444778200206</v>
      </c>
      <c r="AY45" s="88">
        <f t="shared" si="69"/>
        <v>0.6687266866920123</v>
      </c>
      <c r="AZ45" s="88"/>
      <c r="BA45" s="3">
        <v>24</v>
      </c>
      <c r="BB45" s="3" t="s">
        <v>82</v>
      </c>
      <c r="BC45" s="111">
        <v>0</v>
      </c>
      <c r="BD45" s="75">
        <f t="shared" si="28"/>
        <v>7738.7022023173167</v>
      </c>
      <c r="BE45" s="160">
        <f t="shared" si="29"/>
        <v>0.51991157214632977</v>
      </c>
      <c r="BF45" s="3">
        <f t="shared" si="70"/>
        <v>3918.5379753563584</v>
      </c>
      <c r="BG45" s="3">
        <f t="shared" si="71"/>
        <v>5205.5863489993062</v>
      </c>
      <c r="BH45" s="3">
        <f t="shared" si="72"/>
        <v>6607.4095410125756</v>
      </c>
      <c r="BI45" s="3">
        <f t="shared" si="73"/>
        <v>7738.7022023173158</v>
      </c>
      <c r="BJ45" s="222">
        <v>4023.4408283790603</v>
      </c>
      <c r="BK45" s="71">
        <f t="shared" si="74"/>
        <v>0.99837208879914718</v>
      </c>
      <c r="BL45" s="72">
        <f t="shared" si="75"/>
        <v>21.437193121493568</v>
      </c>
      <c r="BM45" s="88">
        <f t="shared" si="36"/>
        <v>1.286231587289614</v>
      </c>
      <c r="BN45" s="227">
        <v>0.6687266866920123</v>
      </c>
      <c r="BO45" s="234"/>
      <c r="BP45" s="241">
        <v>48</v>
      </c>
      <c r="BQ45" s="30" t="s">
        <v>82</v>
      </c>
      <c r="BR45" s="231">
        <f>AVERAGE(BC117:BC119)</f>
        <v>0</v>
      </c>
      <c r="BS45" s="231">
        <f>AVERAGE(BD117:BD119)</f>
        <v>7418.085875978948</v>
      </c>
      <c r="BT45" s="231">
        <f>STDEV(BD117:BD119)/SQRT(3)</f>
        <v>153.17607935181692</v>
      </c>
      <c r="BU45" s="231">
        <f>AVERAGE(BJ117:BJ119)</f>
        <v>3361.2421949770473</v>
      </c>
      <c r="BV45" s="231">
        <f>STDEV(BJ117:BJ119)/SQRT(3)</f>
        <v>91.081562337338951</v>
      </c>
      <c r="BW45" s="231">
        <f>AVERAGE(BM117:BM119)</f>
        <v>1.0481134927113009</v>
      </c>
      <c r="BX45" s="231">
        <f>STDEV(BM117:BM119)/SQRT(3)</f>
        <v>6.1713624816758288E-2</v>
      </c>
      <c r="BY45" s="242">
        <f>AVERAGE(BN117:BN119)</f>
        <v>0.47553461250253432</v>
      </c>
      <c r="BZ45" s="242">
        <f>STDEV(BN117:BN119)/SQRT(3)</f>
        <v>3.4014977921749422E-2</v>
      </c>
      <c r="CA45">
        <v>4.5600000000000005</v>
      </c>
      <c r="CC45" s="273"/>
      <c r="CD45" s="270">
        <v>6</v>
      </c>
      <c r="CE45" s="230">
        <v>3.2023392840909217</v>
      </c>
      <c r="CF45">
        <v>2.2868612364742877</v>
      </c>
      <c r="CG45">
        <v>2.5896891824054062</v>
      </c>
      <c r="CH45">
        <v>1.7222263349022882</v>
      </c>
      <c r="CI45">
        <v>1.5259444051685851</v>
      </c>
      <c r="CJ45"/>
      <c r="CK45"/>
      <c r="CL45"/>
      <c r="CM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</row>
    <row r="46" spans="1:382">
      <c r="A46" s="3">
        <f>'Exptl Setup'!A81</f>
        <v>74</v>
      </c>
      <c r="B46" s="3" t="str">
        <f>'Exptl Setup'!C81</f>
        <v>b</v>
      </c>
      <c r="C46" s="3">
        <f>'Exptl Setup'!D81</f>
        <v>24</v>
      </c>
      <c r="D46" s="3" t="str">
        <f>'Exptl Setup'!E81</f>
        <v>-</v>
      </c>
      <c r="E46" s="75">
        <f>'Exptl Setup'!K81</f>
        <v>0</v>
      </c>
      <c r="F46" s="63">
        <f>'Exptl Setup'!F81</f>
        <v>31.992000000000001</v>
      </c>
      <c r="G46" s="64">
        <f>'Exptl Setup'!$C$5</f>
        <v>1.2793390913194711</v>
      </c>
      <c r="H46" s="7">
        <f t="shared" si="76"/>
        <v>25.00666181239286</v>
      </c>
      <c r="I46" s="8">
        <f t="shared" si="77"/>
        <v>9.4364761556199479</v>
      </c>
      <c r="J46" s="8">
        <f t="shared" si="78"/>
        <v>6.985338187607141</v>
      </c>
      <c r="K46" s="8">
        <f>'Exptl Setup'!H81+'Exptl Setup'!I81+'Exptl Setup'!J81+5</f>
        <v>23.003024686832859</v>
      </c>
      <c r="L46" s="8">
        <f t="shared" si="79"/>
        <v>29.98836287444</v>
      </c>
      <c r="M46" s="44">
        <v>300</v>
      </c>
      <c r="N46" s="85">
        <f t="shared" si="80"/>
        <v>260.57516096994004</v>
      </c>
      <c r="O46" s="193">
        <f>10^(-'Pre-DEA characterisation'!V47)</f>
        <v>1.9275249131909337E-5</v>
      </c>
      <c r="P46" s="66">
        <v>60</v>
      </c>
      <c r="Q46" s="30">
        <v>470.84300000000002</v>
      </c>
      <c r="R46" s="86">
        <f t="shared" si="47"/>
        <v>357.36983700000002</v>
      </c>
      <c r="S46" s="86">
        <f t="shared" si="48"/>
        <v>365.62031217274767</v>
      </c>
      <c r="T46" s="86">
        <f t="shared" si="49"/>
        <v>133.65434511227187</v>
      </c>
      <c r="U46" s="67">
        <f t="shared" si="50"/>
        <v>9778.3421952429726</v>
      </c>
      <c r="V46" s="199">
        <f t="shared" si="13"/>
        <v>2666.820598702629</v>
      </c>
      <c r="W46" s="66">
        <v>120</v>
      </c>
      <c r="X46" s="30">
        <v>548.75199999999995</v>
      </c>
      <c r="Y46" s="86">
        <f t="shared" si="51"/>
        <v>416.50276799999995</v>
      </c>
      <c r="Z46" s="86">
        <f t="shared" si="52"/>
        <v>426.11842492172462</v>
      </c>
      <c r="AA46" s="86">
        <f t="shared" si="53"/>
        <v>155.76973468661402</v>
      </c>
      <c r="AB46" s="67">
        <f t="shared" si="54"/>
        <v>11396.33558601056</v>
      </c>
      <c r="AC46" s="199">
        <f t="shared" si="38"/>
        <v>3108.0915234574259</v>
      </c>
      <c r="AD46" s="66">
        <v>180</v>
      </c>
      <c r="AE46" s="30">
        <v>710.21699999999998</v>
      </c>
      <c r="AF46" s="86">
        <f t="shared" si="55"/>
        <v>539.05470300000002</v>
      </c>
      <c r="AG46" s="86">
        <f t="shared" si="56"/>
        <v>551.49967452078999</v>
      </c>
      <c r="AH46" s="86">
        <f t="shared" si="57"/>
        <v>201.60348146325293</v>
      </c>
      <c r="AI46" s="67">
        <f t="shared" si="58"/>
        <v>14749.597761629411</v>
      </c>
      <c r="AJ46" s="199">
        <f t="shared" si="39"/>
        <v>4022.6175713534758</v>
      </c>
      <c r="AK46" s="3">
        <v>240</v>
      </c>
      <c r="AL46" s="30">
        <v>790.00800000000004</v>
      </c>
      <c r="AM46" s="86">
        <f t="shared" si="59"/>
        <v>599.61607200000003</v>
      </c>
      <c r="AN46" s="86">
        <f t="shared" si="60"/>
        <v>613.45920312921305</v>
      </c>
      <c r="AO46" s="86">
        <f t="shared" si="61"/>
        <v>224.25309895964403</v>
      </c>
      <c r="AP46" s="67">
        <f t="shared" si="62"/>
        <v>16406.676027846883</v>
      </c>
      <c r="AQ46" s="199">
        <f t="shared" si="40"/>
        <v>4474.5480075946043</v>
      </c>
      <c r="AR46" s="199">
        <f>(((AL46*$N46*10^-3)*$E$3*$E$4)/($E$5*$E$6*$H46))*1000*(12/44)+'post-DEA dissolved CO2'!N44</f>
        <v>8112.5273018654161</v>
      </c>
      <c r="AS46" s="87">
        <f t="shared" si="63"/>
        <v>2666.820598702629</v>
      </c>
      <c r="AT46" s="87">
        <f t="shared" si="64"/>
        <v>3108.0915234574259</v>
      </c>
      <c r="AU46" s="87">
        <f t="shared" si="65"/>
        <v>4022.6175713534758</v>
      </c>
      <c r="AV46" s="87">
        <f t="shared" si="66"/>
        <v>4474.5480075946043</v>
      </c>
      <c r="AW46" s="71">
        <f t="shared" si="67"/>
        <v>0.97864712132920928</v>
      </c>
      <c r="AX46" s="72">
        <f t="shared" si="68"/>
        <v>10.562847124286627</v>
      </c>
      <c r="AY46" s="88">
        <f t="shared" si="69"/>
        <v>0.63377082745719759</v>
      </c>
      <c r="AZ46" s="88"/>
      <c r="BA46" s="3">
        <v>24</v>
      </c>
      <c r="BB46" s="3" t="s">
        <v>82</v>
      </c>
      <c r="BC46" s="111">
        <v>0</v>
      </c>
      <c r="BD46" s="75">
        <f t="shared" si="28"/>
        <v>8112.5273018654161</v>
      </c>
      <c r="BE46" s="160">
        <f t="shared" si="29"/>
        <v>0.55156030187605221</v>
      </c>
      <c r="BF46" s="3">
        <f t="shared" si="70"/>
        <v>4835.04811646492</v>
      </c>
      <c r="BG46" s="3">
        <f t="shared" si="71"/>
        <v>5635.0892420750806</v>
      </c>
      <c r="BH46" s="3">
        <f t="shared" si="72"/>
        <v>7293.1600727447694</v>
      </c>
      <c r="BI46" s="3">
        <f t="shared" si="73"/>
        <v>8112.5273018654161</v>
      </c>
      <c r="BJ46" s="222">
        <v>4474.5480075946043</v>
      </c>
      <c r="BK46" s="71">
        <f t="shared" si="74"/>
        <v>0.97864712132920884</v>
      </c>
      <c r="BL46" s="72">
        <f t="shared" si="75"/>
        <v>19.150847311451962</v>
      </c>
      <c r="BM46" s="88">
        <f t="shared" si="36"/>
        <v>1.1490508386871177</v>
      </c>
      <c r="BN46" s="227">
        <v>0.63377082745719759</v>
      </c>
      <c r="BO46" s="234"/>
      <c r="BP46" s="241">
        <v>48</v>
      </c>
      <c r="BQ46" s="30" t="s">
        <v>82</v>
      </c>
      <c r="BR46" s="231">
        <f>AVERAGE(BC120:BC122)</f>
        <v>5.9990581214285292</v>
      </c>
      <c r="BS46" s="231">
        <f>AVERAGE(BD120:BD122)</f>
        <v>20058.141114563863</v>
      </c>
      <c r="BT46" s="231">
        <f>STDEV(BD120:BD122)/SQRT(3)</f>
        <v>1104.6343533824029</v>
      </c>
      <c r="BU46" s="231">
        <f>AVERAGE(BJ120:BJ122)</f>
        <v>14459.287827235943</v>
      </c>
      <c r="BV46" s="231">
        <f>STDEV(BJ120:BJ122)/SQRT(3)</f>
        <v>1192.316196040453</v>
      </c>
      <c r="BW46" s="231">
        <f>AVERAGE(BM120:BM122)</f>
        <v>1.7389539281330713</v>
      </c>
      <c r="BX46" s="231">
        <f>STDEV(BM120:BM122)/SQRT(3)</f>
        <v>3.2836448630212858E-2</v>
      </c>
      <c r="BY46" s="242">
        <f>AVERAGE(BN120:BN122)</f>
        <v>1.2492838822498784</v>
      </c>
      <c r="BZ46" s="242">
        <f>STDEV(BN120:BN122)/SQRT(3)</f>
        <v>4.0203919661150014E-2</v>
      </c>
      <c r="CA46">
        <v>6.73</v>
      </c>
      <c r="CC46" s="273"/>
      <c r="CD46" s="270">
        <v>16</v>
      </c>
      <c r="CE46" s="230">
        <v>2.4500296449034797</v>
      </c>
      <c r="CF46">
        <v>3.5561568303603726</v>
      </c>
      <c r="CG46">
        <v>2.1135183767618155</v>
      </c>
      <c r="CH46">
        <v>3.4803150947584078</v>
      </c>
      <c r="CI46">
        <v>3.6188027836922423</v>
      </c>
      <c r="CJ46"/>
      <c r="CK46"/>
      <c r="CL46"/>
      <c r="CM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</row>
    <row r="47" spans="1:382">
      <c r="A47" s="3">
        <f>'Exptl Setup'!A82</f>
        <v>75</v>
      </c>
      <c r="B47" s="3" t="str">
        <f>'Exptl Setup'!C82</f>
        <v>c</v>
      </c>
      <c r="C47" s="3">
        <f>'Exptl Setup'!D82</f>
        <v>24</v>
      </c>
      <c r="D47" s="3" t="str">
        <f>'Exptl Setup'!E82</f>
        <v>-</v>
      </c>
      <c r="E47" s="75">
        <f>'Exptl Setup'!K82</f>
        <v>0</v>
      </c>
      <c r="F47" s="63">
        <f>'Exptl Setup'!F82</f>
        <v>31.998999999999999</v>
      </c>
      <c r="G47" s="64">
        <f>'Exptl Setup'!$C$5</f>
        <v>1.2793390913194711</v>
      </c>
      <c r="H47" s="7">
        <f t="shared" si="76"/>
        <v>25.012133387558112</v>
      </c>
      <c r="I47" s="8">
        <f t="shared" si="77"/>
        <v>9.4385409009653252</v>
      </c>
      <c r="J47" s="8">
        <f t="shared" si="78"/>
        <v>6.9868666124418866</v>
      </c>
      <c r="K47" s="8">
        <f>'Exptl Setup'!H82+'Exptl Setup'!I82+'Exptl Setup'!J82+5</f>
        <v>23.003024686832859</v>
      </c>
      <c r="L47" s="8">
        <f t="shared" si="79"/>
        <v>29.989891299274746</v>
      </c>
      <c r="M47" s="44">
        <v>300</v>
      </c>
      <c r="N47" s="85">
        <f t="shared" si="80"/>
        <v>260.57156779975992</v>
      </c>
      <c r="O47" s="193">
        <f>10^(-'Pre-DEA characterisation'!V48)</f>
        <v>1.9275249131909337E-5</v>
      </c>
      <c r="P47" s="66">
        <v>60</v>
      </c>
      <c r="Q47" s="30">
        <v>392.18099999999998</v>
      </c>
      <c r="R47" s="86">
        <f t="shared" si="47"/>
        <v>297.66537899999997</v>
      </c>
      <c r="S47" s="86">
        <f t="shared" si="48"/>
        <v>304.53747777543754</v>
      </c>
      <c r="T47" s="86">
        <f t="shared" si="49"/>
        <v>111.32426388631832</v>
      </c>
      <c r="U47" s="67">
        <f t="shared" si="50"/>
        <v>8142.8599615092289</v>
      </c>
      <c r="V47" s="199">
        <f t="shared" si="13"/>
        <v>2220.7799895025169</v>
      </c>
      <c r="W47" s="66">
        <v>120</v>
      </c>
      <c r="X47" s="30">
        <v>494.93099999999998</v>
      </c>
      <c r="Y47" s="86">
        <f t="shared" si="51"/>
        <v>375.65262899999999</v>
      </c>
      <c r="Z47" s="86">
        <f t="shared" si="52"/>
        <v>384.32519273721852</v>
      </c>
      <c r="AA47" s="86">
        <f t="shared" si="53"/>
        <v>140.49081737646497</v>
      </c>
      <c r="AB47" s="67">
        <f t="shared" si="54"/>
        <v>10276.259746417403</v>
      </c>
      <c r="AC47" s="199">
        <f t="shared" si="38"/>
        <v>2802.6162944774737</v>
      </c>
      <c r="AD47" s="66">
        <v>180</v>
      </c>
      <c r="AE47" s="30">
        <v>616.87599999999998</v>
      </c>
      <c r="AF47" s="86">
        <f t="shared" si="55"/>
        <v>468.20888400000001</v>
      </c>
      <c r="AG47" s="86">
        <f t="shared" si="56"/>
        <v>479.01826233346554</v>
      </c>
      <c r="AH47" s="86">
        <f t="shared" si="57"/>
        <v>175.1060520757928</v>
      </c>
      <c r="AI47" s="67">
        <f t="shared" si="58"/>
        <v>12808.205603065848</v>
      </c>
      <c r="AJ47" s="199">
        <f t="shared" si="39"/>
        <v>3493.1469826543221</v>
      </c>
      <c r="AK47" s="3">
        <v>240</v>
      </c>
      <c r="AL47" s="30">
        <v>57.960999999999999</v>
      </c>
      <c r="AM47" s="86">
        <f t="shared" si="59"/>
        <v>43.992398999999999</v>
      </c>
      <c r="AN47" s="86">
        <f t="shared" si="60"/>
        <v>45.008036466177956</v>
      </c>
      <c r="AO47" s="86">
        <f t="shared" si="61"/>
        <v>16.452774762456354</v>
      </c>
      <c r="AP47" s="67">
        <f t="shared" si="62"/>
        <v>1203.445108837594</v>
      </c>
      <c r="AQ47" s="199">
        <f t="shared" si="40"/>
        <v>328.2123024102529</v>
      </c>
      <c r="AR47" s="199">
        <f>(((AL47*$N47*10^-3)*$E$3*$E$4)/($E$5*$E$6*$H47))*1000*(12/44)+'post-DEA dissolved CO2'!N45</f>
        <v>4091.2676618370847</v>
      </c>
      <c r="AS47" s="87">
        <f t="shared" si="63"/>
        <v>2220.7799895025169</v>
      </c>
      <c r="AT47" s="87">
        <f t="shared" si="64"/>
        <v>2802.6162944774737</v>
      </c>
      <c r="AU47" s="87">
        <f t="shared" si="65"/>
        <v>3493.1469826543221</v>
      </c>
      <c r="AV47" s="87">
        <f t="shared" si="66"/>
        <v>328.2123024102529</v>
      </c>
      <c r="AW47" s="71">
        <f t="shared" si="67"/>
        <v>0.22452027827800236</v>
      </c>
      <c r="AX47" s="72">
        <f t="shared" si="68"/>
        <v>-8.3119539551665724</v>
      </c>
      <c r="AY47" s="88">
        <f t="shared" si="69"/>
        <v>-0.49871723730999434</v>
      </c>
      <c r="AZ47" s="88"/>
      <c r="BA47" s="3">
        <v>24</v>
      </c>
      <c r="BB47" s="3" t="s">
        <v>82</v>
      </c>
      <c r="BC47" s="111">
        <v>0</v>
      </c>
      <c r="BD47" s="206">
        <f t="shared" si="28"/>
        <v>4091.2676618370847</v>
      </c>
      <c r="BE47" s="216">
        <f t="shared" si="29"/>
        <v>8.0222642354051479E-2</v>
      </c>
      <c r="BF47" s="74">
        <f t="shared" si="70"/>
        <v>27682.708077619947</v>
      </c>
      <c r="BG47" s="74">
        <f t="shared" si="71"/>
        <v>34935.477219866632</v>
      </c>
      <c r="BH47" s="74">
        <f t="shared" si="72"/>
        <v>43543.155400414304</v>
      </c>
      <c r="BI47" s="74">
        <f t="shared" si="73"/>
        <v>4091.2676618370851</v>
      </c>
      <c r="BJ47" s="222">
        <v>328.2123024102529</v>
      </c>
      <c r="BK47" s="207">
        <f t="shared" si="74"/>
        <v>0.22452027827800231</v>
      </c>
      <c r="BL47" s="208">
        <f t="shared" si="75"/>
        <v>-103.61107177800152</v>
      </c>
      <c r="BM47" s="209">
        <f t="shared" si="36"/>
        <v>-6.2166643066800908</v>
      </c>
      <c r="BN47" s="227">
        <v>-0.49871723730999434</v>
      </c>
      <c r="BO47" s="234"/>
      <c r="BP47" s="241">
        <v>48</v>
      </c>
      <c r="BQ47" s="30" t="s">
        <v>82</v>
      </c>
      <c r="BR47" s="231">
        <f>AVERAGE(BC123:BC125)</f>
        <v>16.000654436182007</v>
      </c>
      <c r="BS47" s="231">
        <f>AVERAGE(BD123:BD125)</f>
        <v>119784.83410239498</v>
      </c>
      <c r="BT47" s="231">
        <f>STDEV(BD123:BD125)/SQRT(3)</f>
        <v>3488.005194686199</v>
      </c>
      <c r="BU47" s="231">
        <f>AVERAGE(BJ123:BJ125)</f>
        <v>127724.71433666586</v>
      </c>
      <c r="BV47" s="231">
        <f>STDEV(BJ123:BJ125)/SQRT(3)</f>
        <v>11787.442135208674</v>
      </c>
      <c r="BW47" s="231">
        <f>AVERAGE(BM123:BM125)</f>
        <v>6.1486294361128158</v>
      </c>
      <c r="BX47" s="231">
        <f>STDEV(BM123:BM125)/SQRT(3)</f>
        <v>8.5724134736184024E-2</v>
      </c>
      <c r="BY47" s="242">
        <f>AVERAGE(BN123:BN125)</f>
        <v>6.5225829127961967</v>
      </c>
      <c r="BZ47" s="242">
        <f>STDEV(BN123:BN125)/SQRT(3)</f>
        <v>0.37026556697389218</v>
      </c>
      <c r="CA47">
        <v>8.375</v>
      </c>
      <c r="CC47" s="273"/>
      <c r="CD47" s="270">
        <v>20</v>
      </c>
      <c r="CE47" s="230">
        <v>-5.5749951352783433E-2</v>
      </c>
      <c r="CF47">
        <v>-0.4806398691592883</v>
      </c>
      <c r="CG47">
        <v>0.29978518551570466</v>
      </c>
      <c r="CH47">
        <v>-2.0414342184498988</v>
      </c>
      <c r="CI47">
        <v>-0.13451944096938906</v>
      </c>
      <c r="CJ47"/>
      <c r="CK47"/>
      <c r="CL47"/>
      <c r="CM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</row>
    <row r="48" spans="1:382" ht="15.75" thickBot="1">
      <c r="A48" s="3">
        <f>'Exptl Setup'!A86</f>
        <v>79</v>
      </c>
      <c r="B48" s="3" t="str">
        <f>'Exptl Setup'!C86</f>
        <v>a</v>
      </c>
      <c r="C48" s="3">
        <f>'Exptl Setup'!D86</f>
        <v>24</v>
      </c>
      <c r="D48" s="3" t="str">
        <f>'Exptl Setup'!E86</f>
        <v>-</v>
      </c>
      <c r="E48" s="75">
        <f>'Exptl Setup'!K86</f>
        <v>5.9999953707848501</v>
      </c>
      <c r="F48" s="63">
        <f>'Exptl Setup'!F86</f>
        <v>31.997</v>
      </c>
      <c r="G48" s="64">
        <f>'Exptl Setup'!$C$5</f>
        <v>1.2793390913194711</v>
      </c>
      <c r="H48" s="7">
        <f t="shared" si="76"/>
        <v>25.010570080368041</v>
      </c>
      <c r="I48" s="8">
        <f t="shared" si="77"/>
        <v>9.4379509737237886</v>
      </c>
      <c r="J48" s="8">
        <f t="shared" si="78"/>
        <v>6.9864299196319593</v>
      </c>
      <c r="K48" s="8">
        <f>'Exptl Setup'!H86+'Exptl Setup'!I86+'Exptl Setup'!J86+5</f>
        <v>23.003024686832859</v>
      </c>
      <c r="L48" s="8">
        <f t="shared" si="79"/>
        <v>29.989454606464818</v>
      </c>
      <c r="M48" s="44">
        <v>300</v>
      </c>
      <c r="N48" s="85">
        <f t="shared" si="80"/>
        <v>260.57259441981137</v>
      </c>
      <c r="O48" s="193">
        <f>10^(-'Pre-DEA characterisation'!V49)</f>
        <v>2.089296130854039E-7</v>
      </c>
      <c r="P48" s="66">
        <v>60</v>
      </c>
      <c r="Q48" s="30">
        <v>1992.8969999999999</v>
      </c>
      <c r="R48" s="86">
        <f t="shared" si="47"/>
        <v>1512.608823</v>
      </c>
      <c r="S48" s="86">
        <f t="shared" si="48"/>
        <v>4735.0434724466886</v>
      </c>
      <c r="T48" s="86">
        <f t="shared" si="49"/>
        <v>661.29571297803636</v>
      </c>
      <c r="U48" s="67">
        <f t="shared" si="50"/>
        <v>48373.775670140567</v>
      </c>
      <c r="V48" s="199">
        <f t="shared" si="13"/>
        <v>13192.847910038336</v>
      </c>
      <c r="W48" s="66">
        <v>120</v>
      </c>
      <c r="X48" s="30">
        <v>2292.114</v>
      </c>
      <c r="Y48" s="86">
        <f t="shared" si="51"/>
        <v>1739.714526</v>
      </c>
      <c r="Z48" s="86">
        <f t="shared" si="52"/>
        <v>5445.9710832038327</v>
      </c>
      <c r="AA48" s="86">
        <f t="shared" si="53"/>
        <v>760.58379427383295</v>
      </c>
      <c r="AB48" s="67">
        <f t="shared" si="54"/>
        <v>55636.697955984964</v>
      </c>
      <c r="AC48" s="199">
        <f t="shared" si="38"/>
        <v>15173.644897086808</v>
      </c>
      <c r="AD48" s="66">
        <v>180</v>
      </c>
      <c r="AE48" s="30">
        <v>2566.4899999999998</v>
      </c>
      <c r="AF48" s="86">
        <f t="shared" si="55"/>
        <v>1947.9659099999999</v>
      </c>
      <c r="AG48" s="86">
        <f t="shared" si="56"/>
        <v>6097.8774726439451</v>
      </c>
      <c r="AH48" s="86">
        <f t="shared" si="57"/>
        <v>851.62897751414164</v>
      </c>
      <c r="AI48" s="67">
        <f t="shared" si="58"/>
        <v>62296.652320545938</v>
      </c>
      <c r="AJ48" s="199">
        <f t="shared" si="39"/>
        <v>16989.996087421619</v>
      </c>
      <c r="AK48" s="3">
        <v>240</v>
      </c>
      <c r="AL48" s="30">
        <v>2835.5970000000002</v>
      </c>
      <c r="AM48" s="86">
        <f t="shared" si="59"/>
        <v>2152.2181230000001</v>
      </c>
      <c r="AN48" s="86">
        <f t="shared" si="60"/>
        <v>6737.2649290652816</v>
      </c>
      <c r="AO48" s="86">
        <f t="shared" si="61"/>
        <v>940.92576778096463</v>
      </c>
      <c r="AP48" s="67">
        <f t="shared" si="62"/>
        <v>68828.711754257034</v>
      </c>
      <c r="AQ48" s="199">
        <f t="shared" si="40"/>
        <v>18771.466842070102</v>
      </c>
      <c r="AR48" s="199">
        <f>(((AL48*$N48*10^-3)*$E$3*$E$4)/($E$5*$E$6*$H48))*1000*(12/44)+'post-DEA dissolved CO2'!N46</f>
        <v>19342.589355494536</v>
      </c>
      <c r="AS48" s="87">
        <f t="shared" si="63"/>
        <v>13192.847910038336</v>
      </c>
      <c r="AT48" s="87">
        <f t="shared" si="64"/>
        <v>15173.644897086808</v>
      </c>
      <c r="AU48" s="87">
        <f t="shared" si="65"/>
        <v>16989.996087421619</v>
      </c>
      <c r="AV48" s="87">
        <f t="shared" si="66"/>
        <v>18771.466842070102</v>
      </c>
      <c r="AW48" s="71">
        <f t="shared" si="67"/>
        <v>0.9993744424998906</v>
      </c>
      <c r="AX48" s="72">
        <f t="shared" si="68"/>
        <v>30.920346644050184</v>
      </c>
      <c r="AY48" s="88">
        <f t="shared" si="69"/>
        <v>1.8552207986430109</v>
      </c>
      <c r="AZ48" s="88"/>
      <c r="BA48" s="3">
        <v>24</v>
      </c>
      <c r="BB48" s="3" t="s">
        <v>82</v>
      </c>
      <c r="BC48" s="111">
        <v>5.9999953707848501</v>
      </c>
      <c r="BD48" s="75">
        <f t="shared" si="28"/>
        <v>19342.589355494536</v>
      </c>
      <c r="BE48" s="160">
        <f t="shared" si="29"/>
        <v>0.97047331652821345</v>
      </c>
      <c r="BF48" s="3">
        <f t="shared" si="70"/>
        <v>13594.240753815508</v>
      </c>
      <c r="BG48" s="3">
        <f t="shared" si="71"/>
        <v>15635.303556175295</v>
      </c>
      <c r="BH48" s="3">
        <f t="shared" si="72"/>
        <v>17506.917292895698</v>
      </c>
      <c r="BI48" s="3">
        <f t="shared" si="73"/>
        <v>19342.589355494536</v>
      </c>
      <c r="BJ48" s="222">
        <v>18771.466842070102</v>
      </c>
      <c r="BK48" s="71">
        <f t="shared" si="74"/>
        <v>0.99937444249989127</v>
      </c>
      <c r="BL48" s="72">
        <f t="shared" si="75"/>
        <v>31.861099236262483</v>
      </c>
      <c r="BM48" s="88">
        <f t="shared" si="36"/>
        <v>1.911665954175749</v>
      </c>
      <c r="BN48" s="227">
        <v>1.8552207986430109</v>
      </c>
      <c r="BO48" s="234"/>
      <c r="BP48" s="243">
        <v>48</v>
      </c>
      <c r="BQ48" s="132" t="s">
        <v>82</v>
      </c>
      <c r="BR48" s="244">
        <f>AVERAGE(BC126:BC128)</f>
        <v>19.995818856074798</v>
      </c>
      <c r="BS48" s="244">
        <f>AVERAGE(BD126:BD128)</f>
        <v>92000.524098472437</v>
      </c>
      <c r="BT48" s="244">
        <f>STDEV(BD126:BD128)/SQRT(3)</f>
        <v>5380.7121545610707</v>
      </c>
      <c r="BU48" s="244">
        <f>AVERAGE(BJ126:BJ128)</f>
        <v>48782.597042361187</v>
      </c>
      <c r="BV48" s="244">
        <f>STDEV(BJ126:BJ128)/SQRT(3)</f>
        <v>7014.2477252341196</v>
      </c>
      <c r="BW48" s="244">
        <f>AVERAGE(BM126:BM128)</f>
        <v>6.8271170170317346</v>
      </c>
      <c r="BX48" s="244">
        <f>STDEV(BM126:BM128)/SQRT(3)</f>
        <v>0.15479660064949127</v>
      </c>
      <c r="BY48" s="245">
        <f>AVERAGE(BN126:BN128)</f>
        <v>3.5986445418793411</v>
      </c>
      <c r="BZ48" s="245">
        <f>STDEV(BN126:BN128)/SQRT(3)</f>
        <v>0.3871337249789103</v>
      </c>
      <c r="CA48">
        <v>8.7200000000000006</v>
      </c>
      <c r="CC48" s="274" t="s">
        <v>82</v>
      </c>
      <c r="CD48" s="270">
        <v>0</v>
      </c>
      <c r="CE48" s="230">
        <v>1.2698060078102686</v>
      </c>
      <c r="CF48">
        <v>1.2176412129883658</v>
      </c>
      <c r="CG48">
        <v>1.1537240168436929</v>
      </c>
      <c r="CH48">
        <v>0.60765313565449419</v>
      </c>
      <c r="CI48">
        <v>1.0481134927113009</v>
      </c>
      <c r="CJ48"/>
      <c r="CK48"/>
      <c r="CL48"/>
      <c r="CM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</row>
    <row r="49" spans="1:382">
      <c r="A49" s="3">
        <f>'Exptl Setup'!A87</f>
        <v>80</v>
      </c>
      <c r="B49" s="3" t="str">
        <f>'Exptl Setup'!C87</f>
        <v>b</v>
      </c>
      <c r="C49" s="3">
        <f>'Exptl Setup'!D87</f>
        <v>24</v>
      </c>
      <c r="D49" s="3" t="str">
        <f>'Exptl Setup'!E87</f>
        <v>-</v>
      </c>
      <c r="E49" s="75">
        <f>'Exptl Setup'!K87</f>
        <v>6.0001828940805995</v>
      </c>
      <c r="F49" s="63">
        <f>'Exptl Setup'!F87</f>
        <v>31.995999999999999</v>
      </c>
      <c r="G49" s="64">
        <f>'Exptl Setup'!$C$5</f>
        <v>1.2793390913194711</v>
      </c>
      <c r="H49" s="7">
        <f t="shared" si="76"/>
        <v>25.009788426773003</v>
      </c>
      <c r="I49" s="8">
        <f t="shared" si="77"/>
        <v>9.4376560101030211</v>
      </c>
      <c r="J49" s="8">
        <f t="shared" si="78"/>
        <v>6.9862115732269956</v>
      </c>
      <c r="K49" s="8">
        <f>'Exptl Setup'!H87+'Exptl Setup'!I87+'Exptl Setup'!J87+5</f>
        <v>23.003024686832859</v>
      </c>
      <c r="L49" s="8">
        <f t="shared" si="79"/>
        <v>29.989236260059855</v>
      </c>
      <c r="M49" s="44">
        <v>300</v>
      </c>
      <c r="N49" s="85">
        <f t="shared" si="80"/>
        <v>260.57310772983715</v>
      </c>
      <c r="O49" s="193">
        <f>10^(-'Pre-DEA characterisation'!V50)</f>
        <v>2.089296130854039E-7</v>
      </c>
      <c r="P49" s="66">
        <v>60</v>
      </c>
      <c r="Q49" s="30">
        <v>1928.537</v>
      </c>
      <c r="R49" s="86">
        <f t="shared" si="47"/>
        <v>1463.759583</v>
      </c>
      <c r="S49" s="86">
        <f t="shared" si="48"/>
        <v>4582.1266895488925</v>
      </c>
      <c r="T49" s="86">
        <f t="shared" si="49"/>
        <v>639.93935932838463</v>
      </c>
      <c r="U49" s="67">
        <f t="shared" si="50"/>
        <v>46813.021629939278</v>
      </c>
      <c r="V49" s="199">
        <f t="shared" si="13"/>
        <v>12767.187717256167</v>
      </c>
      <c r="W49" s="66">
        <v>120</v>
      </c>
      <c r="X49" s="30">
        <v>2218.721</v>
      </c>
      <c r="Y49" s="86">
        <f t="shared" si="51"/>
        <v>1684.009239</v>
      </c>
      <c r="Z49" s="86">
        <f t="shared" si="52"/>
        <v>5271.5922540052943</v>
      </c>
      <c r="AA49" s="86">
        <f t="shared" si="53"/>
        <v>736.23005172751823</v>
      </c>
      <c r="AB49" s="67">
        <f t="shared" si="54"/>
        <v>53856.905085979954</v>
      </c>
      <c r="AC49" s="199">
        <f t="shared" si="38"/>
        <v>14688.246841630897</v>
      </c>
      <c r="AD49" s="66">
        <v>180</v>
      </c>
      <c r="AE49" s="30">
        <v>2509.6570000000002</v>
      </c>
      <c r="AF49" s="86">
        <f t="shared" si="55"/>
        <v>1904.8296630000002</v>
      </c>
      <c r="AG49" s="86">
        <f t="shared" si="56"/>
        <v>5962.8445403501237</v>
      </c>
      <c r="AH49" s="86">
        <f t="shared" si="57"/>
        <v>832.7702775285079</v>
      </c>
      <c r="AI49" s="67">
        <f t="shared" si="58"/>
        <v>60919.042478691641</v>
      </c>
      <c r="AJ49" s="199">
        <f t="shared" si="39"/>
        <v>16614.284312370448</v>
      </c>
      <c r="AK49" s="3">
        <v>240</v>
      </c>
      <c r="AL49" s="30">
        <v>2802.8519999999999</v>
      </c>
      <c r="AM49" s="86">
        <f t="shared" si="59"/>
        <v>2127.3646679999997</v>
      </c>
      <c r="AN49" s="86">
        <f t="shared" si="60"/>
        <v>6659.4641202401044</v>
      </c>
      <c r="AO49" s="86">
        <f t="shared" si="61"/>
        <v>930.06009901406162</v>
      </c>
      <c r="AP49" s="67">
        <f t="shared" si="62"/>
        <v>68036.014502972233</v>
      </c>
      <c r="AQ49" s="199">
        <f t="shared" si="40"/>
        <v>18555.276682628788</v>
      </c>
      <c r="AR49" s="199">
        <f>(((AL49*$N49*10^-3)*$E$3*$E$4)/($E$5*$E$6*$H49))*1000*(12/44)+'post-DEA dissolved CO2'!N47</f>
        <v>20871.503074711723</v>
      </c>
      <c r="AS49" s="87">
        <f t="shared" si="63"/>
        <v>12767.187717256167</v>
      </c>
      <c r="AT49" s="87">
        <f t="shared" si="64"/>
        <v>14688.246841630897</v>
      </c>
      <c r="AU49" s="87">
        <f t="shared" si="65"/>
        <v>16614.284312370448</v>
      </c>
      <c r="AV49" s="87">
        <f t="shared" si="66"/>
        <v>18555.276682628788</v>
      </c>
      <c r="AW49" s="71">
        <f t="shared" si="67"/>
        <v>0.99999439370449905</v>
      </c>
      <c r="AX49" s="72">
        <f t="shared" si="68"/>
        <v>32.150507278095688</v>
      </c>
      <c r="AY49" s="88">
        <f t="shared" si="69"/>
        <v>1.9290304366857414</v>
      </c>
      <c r="AZ49" s="88"/>
      <c r="BA49" s="3">
        <v>24</v>
      </c>
      <c r="BB49" s="3" t="s">
        <v>82</v>
      </c>
      <c r="BC49" s="111">
        <v>6.0001828940805995</v>
      </c>
      <c r="BD49" s="75">
        <f t="shared" si="28"/>
        <v>20871.503074711723</v>
      </c>
      <c r="BE49" s="160">
        <f t="shared" si="29"/>
        <v>0.8890244567537009</v>
      </c>
      <c r="BF49" s="3">
        <f t="shared" si="70"/>
        <v>14360.895946412915</v>
      </c>
      <c r="BG49" s="3">
        <f t="shared" si="71"/>
        <v>16521.757899963141</v>
      </c>
      <c r="BH49" s="3">
        <f t="shared" si="72"/>
        <v>18688.219639128936</v>
      </c>
      <c r="BI49" s="3">
        <f t="shared" si="73"/>
        <v>20871.503074711723</v>
      </c>
      <c r="BJ49" s="222">
        <v>18555.276682628788</v>
      </c>
      <c r="BK49" s="71">
        <f t="shared" si="74"/>
        <v>0.99999439370449861</v>
      </c>
      <c r="BL49" s="72">
        <f t="shared" si="75"/>
        <v>36.16380520677037</v>
      </c>
      <c r="BM49" s="88">
        <f t="shared" si="36"/>
        <v>2.1698283124062221</v>
      </c>
      <c r="BN49" s="227">
        <v>1.9290304366857414</v>
      </c>
      <c r="BO49" s="234"/>
      <c r="BR49" s="231"/>
      <c r="BS49" s="231"/>
      <c r="BT49" s="231"/>
      <c r="BU49" s="231"/>
      <c r="BV49" s="231"/>
      <c r="BW49" s="231"/>
      <c r="BX49" s="231"/>
      <c r="BY49" s="231"/>
      <c r="BZ49" s="231"/>
      <c r="CD49" s="230">
        <v>6</v>
      </c>
      <c r="CE49" s="230">
        <v>2.6762699456657608</v>
      </c>
      <c r="CF49">
        <v>2.1754686153130325</v>
      </c>
      <c r="CG49">
        <v>2.4436416676953487</v>
      </c>
      <c r="CH49">
        <v>1.8740266605728639</v>
      </c>
      <c r="CI49">
        <v>1.7389539281330713</v>
      </c>
      <c r="CJ49"/>
      <c r="CK49"/>
      <c r="CL49"/>
      <c r="CM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</row>
    <row r="50" spans="1:382">
      <c r="A50" s="3">
        <f>'Exptl Setup'!A88</f>
        <v>81</v>
      </c>
      <c r="B50" s="3" t="str">
        <f>'Exptl Setup'!C88</f>
        <v>c</v>
      </c>
      <c r="C50" s="3">
        <f>'Exptl Setup'!D88</f>
        <v>24</v>
      </c>
      <c r="D50" s="3" t="str">
        <f>'Exptl Setup'!E88</f>
        <v>-</v>
      </c>
      <c r="E50" s="75">
        <f>'Exptl Setup'!K88</f>
        <v>5.997558634145669</v>
      </c>
      <c r="F50" s="63">
        <f>'Exptl Setup'!F88</f>
        <v>32.01</v>
      </c>
      <c r="G50" s="64">
        <f>'Exptl Setup'!$C$5</f>
        <v>1.2793390913194711</v>
      </c>
      <c r="H50" s="7">
        <f t="shared" si="76"/>
        <v>25.020731577103508</v>
      </c>
      <c r="I50" s="8">
        <f t="shared" si="77"/>
        <v>9.4417855007937774</v>
      </c>
      <c r="J50" s="8">
        <f t="shared" si="78"/>
        <v>6.9892684228964903</v>
      </c>
      <c r="K50" s="8">
        <f>'Exptl Setup'!H88+'Exptl Setup'!I88+'Exptl Setup'!J88+5</f>
        <v>23.003024686832859</v>
      </c>
      <c r="L50" s="8">
        <f t="shared" si="79"/>
        <v>29.992293109729349</v>
      </c>
      <c r="M50" s="44">
        <v>300</v>
      </c>
      <c r="N50" s="85">
        <f t="shared" si="80"/>
        <v>260.5659213894769</v>
      </c>
      <c r="O50" s="193">
        <f>10^(-'Pre-DEA characterisation'!V51)</f>
        <v>2.089296130854039E-7</v>
      </c>
      <c r="P50" s="66">
        <v>60</v>
      </c>
      <c r="Q50" s="30">
        <v>1827.6690000000001</v>
      </c>
      <c r="R50" s="86">
        <f t="shared" si="47"/>
        <v>1387.200771</v>
      </c>
      <c r="S50" s="86">
        <f t="shared" si="48"/>
        <v>4342.4683605039127</v>
      </c>
      <c r="T50" s="86">
        <f t="shared" si="49"/>
        <v>606.46884086794307</v>
      </c>
      <c r="U50" s="67">
        <f t="shared" si="50"/>
        <v>44345.173534865578</v>
      </c>
      <c r="V50" s="199">
        <f t="shared" si="13"/>
        <v>12094.138236781522</v>
      </c>
      <c r="W50" s="66">
        <v>120</v>
      </c>
      <c r="X50" s="30">
        <v>2265.768</v>
      </c>
      <c r="Y50" s="86">
        <f t="shared" si="51"/>
        <v>1719.7179120000001</v>
      </c>
      <c r="Z50" s="86">
        <f t="shared" si="52"/>
        <v>5383.3740421499897</v>
      </c>
      <c r="AA50" s="86">
        <f t="shared" si="53"/>
        <v>751.84165876626321</v>
      </c>
      <c r="AB50" s="67">
        <f t="shared" si="54"/>
        <v>54974.875182401898</v>
      </c>
      <c r="AC50" s="199">
        <f t="shared" si="38"/>
        <v>14993.147777018698</v>
      </c>
      <c r="AD50" s="66">
        <v>180</v>
      </c>
      <c r="AE50" s="30">
        <v>2554.0700000000002</v>
      </c>
      <c r="AF50" s="86">
        <f t="shared" si="55"/>
        <v>1938.5391300000001</v>
      </c>
      <c r="AG50" s="86">
        <f t="shared" si="56"/>
        <v>6068.3680499654092</v>
      </c>
      <c r="AH50" s="86">
        <f t="shared" si="57"/>
        <v>847.50787609550059</v>
      </c>
      <c r="AI50" s="67">
        <f t="shared" si="58"/>
        <v>61970.016108055745</v>
      </c>
      <c r="AJ50" s="199">
        <f t="shared" si="39"/>
        <v>16900.913484015204</v>
      </c>
      <c r="AK50" s="3">
        <v>240</v>
      </c>
      <c r="AL50" s="30">
        <v>2825.4349999999999</v>
      </c>
      <c r="AM50" s="86">
        <f t="shared" si="59"/>
        <v>2144.505165</v>
      </c>
      <c r="AN50" s="86">
        <f t="shared" si="60"/>
        <v>6713.1204239719409</v>
      </c>
      <c r="AO50" s="86">
        <f t="shared" si="61"/>
        <v>937.55394953775374</v>
      </c>
      <c r="AP50" s="67">
        <f t="shared" si="62"/>
        <v>68554.210519783912</v>
      </c>
      <c r="AQ50" s="199">
        <f t="shared" si="40"/>
        <v>18696.602869031976</v>
      </c>
      <c r="AR50" s="199">
        <f>(((AL50*$N50*10^-3)*$E$3*$E$4)/($E$5*$E$6*$H50))*1000*(12/44)+'post-DEA dissolved CO2'!N48</f>
        <v>21050.520320029551</v>
      </c>
      <c r="AS50" s="87">
        <f t="shared" si="63"/>
        <v>12094.138236781522</v>
      </c>
      <c r="AT50" s="87">
        <f t="shared" si="64"/>
        <v>14993.147777018698</v>
      </c>
      <c r="AU50" s="87">
        <f t="shared" si="65"/>
        <v>16900.913484015204</v>
      </c>
      <c r="AV50" s="87">
        <f t="shared" si="66"/>
        <v>18696.602869031976</v>
      </c>
      <c r="AW50" s="71">
        <f t="shared" si="67"/>
        <v>0.98566178432624807</v>
      </c>
      <c r="AX50" s="72">
        <f t="shared" si="68"/>
        <v>36.191932672913111</v>
      </c>
      <c r="AY50" s="88">
        <f t="shared" si="69"/>
        <v>2.1715159603747867</v>
      </c>
      <c r="AZ50" s="88"/>
      <c r="BA50" s="3">
        <v>24</v>
      </c>
      <c r="BB50" s="3" t="s">
        <v>82</v>
      </c>
      <c r="BC50" s="111">
        <v>5.997558634145669</v>
      </c>
      <c r="BD50" s="75">
        <f t="shared" si="28"/>
        <v>21050.520320029551</v>
      </c>
      <c r="BE50" s="160">
        <f t="shared" si="29"/>
        <v>0.88817770700148324</v>
      </c>
      <c r="BF50" s="3">
        <f t="shared" si="70"/>
        <v>13616.800040626695</v>
      </c>
      <c r="BG50" s="3">
        <f t="shared" si="71"/>
        <v>16880.797231036177</v>
      </c>
      <c r="BH50" s="3">
        <f t="shared" si="72"/>
        <v>19028.752186398862</v>
      </c>
      <c r="BI50" s="3">
        <f t="shared" si="73"/>
        <v>21050.520320029551</v>
      </c>
      <c r="BJ50" s="222">
        <v>18696.602869031976</v>
      </c>
      <c r="BK50" s="71">
        <f t="shared" si="74"/>
        <v>0.98566178432624851</v>
      </c>
      <c r="BL50" s="72">
        <f t="shared" si="75"/>
        <v>40.748526322618758</v>
      </c>
      <c r="BM50" s="88">
        <f t="shared" si="36"/>
        <v>2.4449115793571257</v>
      </c>
      <c r="BN50" s="227">
        <v>2.1715159603747867</v>
      </c>
      <c r="BO50" s="234"/>
      <c r="BR50" s="231"/>
      <c r="BS50" s="231"/>
      <c r="BT50" s="231"/>
      <c r="BU50" s="231"/>
      <c r="BV50" s="231"/>
      <c r="BW50" s="231"/>
      <c r="BX50" s="231"/>
      <c r="BY50" s="231"/>
      <c r="BZ50" s="231"/>
      <c r="CD50">
        <v>16</v>
      </c>
      <c r="CE50">
        <v>6.0145038946412654</v>
      </c>
      <c r="CF50">
        <v>2.735267572410192</v>
      </c>
      <c r="CG50">
        <v>2.8838443997471743</v>
      </c>
      <c r="CH50">
        <v>5.0128724365613699</v>
      </c>
      <c r="CI50">
        <v>6.1486294361128158</v>
      </c>
      <c r="CJ50"/>
      <c r="CK50"/>
      <c r="CL50"/>
      <c r="CM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</row>
    <row r="51" spans="1:382">
      <c r="A51" s="3">
        <f>'Exptl Setup'!A92</f>
        <v>85</v>
      </c>
      <c r="B51" s="3" t="str">
        <f>'Exptl Setup'!C92</f>
        <v>a</v>
      </c>
      <c r="C51" s="3">
        <f>'Exptl Setup'!D92</f>
        <v>24</v>
      </c>
      <c r="D51" s="3" t="str">
        <f>'Exptl Setup'!E92</f>
        <v>-</v>
      </c>
      <c r="E51" s="75">
        <f>'Exptl Setup'!K92</f>
        <v>16.000487717548268</v>
      </c>
      <c r="F51" s="63">
        <f>'Exptl Setup'!F92</f>
        <v>31.995999999999999</v>
      </c>
      <c r="G51" s="64">
        <f>'Exptl Setup'!$C$5</f>
        <v>1.2793390913194711</v>
      </c>
      <c r="H51" s="7">
        <f t="shared" si="76"/>
        <v>25.009788426773003</v>
      </c>
      <c r="I51" s="8">
        <f t="shared" si="77"/>
        <v>9.4376560101030211</v>
      </c>
      <c r="J51" s="8">
        <f t="shared" si="78"/>
        <v>6.9862115732269956</v>
      </c>
      <c r="K51" s="8">
        <f>'Exptl Setup'!H92+'Exptl Setup'!I92+'Exptl Setup'!J92+5</f>
        <v>23.003024686832862</v>
      </c>
      <c r="L51" s="8">
        <f t="shared" si="79"/>
        <v>29.989236260059858</v>
      </c>
      <c r="M51" s="44">
        <v>300</v>
      </c>
      <c r="N51" s="85">
        <f t="shared" si="80"/>
        <v>260.57310772983715</v>
      </c>
      <c r="O51" s="193">
        <f>10^(-'Pre-DEA characterisation'!V52)</f>
        <v>5.8884365535558713E-9</v>
      </c>
      <c r="P51" s="66">
        <v>60</v>
      </c>
      <c r="Q51" s="30">
        <v>445.62599999999998</v>
      </c>
      <c r="R51" s="86">
        <f t="shared" si="47"/>
        <v>338.23013399999996</v>
      </c>
      <c r="S51" s="86">
        <f t="shared" si="48"/>
        <v>26102.489268118708</v>
      </c>
      <c r="T51" s="86">
        <f t="shared" si="49"/>
        <v>898.91186934250527</v>
      </c>
      <c r="U51" s="67">
        <f t="shared" si="50"/>
        <v>65757.450560789963</v>
      </c>
      <c r="V51" s="199">
        <f t="shared" si="13"/>
        <v>17933.850152942716</v>
      </c>
      <c r="W51" s="66">
        <v>120</v>
      </c>
      <c r="X51" s="30">
        <v>544.98900000000003</v>
      </c>
      <c r="Y51" s="86">
        <f t="shared" si="51"/>
        <v>413.64665100000002</v>
      </c>
      <c r="Z51" s="86">
        <f t="shared" si="52"/>
        <v>31922.665023456328</v>
      </c>
      <c r="AA51" s="86">
        <f t="shared" si="53"/>
        <v>1099.3458208477573</v>
      </c>
      <c r="AB51" s="67">
        <f t="shared" si="54"/>
        <v>80419.650612115016</v>
      </c>
      <c r="AC51" s="199">
        <f t="shared" si="38"/>
        <v>21932.631985122276</v>
      </c>
      <c r="AD51" s="66">
        <v>180</v>
      </c>
      <c r="AE51" s="30">
        <v>12.42</v>
      </c>
      <c r="AF51" s="86">
        <f t="shared" si="55"/>
        <v>9.4267800000000008</v>
      </c>
      <c r="AG51" s="86">
        <f t="shared" si="56"/>
        <v>727.50000383737586</v>
      </c>
      <c r="AH51" s="86">
        <f t="shared" si="57"/>
        <v>25.053487492278098</v>
      </c>
      <c r="AI51" s="67">
        <f t="shared" si="58"/>
        <v>1832.7196706767818</v>
      </c>
      <c r="AJ51" s="199">
        <f t="shared" si="39"/>
        <v>499.83263745730414</v>
      </c>
      <c r="AK51" s="3">
        <v>240</v>
      </c>
      <c r="AL51" s="30">
        <v>691.02099999999996</v>
      </c>
      <c r="AM51" s="86">
        <f t="shared" si="59"/>
        <v>524.48493899999994</v>
      </c>
      <c r="AN51" s="86">
        <f t="shared" si="60"/>
        <v>40476.471831860479</v>
      </c>
      <c r="AO51" s="86">
        <f t="shared" si="61"/>
        <v>1393.9199662159015</v>
      </c>
      <c r="AP51" s="67">
        <f t="shared" si="62"/>
        <v>101968.42025368277</v>
      </c>
      <c r="AQ51" s="199">
        <f t="shared" si="40"/>
        <v>27809.5691600953</v>
      </c>
      <c r="AR51" s="199">
        <f>(((AL51*$N51*10^-3)*$E$3*$E$4)/($E$5*$E$6*$H51))*1000*(12/44)+'post-DEA dissolved CO2'!N49</f>
        <v>33927.709869866616</v>
      </c>
      <c r="AS51" s="87">
        <f t="shared" si="63"/>
        <v>17933.850152942716</v>
      </c>
      <c r="AT51" s="87">
        <f t="shared" si="64"/>
        <v>21932.631985122276</v>
      </c>
      <c r="AU51" s="87">
        <f t="shared" si="65"/>
        <v>499.83263745730414</v>
      </c>
      <c r="AV51" s="87">
        <f t="shared" si="66"/>
        <v>27809.5691600953</v>
      </c>
      <c r="AW51" s="71">
        <f t="shared" si="67"/>
        <v>8.1037776261289867E-3</v>
      </c>
      <c r="AX51" s="72">
        <f t="shared" si="68"/>
        <v>13.657262789654629</v>
      </c>
      <c r="AY51" s="88">
        <f t="shared" si="69"/>
        <v>0.81943576737927781</v>
      </c>
      <c r="AZ51" s="88"/>
      <c r="BA51" s="3">
        <v>24</v>
      </c>
      <c r="BB51" s="3" t="s">
        <v>82</v>
      </c>
      <c r="BC51" s="111">
        <v>16.000487717548268</v>
      </c>
      <c r="BD51" s="75">
        <f t="shared" si="28"/>
        <v>33927.709869866616</v>
      </c>
      <c r="BE51" s="160">
        <f t="shared" si="29"/>
        <v>0.81967127362152936</v>
      </c>
      <c r="BF51" s="3">
        <f t="shared" si="70"/>
        <v>21879.320076335134</v>
      </c>
      <c r="BG51" s="3">
        <f t="shared" si="71"/>
        <v>26757.839015411602</v>
      </c>
      <c r="BH51" s="3">
        <f t="shared" si="72"/>
        <v>609.7964556558245</v>
      </c>
      <c r="BI51" s="3">
        <f t="shared" si="73"/>
        <v>33927.709869866616</v>
      </c>
      <c r="BJ51" s="222">
        <v>27809.5691600953</v>
      </c>
      <c r="BK51" s="71">
        <f t="shared" si="74"/>
        <v>8.1037776261289867E-3</v>
      </c>
      <c r="BL51" s="72">
        <f t="shared" si="75"/>
        <v>16.661878034731107</v>
      </c>
      <c r="BM51" s="88">
        <f t="shared" si="36"/>
        <v>0.99971268208386643</v>
      </c>
      <c r="BN51" s="227">
        <v>0.81943576737927781</v>
      </c>
      <c r="BO51" s="234"/>
      <c r="CC51"/>
      <c r="CD51">
        <v>20</v>
      </c>
      <c r="CE51">
        <v>-0.32135871583613701</v>
      </c>
      <c r="CF51">
        <v>-0.86417845761617462</v>
      </c>
      <c r="CG51">
        <v>0.34982910970040271</v>
      </c>
      <c r="CH51">
        <v>-3.0283628995040552</v>
      </c>
      <c r="CI51">
        <v>6.8271170170317346</v>
      </c>
      <c r="CJ51"/>
      <c r="CK51"/>
      <c r="CL51"/>
      <c r="CM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</row>
    <row r="52" spans="1:382">
      <c r="A52" s="3">
        <f>'Exptl Setup'!A93</f>
        <v>86</v>
      </c>
      <c r="B52" s="3" t="str">
        <f>'Exptl Setup'!C93</f>
        <v>b</v>
      </c>
      <c r="C52" s="3">
        <f>'Exptl Setup'!D93</f>
        <v>24</v>
      </c>
      <c r="D52" s="3" t="str">
        <f>'Exptl Setup'!E93</f>
        <v>-</v>
      </c>
      <c r="E52" s="75">
        <f>'Exptl Setup'!K93</f>
        <v>15.999987655426267</v>
      </c>
      <c r="F52" s="63">
        <f>'Exptl Setup'!F93</f>
        <v>31.997</v>
      </c>
      <c r="G52" s="64">
        <f>'Exptl Setup'!$C$5</f>
        <v>1.2793390913194711</v>
      </c>
      <c r="H52" s="7">
        <f t="shared" si="76"/>
        <v>25.010570080368041</v>
      </c>
      <c r="I52" s="8">
        <f t="shared" si="77"/>
        <v>9.4379509737237886</v>
      </c>
      <c r="J52" s="8">
        <f t="shared" si="78"/>
        <v>6.9864299196319593</v>
      </c>
      <c r="K52" s="8">
        <f>'Exptl Setup'!H93+'Exptl Setup'!I93+'Exptl Setup'!J93+5</f>
        <v>23.003024686832862</v>
      </c>
      <c r="L52" s="8">
        <f t="shared" si="79"/>
        <v>29.989454606464822</v>
      </c>
      <c r="M52" s="44">
        <v>300</v>
      </c>
      <c r="N52" s="85">
        <f t="shared" si="80"/>
        <v>260.57259441981137</v>
      </c>
      <c r="O52" s="193">
        <f>10^(-'Pre-DEA characterisation'!V53)</f>
        <v>5.8884365535558713E-9</v>
      </c>
      <c r="P52" s="66">
        <v>60</v>
      </c>
      <c r="Q52" s="30">
        <v>455.03500000000003</v>
      </c>
      <c r="R52" s="86">
        <f t="shared" si="47"/>
        <v>345.37156500000003</v>
      </c>
      <c r="S52" s="86">
        <f t="shared" si="48"/>
        <v>26653.620309673133</v>
      </c>
      <c r="T52" s="86">
        <f t="shared" si="49"/>
        <v>917.89718687671018</v>
      </c>
      <c r="U52" s="67">
        <f t="shared" si="50"/>
        <v>67144.171260795396</v>
      </c>
      <c r="V52" s="199">
        <f t="shared" si="13"/>
        <v>18312.046707489655</v>
      </c>
      <c r="W52" s="66">
        <v>120</v>
      </c>
      <c r="X52" s="30">
        <v>500.577</v>
      </c>
      <c r="Y52" s="86">
        <f t="shared" si="51"/>
        <v>379.93794300000002</v>
      </c>
      <c r="Z52" s="86">
        <f t="shared" si="52"/>
        <v>29321.237473502581</v>
      </c>
      <c r="AA52" s="86">
        <f t="shared" si="53"/>
        <v>1009.7645678138668</v>
      </c>
      <c r="AB52" s="67">
        <f t="shared" si="54"/>
        <v>73864.269379751393</v>
      </c>
      <c r="AC52" s="199">
        <f t="shared" si="38"/>
        <v>20144.800739932198</v>
      </c>
      <c r="AD52" s="66">
        <v>180</v>
      </c>
      <c r="AE52" s="30">
        <v>579.61500000000001</v>
      </c>
      <c r="AF52" s="86">
        <f t="shared" si="55"/>
        <v>439.92778500000003</v>
      </c>
      <c r="AG52" s="86">
        <f t="shared" si="56"/>
        <v>33950.878802270578</v>
      </c>
      <c r="AH52" s="86">
        <f t="shared" si="57"/>
        <v>1169.2001230049211</v>
      </c>
      <c r="AI52" s="67">
        <f t="shared" si="58"/>
        <v>85526.978859485345</v>
      </c>
      <c r="AJ52" s="199">
        <f t="shared" si="39"/>
        <v>23325.539688950546</v>
      </c>
      <c r="AK52" s="3">
        <v>240</v>
      </c>
      <c r="AL52" s="30">
        <v>646.23299999999995</v>
      </c>
      <c r="AM52" s="86">
        <f t="shared" si="59"/>
        <v>490.49084699999997</v>
      </c>
      <c r="AN52" s="86">
        <f t="shared" si="60"/>
        <v>37853.020127201191</v>
      </c>
      <c r="AO52" s="86">
        <f t="shared" si="61"/>
        <v>1303.5820382319973</v>
      </c>
      <c r="AP52" s="67">
        <f t="shared" si="62"/>
        <v>95357.014793098497</v>
      </c>
      <c r="AQ52" s="199">
        <f t="shared" si="40"/>
        <v>26006.458579935952</v>
      </c>
      <c r="AR52" s="199">
        <f>(((AL52*$N52*10^-3)*$E$3*$E$4)/($E$5*$E$6*$H52))*1000*(12/44)+'post-DEA dissolved CO2'!N50</f>
        <v>30918.68884150837</v>
      </c>
      <c r="AS52" s="87">
        <f t="shared" si="63"/>
        <v>18312.046707489655</v>
      </c>
      <c r="AT52" s="87">
        <f t="shared" si="64"/>
        <v>20144.800739932198</v>
      </c>
      <c r="AU52" s="87">
        <f t="shared" si="65"/>
        <v>23325.539688950546</v>
      </c>
      <c r="AV52" s="87">
        <f t="shared" si="66"/>
        <v>26006.458579935952</v>
      </c>
      <c r="AW52" s="71">
        <f t="shared" si="67"/>
        <v>0.98993796746348872</v>
      </c>
      <c r="AX52" s="72">
        <f t="shared" si="68"/>
        <v>43.773290943928735</v>
      </c>
      <c r="AY52" s="88">
        <f t="shared" si="69"/>
        <v>2.6263974566357242</v>
      </c>
      <c r="AZ52" s="88"/>
      <c r="BA52" s="3">
        <v>24</v>
      </c>
      <c r="BB52" s="3" t="s">
        <v>82</v>
      </c>
      <c r="BC52" s="111">
        <v>15.999987655426267</v>
      </c>
      <c r="BD52" s="75">
        <f t="shared" si="28"/>
        <v>30918.68884150837</v>
      </c>
      <c r="BE52" s="160">
        <f t="shared" si="29"/>
        <v>0.84112423761716104</v>
      </c>
      <c r="BF52" s="3">
        <f t="shared" si="70"/>
        <v>21770.917884100269</v>
      </c>
      <c r="BG52" s="3">
        <f t="shared" si="71"/>
        <v>23949.851685407186</v>
      </c>
      <c r="BH52" s="3">
        <f t="shared" si="72"/>
        <v>27731.384551502131</v>
      </c>
      <c r="BI52" s="3">
        <f t="shared" si="73"/>
        <v>30918.68884150837</v>
      </c>
      <c r="BJ52" s="222">
        <v>26006.458579935952</v>
      </c>
      <c r="BK52" s="71">
        <f t="shared" si="74"/>
        <v>0.9899379674634885</v>
      </c>
      <c r="BL52" s="72">
        <f t="shared" si="75"/>
        <v>52.041409563865415</v>
      </c>
      <c r="BM52" s="88">
        <f t="shared" si="36"/>
        <v>3.1224845738319251</v>
      </c>
      <c r="BN52" s="227">
        <v>2.6263974566357242</v>
      </c>
      <c r="BO52" s="234"/>
      <c r="CC52"/>
      <c r="CD52"/>
      <c r="CE52"/>
      <c r="CF52"/>
      <c r="CG52"/>
      <c r="CH52"/>
      <c r="CI52"/>
      <c r="CJ52"/>
      <c r="CK52"/>
      <c r="CL52"/>
      <c r="CM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</row>
    <row r="53" spans="1:382">
      <c r="A53" s="3">
        <f>'Exptl Setup'!A94</f>
        <v>87</v>
      </c>
      <c r="B53" s="3" t="str">
        <f>'Exptl Setup'!C94</f>
        <v>c</v>
      </c>
      <c r="C53" s="3">
        <f>'Exptl Setup'!D94</f>
        <v>24</v>
      </c>
      <c r="D53" s="3" t="str">
        <f>'Exptl Setup'!E94</f>
        <v>-</v>
      </c>
      <c r="E53" s="75">
        <f>'Exptl Setup'!K94</f>
        <v>15.998987624946851</v>
      </c>
      <c r="F53" s="63">
        <f>'Exptl Setup'!F94</f>
        <v>31.998999999999999</v>
      </c>
      <c r="G53" s="64">
        <f>'Exptl Setup'!$C$5</f>
        <v>1.2793390913194711</v>
      </c>
      <c r="H53" s="7">
        <f t="shared" si="76"/>
        <v>25.012133387558112</v>
      </c>
      <c r="I53" s="8">
        <f t="shared" si="77"/>
        <v>9.4385409009653252</v>
      </c>
      <c r="J53" s="8">
        <f t="shared" si="78"/>
        <v>6.9868666124418866</v>
      </c>
      <c r="K53" s="8">
        <f>'Exptl Setup'!H94+'Exptl Setup'!I94+'Exptl Setup'!J94+5</f>
        <v>23.003024686832862</v>
      </c>
      <c r="L53" s="8">
        <f t="shared" si="79"/>
        <v>29.989891299274749</v>
      </c>
      <c r="M53" s="44">
        <v>300</v>
      </c>
      <c r="N53" s="85">
        <f t="shared" si="80"/>
        <v>260.57156779975992</v>
      </c>
      <c r="O53" s="193">
        <f>10^(-'Pre-DEA characterisation'!V54)</f>
        <v>5.8884365535558713E-9</v>
      </c>
      <c r="P53" s="66">
        <v>60</v>
      </c>
      <c r="Q53" s="30">
        <v>459.55200000000002</v>
      </c>
      <c r="R53" s="86">
        <f t="shared" si="47"/>
        <v>348.79996800000004</v>
      </c>
      <c r="S53" s="86">
        <f t="shared" si="48"/>
        <v>26918.203040537337</v>
      </c>
      <c r="T53" s="86">
        <f t="shared" si="49"/>
        <v>927.02016828303704</v>
      </c>
      <c r="U53" s="67">
        <f t="shared" si="50"/>
        <v>67807.278919283359</v>
      </c>
      <c r="V53" s="199">
        <f t="shared" si="13"/>
        <v>18492.894250713642</v>
      </c>
      <c r="W53" s="66">
        <v>120</v>
      </c>
      <c r="X53" s="30">
        <v>541.601</v>
      </c>
      <c r="Y53" s="86">
        <f t="shared" si="51"/>
        <v>411.07515899999999</v>
      </c>
      <c r="Z53" s="86">
        <f t="shared" si="52"/>
        <v>31724.213331588286</v>
      </c>
      <c r="AA53" s="86">
        <f t="shared" si="53"/>
        <v>1092.5315310612534</v>
      </c>
      <c r="AB53" s="67">
        <f t="shared" si="54"/>
        <v>79913.676950514404</v>
      </c>
      <c r="AC53" s="199">
        <f t="shared" si="38"/>
        <v>21794.639168322112</v>
      </c>
      <c r="AD53" s="66">
        <v>180</v>
      </c>
      <c r="AE53" s="30">
        <v>628.91999999999996</v>
      </c>
      <c r="AF53" s="86">
        <f t="shared" si="55"/>
        <v>477.35028</v>
      </c>
      <c r="AG53" s="86">
        <f t="shared" si="56"/>
        <v>36838.91323779407</v>
      </c>
      <c r="AH53" s="86">
        <f t="shared" si="57"/>
        <v>1268.6736740054828</v>
      </c>
      <c r="AI53" s="67">
        <f t="shared" si="58"/>
        <v>92797.667854596846</v>
      </c>
      <c r="AJ53" s="199">
        <f t="shared" si="39"/>
        <v>25308.454869435503</v>
      </c>
      <c r="AK53" s="3">
        <v>240</v>
      </c>
      <c r="AL53" s="30">
        <v>683.87</v>
      </c>
      <c r="AM53" s="86">
        <f t="shared" si="59"/>
        <v>519.05732999999998</v>
      </c>
      <c r="AN53" s="86">
        <f t="shared" si="60"/>
        <v>40057.602868298403</v>
      </c>
      <c r="AO53" s="86">
        <f t="shared" si="61"/>
        <v>1379.5202338010074</v>
      </c>
      <c r="AP53" s="67">
        <f t="shared" si="62"/>
        <v>100905.58595007815</v>
      </c>
      <c r="AQ53" s="199">
        <f t="shared" si="40"/>
        <v>27519.705259112223</v>
      </c>
      <c r="AR53" s="199">
        <f>(((AL53*$N53*10^-3)*$E$3*$E$4)/($E$5*$E$6*$H53))*1000*(12/44)+'post-DEA dissolved CO2'!N51</f>
        <v>36732.269419397264</v>
      </c>
      <c r="AS53" s="87">
        <f t="shared" si="63"/>
        <v>18492.894250713642</v>
      </c>
      <c r="AT53" s="87">
        <f t="shared" si="64"/>
        <v>21794.639168322112</v>
      </c>
      <c r="AU53" s="87">
        <f t="shared" si="65"/>
        <v>25308.454869435503</v>
      </c>
      <c r="AV53" s="87">
        <f t="shared" si="66"/>
        <v>27519.705259112223</v>
      </c>
      <c r="AW53" s="71">
        <f t="shared" si="67"/>
        <v>0.99127346473232814</v>
      </c>
      <c r="AX53" s="72">
        <f t="shared" si="68"/>
        <v>50.990414543848566</v>
      </c>
      <c r="AY53" s="88">
        <f t="shared" si="69"/>
        <v>3.0594248726309137</v>
      </c>
      <c r="AZ53" s="88"/>
      <c r="BA53" s="3">
        <v>24</v>
      </c>
      <c r="BB53" s="3" t="s">
        <v>82</v>
      </c>
      <c r="BC53" s="111">
        <v>15.998987624946851</v>
      </c>
      <c r="BD53" s="75">
        <f t="shared" si="28"/>
        <v>36732.269419397264</v>
      </c>
      <c r="BE53" s="160">
        <f t="shared" si="29"/>
        <v>0.74919697840884969</v>
      </c>
      <c r="BF53" s="3">
        <f t="shared" si="70"/>
        <v>24683.620975072528</v>
      </c>
      <c r="BG53" s="3">
        <f t="shared" si="71"/>
        <v>29090.666135106061</v>
      </c>
      <c r="BH53" s="3">
        <f t="shared" si="72"/>
        <v>33780.775415279699</v>
      </c>
      <c r="BI53" s="3">
        <f t="shared" si="73"/>
        <v>36732.269419397264</v>
      </c>
      <c r="BJ53" s="222">
        <v>27519.705259112223</v>
      </c>
      <c r="BK53" s="71">
        <f t="shared" si="74"/>
        <v>0.99127346473232836</v>
      </c>
      <c r="BL53" s="72">
        <f t="shared" si="75"/>
        <v>68.060091021913081</v>
      </c>
      <c r="BM53" s="88">
        <f t="shared" si="36"/>
        <v>4.083605461314785</v>
      </c>
      <c r="BN53" s="227">
        <v>3.0594248726309137</v>
      </c>
      <c r="BO53" s="234"/>
      <c r="CC53"/>
      <c r="CD53"/>
      <c r="CE53" s="3" t="s">
        <v>26</v>
      </c>
      <c r="CF53"/>
      <c r="CG53"/>
      <c r="CH53"/>
      <c r="CI53"/>
      <c r="CJ53"/>
      <c r="CK53"/>
      <c r="CL53"/>
      <c r="CM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</row>
    <row r="54" spans="1:382">
      <c r="A54" s="3">
        <f>'Exptl Setup'!A98</f>
        <v>91</v>
      </c>
      <c r="B54" s="3" t="str">
        <f>'Exptl Setup'!C98</f>
        <v>a</v>
      </c>
      <c r="C54" s="3">
        <f>'Exptl Setup'!D98</f>
        <v>24</v>
      </c>
      <c r="D54" s="3" t="str">
        <f>'Exptl Setup'!E98</f>
        <v>-</v>
      </c>
      <c r="E54" s="75">
        <f>'Exptl Setup'!K98</f>
        <v>20.001859919464366</v>
      </c>
      <c r="F54" s="63">
        <f>'Exptl Setup'!F98</f>
        <v>31.994</v>
      </c>
      <c r="G54" s="64">
        <f>'Exptl Setup'!$C$5</f>
        <v>1.2793390913194711</v>
      </c>
      <c r="H54" s="7">
        <f t="shared" si="76"/>
        <v>25.008225119582931</v>
      </c>
      <c r="I54" s="8">
        <f t="shared" si="77"/>
        <v>9.4370660828614845</v>
      </c>
      <c r="J54" s="8">
        <f t="shared" si="78"/>
        <v>6.9857748804170683</v>
      </c>
      <c r="K54" s="8">
        <f>'Exptl Setup'!H98+'Exptl Setup'!I98+'Exptl Setup'!J98+5</f>
        <v>23.003024686832859</v>
      </c>
      <c r="L54" s="8">
        <f t="shared" si="79"/>
        <v>29.988799567249927</v>
      </c>
      <c r="M54" s="44">
        <v>300</v>
      </c>
      <c r="N54" s="85">
        <f t="shared" si="80"/>
        <v>260.5741343498886</v>
      </c>
      <c r="O54" s="193">
        <f>10^(-'Pre-DEA characterisation'!V55)</f>
        <v>1.6032453906900396E-9</v>
      </c>
      <c r="P54" s="66">
        <v>60</v>
      </c>
      <c r="Q54" s="30">
        <v>114.041</v>
      </c>
      <c r="R54" s="86">
        <f t="shared" si="47"/>
        <v>86.557119</v>
      </c>
      <c r="S54" s="86">
        <f t="shared" si="48"/>
        <v>24814.330638746702</v>
      </c>
      <c r="T54" s="86">
        <f t="shared" si="49"/>
        <v>773.86812277623937</v>
      </c>
      <c r="U54" s="67">
        <f t="shared" si="50"/>
        <v>56613.754507859012</v>
      </c>
      <c r="V54" s="199">
        <f t="shared" si="13"/>
        <v>15440.114865779731</v>
      </c>
      <c r="W54" s="66">
        <v>120</v>
      </c>
      <c r="X54" s="30">
        <v>83.179000000000002</v>
      </c>
      <c r="Y54" s="86">
        <f t="shared" si="51"/>
        <v>63.132861000000005</v>
      </c>
      <c r="Z54" s="86">
        <f t="shared" si="52"/>
        <v>18099.027614632563</v>
      </c>
      <c r="AA54" s="86">
        <f t="shared" si="53"/>
        <v>564.44240741842691</v>
      </c>
      <c r="AB54" s="67">
        <f t="shared" si="54"/>
        <v>41292.828773942761</v>
      </c>
      <c r="AC54" s="199">
        <f t="shared" si="38"/>
        <v>11261.680574711661</v>
      </c>
      <c r="AD54" s="66">
        <v>180</v>
      </c>
      <c r="AE54" s="30">
        <v>83.179000000000002</v>
      </c>
      <c r="AF54" s="86">
        <f t="shared" si="55"/>
        <v>63.132861000000005</v>
      </c>
      <c r="AG54" s="86">
        <f t="shared" si="56"/>
        <v>18099.027614632563</v>
      </c>
      <c r="AH54" s="86">
        <f t="shared" si="57"/>
        <v>564.44240741842691</v>
      </c>
      <c r="AI54" s="67">
        <f t="shared" si="58"/>
        <v>41292.828773942761</v>
      </c>
      <c r="AJ54" s="199">
        <f t="shared" si="39"/>
        <v>11261.680574711661</v>
      </c>
      <c r="AK54" s="3">
        <v>240</v>
      </c>
      <c r="AL54" s="30">
        <v>83.555000000000007</v>
      </c>
      <c r="AM54" s="86">
        <f t="shared" si="59"/>
        <v>63.418245000000006</v>
      </c>
      <c r="AN54" s="86">
        <f t="shared" si="60"/>
        <v>18180.841947374021</v>
      </c>
      <c r="AO54" s="86">
        <f t="shared" si="61"/>
        <v>566.99389691925433</v>
      </c>
      <c r="AP54" s="67">
        <f t="shared" si="62"/>
        <v>41479.48770971984</v>
      </c>
      <c r="AQ54" s="199">
        <f t="shared" si="40"/>
        <v>11312.587557196321</v>
      </c>
      <c r="AR54" s="199">
        <f>(((AL54*$N54*10^-3)*$E$3*$E$4)/($E$5*$E$6*$H54))*1000*(12/44)+'post-DEA dissolved CO2'!N52</f>
        <v>15214.716800055076</v>
      </c>
      <c r="AS54" s="87">
        <f t="shared" si="63"/>
        <v>15440.114865779731</v>
      </c>
      <c r="AT54" s="87">
        <f t="shared" si="64"/>
        <v>11261.680574711661</v>
      </c>
      <c r="AU54" s="87">
        <f t="shared" si="65"/>
        <v>11261.680574711661</v>
      </c>
      <c r="AV54" s="87">
        <f t="shared" si="66"/>
        <v>11312.587557196321</v>
      </c>
      <c r="AW54" s="71">
        <f t="shared" si="67"/>
        <v>0.59017504433728818</v>
      </c>
      <c r="AX54" s="72">
        <f t="shared" si="68"/>
        <v>-20.637636542917051</v>
      </c>
      <c r="AY54" s="88">
        <f t="shared" si="69"/>
        <v>-1.2382581925750231</v>
      </c>
      <c r="AZ54" s="88"/>
      <c r="BA54" s="3">
        <v>24</v>
      </c>
      <c r="BB54" s="3" t="s">
        <v>82</v>
      </c>
      <c r="BC54" s="111">
        <v>20.001859919464366</v>
      </c>
      <c r="BD54" s="75">
        <f t="shared" si="28"/>
        <v>15214.716800055076</v>
      </c>
      <c r="BE54" s="160">
        <f t="shared" si="29"/>
        <v>0.74352928850804312</v>
      </c>
      <c r="BF54" s="3">
        <f t="shared" si="70"/>
        <v>20765.980714440557</v>
      </c>
      <c r="BG54" s="3">
        <f t="shared" si="71"/>
        <v>15146.250119224238</v>
      </c>
      <c r="BH54" s="3">
        <f t="shared" si="72"/>
        <v>15146.250119224238</v>
      </c>
      <c r="BI54" s="3">
        <f t="shared" si="73"/>
        <v>15214.716800055076</v>
      </c>
      <c r="BJ54" s="222">
        <v>11312.587557196321</v>
      </c>
      <c r="BK54" s="71">
        <f t="shared" si="74"/>
        <v>0.59017504433728818</v>
      </c>
      <c r="BL54" s="72">
        <f t="shared" si="75"/>
        <v>-27.756319571927406</v>
      </c>
      <c r="BM54" s="88">
        <f t="shared" si="36"/>
        <v>-1.6653791743156443</v>
      </c>
      <c r="BN54" s="227">
        <v>-1.2382581925750231</v>
      </c>
      <c r="BO54" s="234"/>
      <c r="CC54"/>
      <c r="CD54" s="3" t="s">
        <v>22</v>
      </c>
      <c r="CE54" s="250">
        <v>16</v>
      </c>
      <c r="CF54" s="251">
        <v>24</v>
      </c>
      <c r="CG54" s="251">
        <v>32</v>
      </c>
      <c r="CH54" s="251">
        <v>40</v>
      </c>
      <c r="CI54" s="252">
        <v>48</v>
      </c>
      <c r="CJ54"/>
      <c r="CK54"/>
      <c r="CL54"/>
      <c r="CM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</row>
    <row r="55" spans="1:382">
      <c r="A55" s="3">
        <f>'Exptl Setup'!A99</f>
        <v>92</v>
      </c>
      <c r="B55" s="3" t="str">
        <f>'Exptl Setup'!C99</f>
        <v>b</v>
      </c>
      <c r="C55" s="3">
        <f>'Exptl Setup'!D99</f>
        <v>24</v>
      </c>
      <c r="D55" s="3" t="str">
        <f>'Exptl Setup'!E99</f>
        <v>-</v>
      </c>
      <c r="E55" s="75">
        <f>'Exptl Setup'!K99</f>
        <v>19.992486683849631</v>
      </c>
      <c r="F55" s="63">
        <f>'Exptl Setup'!F99</f>
        <v>32.009</v>
      </c>
      <c r="G55" s="64">
        <f>'Exptl Setup'!$C$5</f>
        <v>1.2793390913194711</v>
      </c>
      <c r="H55" s="7">
        <f t="shared" si="76"/>
        <v>25.019949923508474</v>
      </c>
      <c r="I55" s="8">
        <f t="shared" si="77"/>
        <v>9.44149053717301</v>
      </c>
      <c r="J55" s="8">
        <f t="shared" si="78"/>
        <v>6.9890500764915267</v>
      </c>
      <c r="K55" s="8">
        <f>'Exptl Setup'!H99+'Exptl Setup'!I99+'Exptl Setup'!J99+5</f>
        <v>23.003024686832859</v>
      </c>
      <c r="L55" s="8">
        <f t="shared" si="79"/>
        <v>29.992074763324386</v>
      </c>
      <c r="M55" s="44">
        <v>300</v>
      </c>
      <c r="N55" s="85">
        <f t="shared" si="80"/>
        <v>260.56643469950262</v>
      </c>
      <c r="O55" s="193">
        <f>10^(-'Pre-DEA characterisation'!V56)</f>
        <v>1.6032453906900396E-9</v>
      </c>
      <c r="P55" s="66">
        <v>60</v>
      </c>
      <c r="Q55" s="30">
        <v>80.168000000000006</v>
      </c>
      <c r="R55" s="86">
        <f t="shared" si="47"/>
        <v>60.847512000000009</v>
      </c>
      <c r="S55" s="86">
        <f t="shared" si="48"/>
        <v>17443.860178769442</v>
      </c>
      <c r="T55" s="86">
        <f t="shared" si="49"/>
        <v>544.06664857961994</v>
      </c>
      <c r="U55" s="67">
        <f t="shared" si="50"/>
        <v>39783.550395738719</v>
      </c>
      <c r="V55" s="199">
        <f t="shared" si="13"/>
        <v>10850.059198837833</v>
      </c>
      <c r="W55" s="66">
        <v>120</v>
      </c>
      <c r="X55" s="30">
        <v>101.621</v>
      </c>
      <c r="Y55" s="86">
        <f t="shared" si="51"/>
        <v>77.130338999999992</v>
      </c>
      <c r="Z55" s="86">
        <f t="shared" si="52"/>
        <v>22111.846562552753</v>
      </c>
      <c r="AA55" s="86">
        <f t="shared" si="53"/>
        <v>689.65917691983771</v>
      </c>
      <c r="AB55" s="67">
        <f t="shared" si="54"/>
        <v>50429.64991973561</v>
      </c>
      <c r="AC55" s="199">
        <f t="shared" si="38"/>
        <v>13753.540887200621</v>
      </c>
      <c r="AD55" s="66">
        <v>180</v>
      </c>
      <c r="AE55" s="30">
        <v>86.566000000000003</v>
      </c>
      <c r="AF55" s="86">
        <f t="shared" si="55"/>
        <v>65.70359400000001</v>
      </c>
      <c r="AG55" s="86">
        <f t="shared" si="56"/>
        <v>18836.009383237146</v>
      </c>
      <c r="AH55" s="86">
        <f t="shared" si="57"/>
        <v>587.48719565092529</v>
      </c>
      <c r="AI55" s="67">
        <f t="shared" si="58"/>
        <v>42958.572292654404</v>
      </c>
      <c r="AJ55" s="199">
        <f t="shared" si="39"/>
        <v>11715.97426163302</v>
      </c>
      <c r="AK55" s="3">
        <v>240</v>
      </c>
      <c r="AL55" s="30">
        <v>83.930999999999997</v>
      </c>
      <c r="AM55" s="86">
        <f t="shared" si="59"/>
        <v>63.703628999999999</v>
      </c>
      <c r="AN55" s="86">
        <f t="shared" si="60"/>
        <v>18262.65628011548</v>
      </c>
      <c r="AO55" s="86">
        <f t="shared" si="61"/>
        <v>569.60455396088309</v>
      </c>
      <c r="AP55" s="67">
        <f t="shared" si="62"/>
        <v>41650.947613321347</v>
      </c>
      <c r="AQ55" s="199">
        <f t="shared" si="40"/>
        <v>11359.349349087641</v>
      </c>
      <c r="AR55" s="199">
        <f>(((AL55*$N55*10^-3)*$E$3*$E$4)/($E$5*$E$6*$H55))*1000*(12/44)+'post-DEA dissolved CO2'!N53</f>
        <v>15946.085887072111</v>
      </c>
      <c r="AS55" s="87">
        <f t="shared" si="63"/>
        <v>10850.059198837833</v>
      </c>
      <c r="AT55" s="87">
        <f t="shared" si="64"/>
        <v>13753.540887200621</v>
      </c>
      <c r="AU55" s="87">
        <f t="shared" si="65"/>
        <v>11715.97426163302</v>
      </c>
      <c r="AV55" s="87">
        <f t="shared" si="66"/>
        <v>11359.349349087641</v>
      </c>
      <c r="AW55" s="71">
        <f t="shared" si="67"/>
        <v>2.6713090143759854E-3</v>
      </c>
      <c r="AX55" s="72">
        <f t="shared" si="68"/>
        <v>-0.84949362469696155</v>
      </c>
      <c r="AY55" s="88">
        <f t="shared" si="69"/>
        <v>-5.0969617481817692E-2</v>
      </c>
      <c r="AZ55" s="88"/>
      <c r="BA55" s="3">
        <v>24</v>
      </c>
      <c r="BB55" s="3" t="s">
        <v>82</v>
      </c>
      <c r="BC55" s="111">
        <v>19.992486683849631</v>
      </c>
      <c r="BD55" s="75">
        <f t="shared" si="28"/>
        <v>15946.085887072111</v>
      </c>
      <c r="BE55" s="160">
        <f t="shared" si="29"/>
        <v>0.71235972448241658</v>
      </c>
      <c r="BF55" s="3">
        <f t="shared" si="70"/>
        <v>15231.151939030839</v>
      </c>
      <c r="BG55" s="3">
        <f t="shared" si="71"/>
        <v>19307.016405501607</v>
      </c>
      <c r="BH55" s="3">
        <f t="shared" si="72"/>
        <v>16446.710642078433</v>
      </c>
      <c r="BI55" s="3">
        <f t="shared" si="73"/>
        <v>15946.085887072111</v>
      </c>
      <c r="BJ55" s="222">
        <v>11359.349349087641</v>
      </c>
      <c r="BK55" s="71">
        <f t="shared" si="74"/>
        <v>2.6713090143759993E-3</v>
      </c>
      <c r="BL55" s="72">
        <f t="shared" si="75"/>
        <v>-1.1925065321655925</v>
      </c>
      <c r="BM55" s="88">
        <f t="shared" si="36"/>
        <v>-7.1550391929935564E-2</v>
      </c>
      <c r="BN55" s="227">
        <v>-5.0969617481817692E-2</v>
      </c>
      <c r="BO55" s="234"/>
      <c r="CC55" s="272" t="s">
        <v>81</v>
      </c>
      <c r="CD55" s="270">
        <v>0</v>
      </c>
      <c r="CE55">
        <v>0.42924637029525786</v>
      </c>
      <c r="CF55">
        <v>0.67620966820978079</v>
      </c>
      <c r="CG55">
        <v>1.0359410296210703</v>
      </c>
      <c r="CH55">
        <v>0.40708034078924094</v>
      </c>
      <c r="CI55">
        <v>0.48165724235691948</v>
      </c>
      <c r="CJ55"/>
      <c r="CK55"/>
      <c r="CL55"/>
      <c r="CM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</row>
    <row r="56" spans="1:382" ht="15.75" thickBot="1">
      <c r="A56" s="132">
        <f>'Exptl Setup'!A100</f>
        <v>93</v>
      </c>
      <c r="B56" s="132" t="str">
        <f>'Exptl Setup'!C100</f>
        <v>c</v>
      </c>
      <c r="C56" s="132">
        <f>'Exptl Setup'!D100</f>
        <v>24</v>
      </c>
      <c r="D56" s="132" t="str">
        <f>'Exptl Setup'!E100</f>
        <v>-</v>
      </c>
      <c r="E56" s="148">
        <f>'Exptl Setup'!K100</f>
        <v>19.999984569282837</v>
      </c>
      <c r="F56" s="134">
        <f>'Exptl Setup'!F100</f>
        <v>31.997</v>
      </c>
      <c r="G56" s="135">
        <f>'Exptl Setup'!$C$5</f>
        <v>1.2793390913194711</v>
      </c>
      <c r="H56" s="136">
        <f t="shared" si="76"/>
        <v>25.010570080368041</v>
      </c>
      <c r="I56" s="137">
        <f t="shared" si="77"/>
        <v>9.4379509737237886</v>
      </c>
      <c r="J56" s="137">
        <f t="shared" si="78"/>
        <v>6.9864299196319593</v>
      </c>
      <c r="K56" s="137">
        <f>'Exptl Setup'!H100+'Exptl Setup'!I100+'Exptl Setup'!J100+5</f>
        <v>23.003024686832859</v>
      </c>
      <c r="L56" s="137">
        <f t="shared" si="79"/>
        <v>29.989454606464818</v>
      </c>
      <c r="M56" s="138">
        <v>300</v>
      </c>
      <c r="N56" s="137">
        <f t="shared" si="80"/>
        <v>260.57259441981137</v>
      </c>
      <c r="O56" s="195">
        <f>10^(-'Pre-DEA characterisation'!V57)</f>
        <v>1.6032453906900396E-9</v>
      </c>
      <c r="P56" s="140">
        <v>60</v>
      </c>
      <c r="Q56" s="132">
        <v>101.997</v>
      </c>
      <c r="R56" s="149">
        <f t="shared" si="47"/>
        <v>77.415723</v>
      </c>
      <c r="S56" s="149">
        <f t="shared" si="48"/>
        <v>22193.660895294215</v>
      </c>
      <c r="T56" s="149">
        <f t="shared" si="49"/>
        <v>692.15340888373669</v>
      </c>
      <c r="U56" s="141">
        <f t="shared" si="50"/>
        <v>50631.015858070437</v>
      </c>
      <c r="V56" s="199">
        <f t="shared" si="13"/>
        <v>13808.458870382847</v>
      </c>
      <c r="W56" s="140">
        <v>120</v>
      </c>
      <c r="X56" s="132">
        <v>82.802000000000007</v>
      </c>
      <c r="Y56" s="149">
        <f t="shared" si="51"/>
        <v>62.846718000000003</v>
      </c>
      <c r="Z56" s="149">
        <f t="shared" si="52"/>
        <v>18016.995690580621</v>
      </c>
      <c r="AA56" s="149">
        <f t="shared" si="53"/>
        <v>561.895806370689</v>
      </c>
      <c r="AB56" s="141">
        <f t="shared" si="54"/>
        <v>41102.67336372588</v>
      </c>
      <c r="AC56" s="199">
        <f t="shared" si="38"/>
        <v>11209.820008288876</v>
      </c>
      <c r="AD56" s="140">
        <v>180</v>
      </c>
      <c r="AE56" s="132">
        <v>92.587999999999994</v>
      </c>
      <c r="AF56" s="149">
        <f t="shared" si="55"/>
        <v>70.274292000000003</v>
      </c>
      <c r="AG56" s="149">
        <f t="shared" si="56"/>
        <v>20146.344254963387</v>
      </c>
      <c r="AH56" s="149">
        <f t="shared" si="57"/>
        <v>628.30377189257922</v>
      </c>
      <c r="AI56" s="141">
        <f t="shared" si="58"/>
        <v>45960.415465817867</v>
      </c>
      <c r="AJ56" s="199">
        <f t="shared" si="39"/>
        <v>12534.658763404872</v>
      </c>
      <c r="AK56" s="132">
        <v>240</v>
      </c>
      <c r="AL56" s="132">
        <v>82.802000000000007</v>
      </c>
      <c r="AM56" s="149">
        <f t="shared" si="59"/>
        <v>62.846718000000003</v>
      </c>
      <c r="AN56" s="149">
        <f t="shared" si="60"/>
        <v>18016.995690580621</v>
      </c>
      <c r="AO56" s="149">
        <f t="shared" si="61"/>
        <v>561.895806370689</v>
      </c>
      <c r="AP56" s="141">
        <f t="shared" si="62"/>
        <v>41102.67336372588</v>
      </c>
      <c r="AQ56" s="199">
        <f t="shared" si="40"/>
        <v>11209.820008288876</v>
      </c>
      <c r="AR56" s="199">
        <f>(((AL56*$N56*10^-3)*$E$3*$E$4)/($E$5*$E$6*$H56))*1000*(12/44)+'post-DEA dissolved CO2'!N54</f>
        <v>14821.622209321731</v>
      </c>
      <c r="AS56" s="87">
        <f t="shared" si="63"/>
        <v>13808.458870382847</v>
      </c>
      <c r="AT56" s="87">
        <f t="shared" si="64"/>
        <v>11209.820008288876</v>
      </c>
      <c r="AU56" s="87">
        <f t="shared" si="65"/>
        <v>12534.658763404872</v>
      </c>
      <c r="AV56" s="87">
        <f t="shared" si="66"/>
        <v>11209.820008288876</v>
      </c>
      <c r="AW56" s="145">
        <f t="shared" si="67"/>
        <v>0.44932963222474726</v>
      </c>
      <c r="AX56" s="146">
        <f t="shared" si="68"/>
        <v>-10.785129718609859</v>
      </c>
      <c r="AY56" s="150">
        <f t="shared" si="69"/>
        <v>-0.64710778311659156</v>
      </c>
      <c r="AZ56" s="211"/>
      <c r="BA56" s="132">
        <v>24</v>
      </c>
      <c r="BB56" s="132" t="s">
        <v>82</v>
      </c>
      <c r="BC56" s="133">
        <v>19.999984569282837</v>
      </c>
      <c r="BD56" s="148">
        <f t="shared" si="28"/>
        <v>14821.622209321731</v>
      </c>
      <c r="BE56" s="161">
        <f t="shared" si="29"/>
        <v>0.75631532432655768</v>
      </c>
      <c r="BF56" s="132">
        <f t="shared" si="70"/>
        <v>18257.542094202901</v>
      </c>
      <c r="BG56" s="132">
        <f t="shared" si="71"/>
        <v>14821.622209321731</v>
      </c>
      <c r="BH56" s="132">
        <f t="shared" si="72"/>
        <v>16573.323797935802</v>
      </c>
      <c r="BI56" s="132">
        <f t="shared" si="73"/>
        <v>14821.622209321731</v>
      </c>
      <c r="BJ56" s="222">
        <v>11209.820008288876</v>
      </c>
      <c r="BK56" s="145">
        <f t="shared" si="74"/>
        <v>0.44932963222474714</v>
      </c>
      <c r="BL56" s="146">
        <f t="shared" si="75"/>
        <v>-14.260096776715733</v>
      </c>
      <c r="BM56" s="150">
        <f t="shared" si="36"/>
        <v>-0.85560580660294394</v>
      </c>
      <c r="BN56" s="227">
        <v>-0.64710778311659156</v>
      </c>
      <c r="BO56" s="234"/>
      <c r="CC56" s="273"/>
      <c r="CD56" s="270">
        <v>6</v>
      </c>
      <c r="CE56">
        <v>1.5778725153399018</v>
      </c>
      <c r="CF56">
        <v>2.07754629877549</v>
      </c>
      <c r="CG56">
        <v>2.6973777932160088</v>
      </c>
      <c r="CH56">
        <v>1.3397161986604051</v>
      </c>
      <c r="CI56">
        <v>1.1739935546333575</v>
      </c>
      <c r="CJ56"/>
      <c r="CK56"/>
      <c r="CL56"/>
      <c r="CM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</row>
    <row r="57" spans="1:382">
      <c r="A57" s="3">
        <f>'Exptl Setup'!A104</f>
        <v>97</v>
      </c>
      <c r="B57" s="3" t="str">
        <f>'Exptl Setup'!C104</f>
        <v>a</v>
      </c>
      <c r="C57" s="3">
        <f>'Exptl Setup'!D104</f>
        <v>32</v>
      </c>
      <c r="D57" s="3" t="str">
        <f>'Exptl Setup'!E104</f>
        <v>+</v>
      </c>
      <c r="E57" s="75">
        <f>'Exptl Setup'!K104</f>
        <v>0</v>
      </c>
      <c r="F57" s="63">
        <f>'Exptl Setup'!F104</f>
        <v>31.995999999999999</v>
      </c>
      <c r="G57" s="64">
        <f>'Exptl Setup'!$C$5</f>
        <v>1.2793390913194711</v>
      </c>
      <c r="H57" s="7">
        <f t="shared" si="76"/>
        <v>25.009788426773003</v>
      </c>
      <c r="I57" s="8">
        <f t="shared" si="77"/>
        <v>9.4376560101030211</v>
      </c>
      <c r="J57" s="8">
        <f t="shared" si="78"/>
        <v>6.9862115732269956</v>
      </c>
      <c r="K57" s="8">
        <f>'Exptl Setup'!H104+'Exptl Setup'!I104+'Exptl Setup'!J104+5</f>
        <v>23.003024686832859</v>
      </c>
      <c r="L57" s="8">
        <f t="shared" si="79"/>
        <v>29.989236260059855</v>
      </c>
      <c r="M57" s="44">
        <v>300</v>
      </c>
      <c r="N57" s="85">
        <f t="shared" si="80"/>
        <v>260.57310772983715</v>
      </c>
      <c r="O57" s="193">
        <f>10^(-'Pre-DEA characterisation'!V58)</f>
        <v>2.3442288153199218E-5</v>
      </c>
      <c r="P57" s="66">
        <v>60</v>
      </c>
      <c r="Q57" s="30">
        <v>513.22299999999996</v>
      </c>
      <c r="R57" s="86">
        <f t="shared" si="47"/>
        <v>389.53625699999998</v>
      </c>
      <c r="S57" s="86">
        <f t="shared" si="48"/>
        <v>396.93075620730804</v>
      </c>
      <c r="T57" s="86">
        <f t="shared" si="49"/>
        <v>145.63576229521539</v>
      </c>
      <c r="U57" s="67">
        <f t="shared" si="50"/>
        <v>10653.587704893987</v>
      </c>
      <c r="V57" s="199">
        <f t="shared" si="13"/>
        <v>2905.5239195165418</v>
      </c>
      <c r="W57" s="66">
        <v>120</v>
      </c>
      <c r="X57" s="30">
        <v>701.51099999999997</v>
      </c>
      <c r="Y57" s="86">
        <f t="shared" si="51"/>
        <v>532.44684899999993</v>
      </c>
      <c r="Z57" s="86">
        <f t="shared" si="52"/>
        <v>542.55419518950805</v>
      </c>
      <c r="AA57" s="86">
        <f t="shared" si="53"/>
        <v>199.06568732009057</v>
      </c>
      <c r="AB57" s="67">
        <f t="shared" si="54"/>
        <v>14562.108409887878</v>
      </c>
      <c r="AC57" s="199">
        <f t="shared" si="38"/>
        <v>3971.4841117876031</v>
      </c>
      <c r="AD57" s="66">
        <v>180</v>
      </c>
      <c r="AE57" s="30">
        <v>904.42399999999998</v>
      </c>
      <c r="AF57" s="86">
        <f t="shared" si="55"/>
        <v>686.45781599999998</v>
      </c>
      <c r="AG57" s="86">
        <f t="shared" si="56"/>
        <v>699.4887256651366</v>
      </c>
      <c r="AH57" s="86">
        <f t="shared" si="57"/>
        <v>256.64570504067024</v>
      </c>
      <c r="AI57" s="67">
        <f t="shared" si="58"/>
        <v>18774.217847623822</v>
      </c>
      <c r="AJ57" s="199">
        <f t="shared" si="39"/>
        <v>5120.2412311701337</v>
      </c>
      <c r="AK57" s="3">
        <v>240</v>
      </c>
      <c r="AL57" s="30">
        <v>1016.391</v>
      </c>
      <c r="AM57" s="86">
        <f t="shared" si="59"/>
        <v>771.44076899999993</v>
      </c>
      <c r="AN57" s="86">
        <f t="shared" si="60"/>
        <v>786.08489532289479</v>
      </c>
      <c r="AO57" s="86">
        <f t="shared" si="61"/>
        <v>288.41824718493962</v>
      </c>
      <c r="AP57" s="67">
        <f t="shared" si="62"/>
        <v>21098.451669089078</v>
      </c>
      <c r="AQ57" s="199">
        <f t="shared" si="40"/>
        <v>5754.1231824788401</v>
      </c>
      <c r="AR57" s="199">
        <f>(((AL57*$N57*10^-3)*$E$3*$E$4)/($E$5*$E$6*$H57))*1000*(12/44)+'post-DEA dissolved CO2'!N55</f>
        <v>7276.9310974082582</v>
      </c>
      <c r="AS57" s="87">
        <f t="shared" si="63"/>
        <v>2905.5239195165418</v>
      </c>
      <c r="AT57" s="87">
        <f t="shared" si="64"/>
        <v>3971.4841117876031</v>
      </c>
      <c r="AU57" s="87">
        <f t="shared" si="65"/>
        <v>5120.2412311701337</v>
      </c>
      <c r="AV57" s="87">
        <f t="shared" si="66"/>
        <v>5754.1231824788401</v>
      </c>
      <c r="AW57" s="71">
        <f t="shared" si="67"/>
        <v>0.98645322396607782</v>
      </c>
      <c r="AX57" s="72">
        <f t="shared" si="68"/>
        <v>16.157591513782378</v>
      </c>
      <c r="AY57" s="88">
        <f t="shared" si="69"/>
        <v>0.9694554908269426</v>
      </c>
      <c r="AZ57" s="88"/>
      <c r="BA57" s="3">
        <v>32</v>
      </c>
      <c r="BB57" s="3" t="s">
        <v>81</v>
      </c>
      <c r="BC57" s="111">
        <v>0</v>
      </c>
      <c r="BD57" s="75">
        <f t="shared" si="28"/>
        <v>7276.9310974082582</v>
      </c>
      <c r="BE57" s="160">
        <f t="shared" si="29"/>
        <v>0.79073487235961615</v>
      </c>
      <c r="BF57" s="3">
        <f t="shared" si="70"/>
        <v>3674.460329346834</v>
      </c>
      <c r="BG57" s="3">
        <f t="shared" si="71"/>
        <v>5022.5230359910356</v>
      </c>
      <c r="BH57" s="3">
        <f t="shared" si="72"/>
        <v>6475.2945774238133</v>
      </c>
      <c r="BI57" s="3">
        <f t="shared" si="73"/>
        <v>7276.9310974082573</v>
      </c>
      <c r="BJ57" s="222">
        <v>5754.1231824788401</v>
      </c>
      <c r="BK57" s="71">
        <f t="shared" si="74"/>
        <v>0.9864532239660776</v>
      </c>
      <c r="BL57" s="72">
        <f t="shared" si="75"/>
        <v>20.433639742695078</v>
      </c>
      <c r="BM57" s="88">
        <f t="shared" si="36"/>
        <v>1.2260183845617048</v>
      </c>
      <c r="BN57" s="227">
        <v>0.9694554908269426</v>
      </c>
      <c r="BO57" s="234"/>
      <c r="CC57" s="273"/>
      <c r="CD57" s="270">
        <v>16</v>
      </c>
      <c r="CE57">
        <v>0.66037262849042666</v>
      </c>
      <c r="CF57">
        <v>3.9157364043698255</v>
      </c>
      <c r="CG57">
        <v>5.5553317432490692</v>
      </c>
      <c r="CH57">
        <v>4.7836740389673471</v>
      </c>
      <c r="CI57">
        <v>6.4702934010301876</v>
      </c>
      <c r="CJ57"/>
      <c r="CK57"/>
      <c r="CL57"/>
      <c r="CM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</row>
    <row r="58" spans="1:382">
      <c r="A58" s="3">
        <f>'Exptl Setup'!A105</f>
        <v>98</v>
      </c>
      <c r="B58" s="3" t="str">
        <f>'Exptl Setup'!C105</f>
        <v>b</v>
      </c>
      <c r="C58" s="3">
        <f>'Exptl Setup'!D105</f>
        <v>32</v>
      </c>
      <c r="D58" s="3" t="str">
        <f>'Exptl Setup'!E105</f>
        <v>+</v>
      </c>
      <c r="E58" s="75">
        <f>'Exptl Setup'!K105</f>
        <v>0</v>
      </c>
      <c r="F58" s="63">
        <f>'Exptl Setup'!F105</f>
        <v>32.006999999999998</v>
      </c>
      <c r="G58" s="64">
        <f>'Exptl Setup'!$C$5</f>
        <v>1.2793390913194711</v>
      </c>
      <c r="H58" s="7">
        <f t="shared" si="76"/>
        <v>25.018386616318399</v>
      </c>
      <c r="I58" s="8">
        <f t="shared" si="77"/>
        <v>9.4409006099314716</v>
      </c>
      <c r="J58" s="8">
        <f t="shared" si="78"/>
        <v>6.9886133836815993</v>
      </c>
      <c r="K58" s="8">
        <f>'Exptl Setup'!H105+'Exptl Setup'!I105+'Exptl Setup'!J105+5</f>
        <v>23.003024686832859</v>
      </c>
      <c r="L58" s="8">
        <f t="shared" si="79"/>
        <v>29.991638070514458</v>
      </c>
      <c r="M58" s="44">
        <v>300</v>
      </c>
      <c r="N58" s="85">
        <f t="shared" si="80"/>
        <v>260.56746131955407</v>
      </c>
      <c r="O58" s="193">
        <f>10^(-'Pre-DEA characterisation'!V59)</f>
        <v>2.3442288153199218E-5</v>
      </c>
      <c r="P58" s="66">
        <v>60</v>
      </c>
      <c r="Q58" s="30">
        <v>656.72400000000005</v>
      </c>
      <c r="R58" s="86">
        <f t="shared" si="47"/>
        <v>498.45351600000004</v>
      </c>
      <c r="S58" s="86">
        <f t="shared" si="48"/>
        <v>507.91557264481179</v>
      </c>
      <c r="T58" s="86">
        <f t="shared" si="49"/>
        <v>186.35412549276413</v>
      </c>
      <c r="U58" s="67">
        <f t="shared" si="50"/>
        <v>13627.543657213977</v>
      </c>
      <c r="V58" s="199">
        <f t="shared" si="13"/>
        <v>3716.6028156038124</v>
      </c>
      <c r="W58" s="66">
        <v>120</v>
      </c>
      <c r="X58" s="30">
        <v>887.05700000000002</v>
      </c>
      <c r="Y58" s="86">
        <f t="shared" si="51"/>
        <v>673.27626299999997</v>
      </c>
      <c r="Z58" s="86">
        <f t="shared" si="52"/>
        <v>686.05694953068371</v>
      </c>
      <c r="AA58" s="86">
        <f t="shared" si="53"/>
        <v>251.71416226182515</v>
      </c>
      <c r="AB58" s="67">
        <f t="shared" si="54"/>
        <v>18407.136017470442</v>
      </c>
      <c r="AC58" s="199">
        <f t="shared" si="38"/>
        <v>5020.128004764666</v>
      </c>
      <c r="AD58" s="66">
        <v>180</v>
      </c>
      <c r="AE58" s="30">
        <v>1125.1600000000001</v>
      </c>
      <c r="AF58" s="86">
        <f t="shared" si="55"/>
        <v>853.99644000000012</v>
      </c>
      <c r="AG58" s="86">
        <f t="shared" si="56"/>
        <v>870.20770630742356</v>
      </c>
      <c r="AH58" s="86">
        <f t="shared" si="57"/>
        <v>319.27903935205421</v>
      </c>
      <c r="AI58" s="67">
        <f t="shared" si="58"/>
        <v>23347.962037858942</v>
      </c>
      <c r="AJ58" s="199">
        <f t="shared" si="39"/>
        <v>6367.6260103251661</v>
      </c>
      <c r="AK58" s="3">
        <v>240</v>
      </c>
      <c r="AL58" s="30">
        <v>1292.425</v>
      </c>
      <c r="AM58" s="86">
        <f t="shared" si="59"/>
        <v>980.95057499999996</v>
      </c>
      <c r="AN58" s="86">
        <f t="shared" si="60"/>
        <v>999.57178963380466</v>
      </c>
      <c r="AO58" s="86">
        <f t="shared" si="61"/>
        <v>366.74269653611816</v>
      </c>
      <c r="AP58" s="67">
        <f t="shared" si="62"/>
        <v>26818.843397187818</v>
      </c>
      <c r="AQ58" s="199">
        <f t="shared" si="40"/>
        <v>7314.2300174148586</v>
      </c>
      <c r="AR58" s="199">
        <f>(((AL58*$N58*10^-3)*$E$3*$E$4)/($E$5*$E$6*$H58))*1000*(12/44)+'post-DEA dissolved CO2'!N56</f>
        <v>8742.1203308083532</v>
      </c>
      <c r="AS58" s="87">
        <f t="shared" si="63"/>
        <v>3716.6028156038124</v>
      </c>
      <c r="AT58" s="87">
        <f t="shared" si="64"/>
        <v>5020.128004764666</v>
      </c>
      <c r="AU58" s="87">
        <f t="shared" si="65"/>
        <v>6367.6260103251661</v>
      </c>
      <c r="AV58" s="87">
        <f t="shared" si="66"/>
        <v>7314.2300174148586</v>
      </c>
      <c r="AW58" s="71">
        <f t="shared" si="67"/>
        <v>0.99436749854484718</v>
      </c>
      <c r="AX58" s="72">
        <f t="shared" si="68"/>
        <v>20.233966018322732</v>
      </c>
      <c r="AY58" s="88">
        <f t="shared" si="69"/>
        <v>1.2140379610993639</v>
      </c>
      <c r="AZ58" s="88"/>
      <c r="BA58" s="3">
        <v>32</v>
      </c>
      <c r="BB58" s="3" t="s">
        <v>81</v>
      </c>
      <c r="BC58" s="111">
        <v>0</v>
      </c>
      <c r="BD58" s="75">
        <f t="shared" si="28"/>
        <v>8742.1203308083532</v>
      </c>
      <c r="BE58" s="160">
        <f t="shared" si="29"/>
        <v>0.83666544735589765</v>
      </c>
      <c r="BF58" s="3">
        <f t="shared" si="70"/>
        <v>4442.1612334408474</v>
      </c>
      <c r="BG58" s="3">
        <f t="shared" si="71"/>
        <v>6000.1617380396283</v>
      </c>
      <c r="BH58" s="3">
        <f t="shared" si="72"/>
        <v>7610.7194703076211</v>
      </c>
      <c r="BI58" s="3">
        <f t="shared" si="73"/>
        <v>8742.1203308083532</v>
      </c>
      <c r="BJ58" s="222">
        <v>7314.2300174148586</v>
      </c>
      <c r="BK58" s="71">
        <f t="shared" si="74"/>
        <v>0.99436749854484696</v>
      </c>
      <c r="BL58" s="72">
        <f t="shared" si="75"/>
        <v>24.184058373950851</v>
      </c>
      <c r="BM58" s="88">
        <f t="shared" si="36"/>
        <v>1.4510435024370512</v>
      </c>
      <c r="BN58" s="227">
        <v>1.2140379610993639</v>
      </c>
      <c r="BO58" s="234"/>
      <c r="CC58" s="273"/>
      <c r="CD58" s="270">
        <v>20</v>
      </c>
      <c r="CE58">
        <v>-3.7992672579235727E-2</v>
      </c>
      <c r="CF58">
        <v>-0.58678315683228199</v>
      </c>
      <c r="CG58">
        <v>0.50016982827335843</v>
      </c>
      <c r="CH58">
        <v>-0.64879500180264627</v>
      </c>
      <c r="CI58">
        <v>0.25249017222375669</v>
      </c>
      <c r="CJ58"/>
      <c r="CK58"/>
      <c r="CL58"/>
      <c r="CM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</row>
    <row r="59" spans="1:382">
      <c r="A59" s="3">
        <f>'Exptl Setup'!A106</f>
        <v>99</v>
      </c>
      <c r="B59" s="3" t="str">
        <f>'Exptl Setup'!C106</f>
        <v>c</v>
      </c>
      <c r="C59" s="3">
        <f>'Exptl Setup'!D106</f>
        <v>32</v>
      </c>
      <c r="D59" s="3" t="str">
        <f>'Exptl Setup'!E106</f>
        <v>+</v>
      </c>
      <c r="E59" s="75">
        <f>'Exptl Setup'!K106</f>
        <v>0</v>
      </c>
      <c r="F59" s="63">
        <f>'Exptl Setup'!F106</f>
        <v>31.991</v>
      </c>
      <c r="G59" s="64">
        <f>'Exptl Setup'!$C$5</f>
        <v>1.2793390913194711</v>
      </c>
      <c r="H59" s="7">
        <f t="shared" si="76"/>
        <v>25.005880158797822</v>
      </c>
      <c r="I59" s="8">
        <f t="shared" si="77"/>
        <v>9.4361811919991787</v>
      </c>
      <c r="J59" s="8">
        <f t="shared" si="78"/>
        <v>6.9851198412021773</v>
      </c>
      <c r="K59" s="8">
        <f>'Exptl Setup'!H106+'Exptl Setup'!I106+'Exptl Setup'!J106+5</f>
        <v>23.003024686832859</v>
      </c>
      <c r="L59" s="8">
        <f t="shared" si="79"/>
        <v>29.988144528035036</v>
      </c>
      <c r="M59" s="44">
        <v>300</v>
      </c>
      <c r="N59" s="85">
        <f t="shared" si="80"/>
        <v>260.57567427996577</v>
      </c>
      <c r="O59" s="193">
        <f>10^(-'Pre-DEA characterisation'!V60)</f>
        <v>2.3442288153199218E-5</v>
      </c>
      <c r="P59" s="66">
        <v>60</v>
      </c>
      <c r="Q59" s="30">
        <v>491.74299999999999</v>
      </c>
      <c r="R59" s="86">
        <f t="shared" si="47"/>
        <v>373.23293699999999</v>
      </c>
      <c r="S59" s="86">
        <f t="shared" si="48"/>
        <v>380.31795311131867</v>
      </c>
      <c r="T59" s="86">
        <f t="shared" si="49"/>
        <v>139.54129354196189</v>
      </c>
      <c r="U59" s="67">
        <f t="shared" si="50"/>
        <v>10209.358846871239</v>
      </c>
      <c r="V59" s="199">
        <f t="shared" si="13"/>
        <v>2784.3705946012469</v>
      </c>
      <c r="W59" s="66">
        <v>120</v>
      </c>
      <c r="X59" s="30">
        <v>718.42</v>
      </c>
      <c r="Y59" s="86">
        <f t="shared" si="51"/>
        <v>545.28077999999994</v>
      </c>
      <c r="Z59" s="86">
        <f t="shared" si="52"/>
        <v>555.63175047582479</v>
      </c>
      <c r="AA59" s="86">
        <f t="shared" si="53"/>
        <v>203.86514115384713</v>
      </c>
      <c r="AB59" s="67">
        <f t="shared" si="54"/>
        <v>14915.530231786184</v>
      </c>
      <c r="AC59" s="199">
        <f t="shared" si="38"/>
        <v>4067.8718813962319</v>
      </c>
      <c r="AD59" s="66">
        <v>180</v>
      </c>
      <c r="AE59" s="30">
        <v>837.24300000000005</v>
      </c>
      <c r="AF59" s="86">
        <f t="shared" si="55"/>
        <v>635.46743700000002</v>
      </c>
      <c r="AG59" s="86">
        <f t="shared" si="56"/>
        <v>647.53040514410941</v>
      </c>
      <c r="AH59" s="86">
        <f t="shared" si="57"/>
        <v>237.58339463694003</v>
      </c>
      <c r="AI59" s="67">
        <f t="shared" si="58"/>
        <v>17382.482778668971</v>
      </c>
      <c r="AJ59" s="199">
        <f t="shared" si="39"/>
        <v>4740.6771214551736</v>
      </c>
      <c r="AK59" s="3">
        <v>240</v>
      </c>
      <c r="AL59" s="30">
        <v>996.28300000000002</v>
      </c>
      <c r="AM59" s="86">
        <f t="shared" si="59"/>
        <v>756.17879700000003</v>
      </c>
      <c r="AN59" s="86">
        <f t="shared" si="60"/>
        <v>770.53320795538298</v>
      </c>
      <c r="AO59" s="86">
        <f t="shared" si="61"/>
        <v>282.71397570248365</v>
      </c>
      <c r="AP59" s="67">
        <f t="shared" si="62"/>
        <v>20684.403560472474</v>
      </c>
      <c r="AQ59" s="199">
        <f t="shared" si="40"/>
        <v>5641.2009710379471</v>
      </c>
      <c r="AR59" s="199">
        <f>(((AL59*$N59*10^-3)*$E$3*$E$4)/($E$5*$E$6*$H59))*1000*(12/44)+'post-DEA dissolved CO2'!N57</f>
        <v>6983.6498252965284</v>
      </c>
      <c r="AS59" s="87">
        <f t="shared" si="63"/>
        <v>2784.3705946012469</v>
      </c>
      <c r="AT59" s="87">
        <f t="shared" si="64"/>
        <v>4067.8718813962319</v>
      </c>
      <c r="AU59" s="87">
        <f t="shared" si="65"/>
        <v>4740.6771214551736</v>
      </c>
      <c r="AV59" s="87">
        <f t="shared" si="66"/>
        <v>5641.2009710379471</v>
      </c>
      <c r="AW59" s="71">
        <f t="shared" si="67"/>
        <v>0.9834670433613244</v>
      </c>
      <c r="AX59" s="72">
        <f t="shared" si="68"/>
        <v>15.405493948948401</v>
      </c>
      <c r="AY59" s="88">
        <f t="shared" si="69"/>
        <v>0.92432963693690406</v>
      </c>
      <c r="AZ59" s="88"/>
      <c r="BA59" s="3">
        <v>32</v>
      </c>
      <c r="BB59" s="3" t="s">
        <v>81</v>
      </c>
      <c r="BC59" s="111">
        <v>0</v>
      </c>
      <c r="BD59" s="75">
        <f t="shared" si="28"/>
        <v>6983.6498252965284</v>
      </c>
      <c r="BE59" s="160">
        <f t="shared" si="29"/>
        <v>0.807772599164996</v>
      </c>
      <c r="BF59" s="3">
        <f t="shared" si="70"/>
        <v>3446.9733158558279</v>
      </c>
      <c r="BG59" s="3">
        <f t="shared" si="71"/>
        <v>5035.9121931113268</v>
      </c>
      <c r="BH59" s="3">
        <f t="shared" si="72"/>
        <v>5868.8263582543741</v>
      </c>
      <c r="BI59" s="3">
        <f t="shared" si="73"/>
        <v>6983.6498252965284</v>
      </c>
      <c r="BJ59" s="222">
        <v>5641.2009710379471</v>
      </c>
      <c r="BK59" s="71">
        <f t="shared" si="74"/>
        <v>0.9834670433613244</v>
      </c>
      <c r="BL59" s="72">
        <f t="shared" si="75"/>
        <v>19.071572822441912</v>
      </c>
      <c r="BM59" s="88">
        <f t="shared" si="36"/>
        <v>1.1442943693465146</v>
      </c>
      <c r="BN59" s="227">
        <v>0.92432963693690406</v>
      </c>
      <c r="BO59" s="234"/>
      <c r="CC59" s="274" t="s">
        <v>82</v>
      </c>
      <c r="CD59" s="270">
        <v>0</v>
      </c>
      <c r="CE59">
        <v>0.32478445397358574</v>
      </c>
      <c r="CF59">
        <v>0.65124875707460494</v>
      </c>
      <c r="CG59">
        <v>0.84048836167168639</v>
      </c>
      <c r="CH59">
        <v>0.24756064582071527</v>
      </c>
      <c r="CI59">
        <v>0.47553461250253432</v>
      </c>
      <c r="CJ59"/>
      <c r="CK59"/>
      <c r="CL59"/>
      <c r="CM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</row>
    <row r="60" spans="1:382">
      <c r="A60" s="3">
        <f>'Exptl Setup'!A110</f>
        <v>103</v>
      </c>
      <c r="B60" s="3" t="str">
        <f>'Exptl Setup'!C110</f>
        <v>a</v>
      </c>
      <c r="C60" s="3">
        <f>'Exptl Setup'!D110</f>
        <v>32</v>
      </c>
      <c r="D60" s="3" t="str">
        <f>'Exptl Setup'!E110</f>
        <v>+</v>
      </c>
      <c r="E60" s="75">
        <f>'Exptl Setup'!K110</f>
        <v>6.0009331044949628</v>
      </c>
      <c r="F60" s="63">
        <f>'Exptl Setup'!F110</f>
        <v>31.992000000000001</v>
      </c>
      <c r="G60" s="64">
        <f>'Exptl Setup'!$C$5</f>
        <v>1.2793390913194711</v>
      </c>
      <c r="H60" s="7">
        <f t="shared" si="76"/>
        <v>25.00666181239286</v>
      </c>
      <c r="I60" s="8">
        <f t="shared" si="77"/>
        <v>9.4364761556199479</v>
      </c>
      <c r="J60" s="8">
        <f t="shared" si="78"/>
        <v>6.985338187607141</v>
      </c>
      <c r="K60" s="8">
        <f>'Exptl Setup'!H110+'Exptl Setup'!I110+'Exptl Setup'!J110+5</f>
        <v>23.003024686832859</v>
      </c>
      <c r="L60" s="8">
        <f t="shared" si="79"/>
        <v>29.98836287444</v>
      </c>
      <c r="M60" s="44">
        <v>300</v>
      </c>
      <c r="N60" s="85">
        <f t="shared" si="80"/>
        <v>260.57516096994004</v>
      </c>
      <c r="O60" s="193">
        <f>10^(-'Pre-DEA characterisation'!V61)</f>
        <v>2.3173946499684774E-7</v>
      </c>
      <c r="P60" s="66">
        <v>60</v>
      </c>
      <c r="Q60" s="30">
        <v>107.39700000000001</v>
      </c>
      <c r="R60" s="86">
        <f t="shared" si="47"/>
        <v>81.514323000000005</v>
      </c>
      <c r="S60" s="86">
        <f t="shared" si="48"/>
        <v>238.07468672925665</v>
      </c>
      <c r="T60" s="86">
        <f t="shared" si="49"/>
        <v>35.124460659544226</v>
      </c>
      <c r="U60" s="67">
        <f t="shared" si="50"/>
        <v>2569.7555546275867</v>
      </c>
      <c r="V60" s="199">
        <f t="shared" si="13"/>
        <v>700.8424239893418</v>
      </c>
      <c r="W60" s="66">
        <v>120</v>
      </c>
      <c r="X60" s="30">
        <v>2984.7350000000001</v>
      </c>
      <c r="Y60" s="86">
        <f t="shared" si="51"/>
        <v>2265.413865</v>
      </c>
      <c r="Z60" s="86">
        <f t="shared" si="52"/>
        <v>6616.4776492345954</v>
      </c>
      <c r="AA60" s="86">
        <f t="shared" si="53"/>
        <v>976.16513577348292</v>
      </c>
      <c r="AB60" s="67">
        <f t="shared" si="54"/>
        <v>71417.631268483936</v>
      </c>
      <c r="AC60" s="199">
        <f t="shared" si="38"/>
        <v>19477.535800495618</v>
      </c>
      <c r="AD60" s="66">
        <v>180</v>
      </c>
      <c r="AE60" s="30">
        <v>3401.9850000000001</v>
      </c>
      <c r="AF60" s="86">
        <f t="shared" si="55"/>
        <v>2582.1066150000001</v>
      </c>
      <c r="AG60" s="86">
        <f t="shared" si="56"/>
        <v>7541.425860430275</v>
      </c>
      <c r="AH60" s="86">
        <f t="shared" si="57"/>
        <v>1112.6278042855904</v>
      </c>
      <c r="AI60" s="67">
        <f t="shared" si="58"/>
        <v>81401.434402355095</v>
      </c>
      <c r="AJ60" s="199">
        <f t="shared" si="39"/>
        <v>22200.391200642298</v>
      </c>
      <c r="AK60" s="3">
        <v>240</v>
      </c>
      <c r="AL60" s="30">
        <v>3741.087</v>
      </c>
      <c r="AM60" s="86">
        <f t="shared" si="59"/>
        <v>2839.4850329999999</v>
      </c>
      <c r="AN60" s="86">
        <f t="shared" si="60"/>
        <v>8293.1377557277629</v>
      </c>
      <c r="AO60" s="86">
        <f t="shared" si="61"/>
        <v>1223.5319716140332</v>
      </c>
      <c r="AP60" s="67">
        <f t="shared" si="62"/>
        <v>89515.341197566522</v>
      </c>
      <c r="AQ60" s="199">
        <f t="shared" si="40"/>
        <v>24413.274872063597</v>
      </c>
      <c r="AR60" s="199">
        <f>(((AL60*$N60*10^-3)*$E$3*$E$4)/($E$5*$E$6*$H60))*1000*(12/44)+'post-DEA dissolved CO2'!N58</f>
        <v>22798.754866535473</v>
      </c>
      <c r="AS60" s="87">
        <f t="shared" si="63"/>
        <v>700.8424239893418</v>
      </c>
      <c r="AT60" s="87">
        <f t="shared" si="64"/>
        <v>19477.535800495618</v>
      </c>
      <c r="AU60" s="87">
        <f t="shared" si="65"/>
        <v>22200.391200642298</v>
      </c>
      <c r="AV60" s="87">
        <f t="shared" si="66"/>
        <v>24413.274872063597</v>
      </c>
      <c r="AW60" s="71">
        <f t="shared" si="67"/>
        <v>0.77175389702307262</v>
      </c>
      <c r="AX60" s="72">
        <f t="shared" si="68"/>
        <v>123.1002545739491</v>
      </c>
      <c r="AY60" s="88">
        <f t="shared" si="69"/>
        <v>7.3860152744369465</v>
      </c>
      <c r="AZ60" s="88"/>
      <c r="BA60" s="3">
        <v>32</v>
      </c>
      <c r="BB60" s="3" t="s">
        <v>81</v>
      </c>
      <c r="BC60" s="111">
        <v>6.0009331044949628</v>
      </c>
      <c r="BD60" s="206">
        <f t="shared" si="28"/>
        <v>22798.754866535473</v>
      </c>
      <c r="BE60" s="216">
        <f t="shared" si="29"/>
        <v>0.93386712704506358</v>
      </c>
      <c r="BF60" s="74">
        <f t="shared" si="70"/>
        <v>654.49370100222495</v>
      </c>
      <c r="BG60" s="74">
        <f t="shared" si="71"/>
        <v>18189.430399926216</v>
      </c>
      <c r="BH60" s="74">
        <f t="shared" si="72"/>
        <v>20732.215549820332</v>
      </c>
      <c r="BI60" s="74">
        <f t="shared" si="73"/>
        <v>22798.754866535473</v>
      </c>
      <c r="BJ60" s="222">
        <v>24413.274872063597</v>
      </c>
      <c r="BK60" s="207">
        <f t="shared" si="74"/>
        <v>0.77175389702307218</v>
      </c>
      <c r="BL60" s="208">
        <f t="shared" si="75"/>
        <v>114.95928107748978</v>
      </c>
      <c r="BM60" s="209">
        <f t="shared" si="36"/>
        <v>6.8975568646493866</v>
      </c>
      <c r="BN60" s="227">
        <v>7.3860152744369465</v>
      </c>
      <c r="BO60" s="234"/>
      <c r="CD60" s="230">
        <v>6</v>
      </c>
      <c r="CE60">
        <v>1.2966055039012536</v>
      </c>
      <c r="CF60">
        <v>1.9852557319011794</v>
      </c>
      <c r="CG60">
        <v>2.4840450524675997</v>
      </c>
      <c r="CH60">
        <v>1.3659407781219295</v>
      </c>
      <c r="CI60">
        <v>1.2492838822498784</v>
      </c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</row>
    <row r="61" spans="1:382">
      <c r="A61" s="3">
        <f>'Exptl Setup'!A111</f>
        <v>104</v>
      </c>
      <c r="B61" s="3" t="str">
        <f>'Exptl Setup'!C111</f>
        <v>b</v>
      </c>
      <c r="C61" s="3">
        <f>'Exptl Setup'!D111</f>
        <v>32</v>
      </c>
      <c r="D61" s="3" t="str">
        <f>'Exptl Setup'!E111</f>
        <v>+</v>
      </c>
      <c r="E61" s="75">
        <f>'Exptl Setup'!K111</f>
        <v>6.0005579758393095</v>
      </c>
      <c r="F61" s="63">
        <f>'Exptl Setup'!F111</f>
        <v>31.994</v>
      </c>
      <c r="G61" s="64">
        <f>'Exptl Setup'!$C$5</f>
        <v>1.2793390913194711</v>
      </c>
      <c r="H61" s="7">
        <f t="shared" si="76"/>
        <v>25.008225119582931</v>
      </c>
      <c r="I61" s="8">
        <f t="shared" si="77"/>
        <v>9.4370660828614845</v>
      </c>
      <c r="J61" s="8">
        <f t="shared" si="78"/>
        <v>6.9857748804170683</v>
      </c>
      <c r="K61" s="8">
        <f>'Exptl Setup'!H111+'Exptl Setup'!I111+'Exptl Setup'!J111+5</f>
        <v>23.003024686832859</v>
      </c>
      <c r="L61" s="8">
        <f t="shared" si="79"/>
        <v>29.988799567249927</v>
      </c>
      <c r="M61" s="44">
        <v>300</v>
      </c>
      <c r="N61" s="85">
        <f t="shared" si="80"/>
        <v>260.5741343498886</v>
      </c>
      <c r="O61" s="193">
        <f>10^(-'Pre-DEA characterisation'!V62)</f>
        <v>2.3173946499684774E-7</v>
      </c>
      <c r="P61" s="66">
        <v>60</v>
      </c>
      <c r="Q61" s="30">
        <v>2723.3249999999998</v>
      </c>
      <c r="R61" s="86">
        <f t="shared" si="47"/>
        <v>2067.0036749999999</v>
      </c>
      <c r="S61" s="86">
        <f t="shared" si="48"/>
        <v>6036.991221700353</v>
      </c>
      <c r="T61" s="86">
        <f t="shared" si="49"/>
        <v>890.67017416522947</v>
      </c>
      <c r="U61" s="67">
        <f t="shared" si="50"/>
        <v>65158.624710844007</v>
      </c>
      <c r="V61" s="199">
        <f t="shared" si="13"/>
        <v>17770.534012048363</v>
      </c>
      <c r="W61" s="66">
        <v>120</v>
      </c>
      <c r="X61" s="30">
        <v>3125.0369999999998</v>
      </c>
      <c r="Y61" s="86">
        <f t="shared" si="51"/>
        <v>2371.9030829999997</v>
      </c>
      <c r="Z61" s="86">
        <f t="shared" si="52"/>
        <v>6927.4952260522732</v>
      </c>
      <c r="AA61" s="86">
        <f t="shared" si="53"/>
        <v>1022.0510769235351</v>
      </c>
      <c r="AB61" s="67">
        <f t="shared" si="54"/>
        <v>74770.037762845721</v>
      </c>
      <c r="AC61" s="199">
        <f t="shared" si="38"/>
        <v>20391.828480776105</v>
      </c>
      <c r="AD61" s="66">
        <v>180</v>
      </c>
      <c r="AE61" s="30">
        <v>3589.8159999999998</v>
      </c>
      <c r="AF61" s="86">
        <f t="shared" si="55"/>
        <v>2724.6703439999997</v>
      </c>
      <c r="AG61" s="86">
        <f t="shared" si="56"/>
        <v>7957.8044043657928</v>
      </c>
      <c r="AH61" s="86">
        <f t="shared" si="57"/>
        <v>1174.0581979532842</v>
      </c>
      <c r="AI61" s="67">
        <f t="shared" si="58"/>
        <v>85890.399979797934</v>
      </c>
      <c r="AJ61" s="199">
        <f t="shared" si="39"/>
        <v>23424.654539944891</v>
      </c>
      <c r="AK61" s="3">
        <v>240</v>
      </c>
      <c r="AL61" s="30">
        <v>3923.4340000000002</v>
      </c>
      <c r="AM61" s="86">
        <f t="shared" si="59"/>
        <v>2977.8864060000001</v>
      </c>
      <c r="AN61" s="86">
        <f t="shared" si="60"/>
        <v>8697.3595207772505</v>
      </c>
      <c r="AO61" s="86">
        <f t="shared" si="61"/>
        <v>1283.1687896618228</v>
      </c>
      <c r="AP61" s="67">
        <f t="shared" si="62"/>
        <v>93872.587217377863</v>
      </c>
      <c r="AQ61" s="199">
        <f t="shared" si="40"/>
        <v>25601.61469564851</v>
      </c>
      <c r="AR61" s="199">
        <f>(((AL61*$N61*10^-3)*$E$3*$E$4)/($E$5*$E$6*$H61))*1000*(12/44)+'post-DEA dissolved CO2'!N59</f>
        <v>24410.858713625461</v>
      </c>
      <c r="AS61" s="87">
        <f t="shared" si="63"/>
        <v>17770.534012048363</v>
      </c>
      <c r="AT61" s="87">
        <f t="shared" si="64"/>
        <v>20391.828480776105</v>
      </c>
      <c r="AU61" s="87">
        <f t="shared" si="65"/>
        <v>23424.654539944891</v>
      </c>
      <c r="AV61" s="87">
        <f t="shared" si="66"/>
        <v>25601.61469564851</v>
      </c>
      <c r="AW61" s="71">
        <f t="shared" si="67"/>
        <v>0.99632771629514305</v>
      </c>
      <c r="AX61" s="72">
        <f t="shared" si="68"/>
        <v>44.21011351661538</v>
      </c>
      <c r="AY61" s="88">
        <f t="shared" si="69"/>
        <v>2.652606810996923</v>
      </c>
      <c r="AZ61" s="88"/>
      <c r="BA61" s="3">
        <v>32</v>
      </c>
      <c r="BB61" s="3" t="s">
        <v>81</v>
      </c>
      <c r="BC61" s="111">
        <v>6.0005579758393095</v>
      </c>
      <c r="BD61" s="75">
        <f t="shared" si="28"/>
        <v>24410.858713625461</v>
      </c>
      <c r="BE61" s="160">
        <f t="shared" si="29"/>
        <v>0.95348902808753544</v>
      </c>
      <c r="BF61" s="3">
        <f t="shared" si="70"/>
        <v>16944.009203744485</v>
      </c>
      <c r="BG61" s="3">
        <f t="shared" si="71"/>
        <v>19443.384719062931</v>
      </c>
      <c r="BH61" s="3">
        <f t="shared" si="72"/>
        <v>22335.151090578329</v>
      </c>
      <c r="BI61" s="3">
        <f t="shared" si="73"/>
        <v>24410.858713625461</v>
      </c>
      <c r="BJ61" s="222">
        <v>25601.61469564851</v>
      </c>
      <c r="BK61" s="71">
        <f t="shared" si="74"/>
        <v>0.99632771629514305</v>
      </c>
      <c r="BL61" s="72">
        <f t="shared" si="75"/>
        <v>42.15385816859721</v>
      </c>
      <c r="BM61" s="88">
        <f t="shared" si="36"/>
        <v>2.5292314901158326</v>
      </c>
      <c r="BN61" s="227">
        <v>2.652606810996923</v>
      </c>
      <c r="BO61" s="234"/>
      <c r="CD61">
        <v>16</v>
      </c>
      <c r="CE61">
        <v>0.82514376785995236</v>
      </c>
      <c r="CF61">
        <v>2.1684193655486386</v>
      </c>
      <c r="CG61">
        <v>6.1545702007000935</v>
      </c>
      <c r="CH61">
        <v>4.662577744731613</v>
      </c>
      <c r="CI61">
        <v>6.5225829127961967</v>
      </c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</row>
    <row r="62" spans="1:382">
      <c r="A62" s="3">
        <f>'Exptl Setup'!A112</f>
        <v>105</v>
      </c>
      <c r="B62" s="3" t="str">
        <f>'Exptl Setup'!C112</f>
        <v>c</v>
      </c>
      <c r="C62" s="3">
        <f>'Exptl Setup'!D112</f>
        <v>32</v>
      </c>
      <c r="D62" s="3" t="str">
        <f>'Exptl Setup'!E112</f>
        <v>+</v>
      </c>
      <c r="E62" s="75">
        <f>'Exptl Setup'!K112</f>
        <v>5.9981207822977121</v>
      </c>
      <c r="F62" s="63">
        <f>'Exptl Setup'!F112</f>
        <v>32.006999999999998</v>
      </c>
      <c r="G62" s="64">
        <f>'Exptl Setup'!$C$5</f>
        <v>1.2793390913194711</v>
      </c>
      <c r="H62" s="7">
        <f t="shared" si="76"/>
        <v>25.018386616318399</v>
      </c>
      <c r="I62" s="8">
        <f t="shared" si="77"/>
        <v>9.4409006099314716</v>
      </c>
      <c r="J62" s="8">
        <f t="shared" si="78"/>
        <v>6.9886133836815993</v>
      </c>
      <c r="K62" s="8">
        <f>'Exptl Setup'!H112+'Exptl Setup'!I112+'Exptl Setup'!J112+5</f>
        <v>23.003024686832859</v>
      </c>
      <c r="L62" s="8">
        <f t="shared" si="79"/>
        <v>29.991638070514458</v>
      </c>
      <c r="M62" s="44">
        <v>300</v>
      </c>
      <c r="N62" s="85">
        <f t="shared" si="80"/>
        <v>260.56746131955407</v>
      </c>
      <c r="O62" s="193">
        <f>10^(-'Pre-DEA characterisation'!V63)</f>
        <v>2.3173946499684774E-7</v>
      </c>
      <c r="P62" s="66">
        <v>60</v>
      </c>
      <c r="Q62" s="30">
        <v>2613.6419999999998</v>
      </c>
      <c r="R62" s="86">
        <f t="shared" si="47"/>
        <v>1983.7542779999999</v>
      </c>
      <c r="S62" s="86">
        <f t="shared" si="48"/>
        <v>5793.848993663024</v>
      </c>
      <c r="T62" s="86">
        <f t="shared" si="49"/>
        <v>854.79708279131773</v>
      </c>
      <c r="U62" s="67">
        <f t="shared" si="50"/>
        <v>62508.863342819532</v>
      </c>
      <c r="V62" s="199">
        <f t="shared" si="13"/>
        <v>17047.871820768964</v>
      </c>
      <c r="W62" s="66">
        <v>120</v>
      </c>
      <c r="X62" s="30">
        <v>3058.3130000000001</v>
      </c>
      <c r="Y62" s="86">
        <f t="shared" si="51"/>
        <v>2321.2595670000001</v>
      </c>
      <c r="Z62" s="86">
        <f t="shared" si="52"/>
        <v>6779.5833160610919</v>
      </c>
      <c r="AA62" s="86">
        <f t="shared" si="53"/>
        <v>1000.227663414792</v>
      </c>
      <c r="AB62" s="67">
        <f t="shared" si="54"/>
        <v>73143.785329654347</v>
      </c>
      <c r="AC62" s="199">
        <f t="shared" si="38"/>
        <v>19948.305089905731</v>
      </c>
      <c r="AD62" s="66">
        <v>180</v>
      </c>
      <c r="AE62" s="30">
        <v>3511.2109999999998</v>
      </c>
      <c r="AF62" s="86">
        <f t="shared" si="55"/>
        <v>2665.009149</v>
      </c>
      <c r="AG62" s="86">
        <f t="shared" si="56"/>
        <v>7783.5550235604342</v>
      </c>
      <c r="AH62" s="86">
        <f t="shared" si="57"/>
        <v>1148.3489015958519</v>
      </c>
      <c r="AI62" s="67">
        <f t="shared" si="58"/>
        <v>83975.467400204259</v>
      </c>
      <c r="AJ62" s="199">
        <f t="shared" si="39"/>
        <v>22902.400200055705</v>
      </c>
      <c r="AK62" s="3">
        <v>240</v>
      </c>
      <c r="AL62" s="30">
        <v>3864.0230000000001</v>
      </c>
      <c r="AM62" s="86">
        <f t="shared" si="59"/>
        <v>2932.7934570000002</v>
      </c>
      <c r="AN62" s="86">
        <f t="shared" si="60"/>
        <v>8565.6588660730049</v>
      </c>
      <c r="AO62" s="86">
        <f t="shared" si="61"/>
        <v>1263.7368041371221</v>
      </c>
      <c r="AP62" s="67">
        <f t="shared" si="62"/>
        <v>92413.454352398505</v>
      </c>
      <c r="AQ62" s="199">
        <f t="shared" si="40"/>
        <v>25203.669368835956</v>
      </c>
      <c r="AR62" s="199">
        <f>(((AL62*$N62*10^-3)*$E$3*$E$4)/($E$5*$E$6*$H62))*1000*(12/44)+'post-DEA dissolved CO2'!N60</f>
        <v>24358.060440417983</v>
      </c>
      <c r="AS62" s="87">
        <f t="shared" si="63"/>
        <v>17047.871820768964</v>
      </c>
      <c r="AT62" s="87">
        <f t="shared" si="64"/>
        <v>19948.305089905731</v>
      </c>
      <c r="AU62" s="87">
        <f t="shared" si="65"/>
        <v>22902.400200055705</v>
      </c>
      <c r="AV62" s="87">
        <f t="shared" si="66"/>
        <v>25203.669368835956</v>
      </c>
      <c r="AW62" s="71">
        <f t="shared" si="67"/>
        <v>0.99695834601703215</v>
      </c>
      <c r="AX62" s="72">
        <f t="shared" si="68"/>
        <v>45.702479590584915</v>
      </c>
      <c r="AY62" s="88">
        <f t="shared" si="69"/>
        <v>2.7421487754350946</v>
      </c>
      <c r="AZ62" s="88"/>
      <c r="BA62" s="3">
        <v>32</v>
      </c>
      <c r="BB62" s="3" t="s">
        <v>81</v>
      </c>
      <c r="BC62" s="111">
        <v>5.9981207822977121</v>
      </c>
      <c r="BD62" s="75">
        <f t="shared" si="28"/>
        <v>24358.060440417983</v>
      </c>
      <c r="BE62" s="160">
        <f t="shared" si="29"/>
        <v>0.96644897550260844</v>
      </c>
      <c r="BF62" s="3">
        <f t="shared" si="70"/>
        <v>16475.898255681954</v>
      </c>
      <c r="BG62" s="3">
        <f t="shared" si="71"/>
        <v>19279.019017152863</v>
      </c>
      <c r="BH62" s="3">
        <f t="shared" si="72"/>
        <v>22134.00120989457</v>
      </c>
      <c r="BI62" s="3">
        <f t="shared" si="73"/>
        <v>24358.060440417983</v>
      </c>
      <c r="BJ62" s="222">
        <v>25203.669368835956</v>
      </c>
      <c r="BK62" s="71">
        <f t="shared" si="74"/>
        <v>0.99695834601703215</v>
      </c>
      <c r="BL62" s="72">
        <f t="shared" si="75"/>
        <v>44.169114578249655</v>
      </c>
      <c r="BM62" s="88">
        <f t="shared" si="36"/>
        <v>2.6501468746949794</v>
      </c>
      <c r="BN62" s="227">
        <v>2.7421487754350946</v>
      </c>
      <c r="BO62" s="234"/>
      <c r="CC62"/>
      <c r="CD62">
        <v>20</v>
      </c>
      <c r="CE62">
        <v>-0.11074410520464439</v>
      </c>
      <c r="CF62">
        <v>-0.64544519772447739</v>
      </c>
      <c r="CG62">
        <v>0.6589979716946428</v>
      </c>
      <c r="CH62">
        <v>-0.87980596721978166</v>
      </c>
      <c r="CI62">
        <v>3.5986445418793411</v>
      </c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</row>
    <row r="63" spans="1:382">
      <c r="A63" s="3">
        <f>'Exptl Setup'!A116</f>
        <v>109</v>
      </c>
      <c r="B63" s="3" t="str">
        <f>'Exptl Setup'!C116</f>
        <v>a</v>
      </c>
      <c r="C63" s="3">
        <f>'Exptl Setup'!D116</f>
        <v>32</v>
      </c>
      <c r="D63" s="3" t="str">
        <f>'Exptl Setup'!E116</f>
        <v>+</v>
      </c>
      <c r="E63" s="75">
        <f>'Exptl Setup'!K116</f>
        <v>16.000987810929029</v>
      </c>
      <c r="F63" s="63">
        <f>'Exptl Setup'!F116</f>
        <v>31.995000000000001</v>
      </c>
      <c r="G63" s="64">
        <f>'Exptl Setup'!$C$5</f>
        <v>1.2793390913194711</v>
      </c>
      <c r="H63" s="7">
        <f t="shared" si="76"/>
        <v>25.009006773177969</v>
      </c>
      <c r="I63" s="8">
        <f t="shared" si="77"/>
        <v>9.4373610464822519</v>
      </c>
      <c r="J63" s="8">
        <f t="shared" si="78"/>
        <v>6.9859932268220319</v>
      </c>
      <c r="K63" s="8">
        <f>'Exptl Setup'!H116+'Exptl Setup'!I116+'Exptl Setup'!J116+5</f>
        <v>23.003024686832862</v>
      </c>
      <c r="L63" s="8">
        <f t="shared" si="79"/>
        <v>29.989017913654894</v>
      </c>
      <c r="M63" s="44">
        <v>300</v>
      </c>
      <c r="N63" s="85">
        <f t="shared" si="80"/>
        <v>260.57362103986287</v>
      </c>
      <c r="O63" s="193">
        <f>10^(-'Pre-DEA characterisation'!V64)</f>
        <v>5.5590425727040397E-9</v>
      </c>
      <c r="P63" s="66">
        <v>60</v>
      </c>
      <c r="Q63" s="30">
        <v>1382.913</v>
      </c>
      <c r="R63" s="86">
        <f t="shared" si="47"/>
        <v>1049.6309670000001</v>
      </c>
      <c r="S63" s="86">
        <f t="shared" si="48"/>
        <v>85781.208194965438</v>
      </c>
      <c r="T63" s="86">
        <f t="shared" si="49"/>
        <v>2932.8448372068783</v>
      </c>
      <c r="U63" s="67">
        <f t="shared" si="50"/>
        <v>214550.98510432959</v>
      </c>
      <c r="V63" s="199">
        <f t="shared" si="13"/>
        <v>58513.905028453519</v>
      </c>
      <c r="W63" s="66">
        <v>120</v>
      </c>
      <c r="X63" s="30">
        <v>1554.749</v>
      </c>
      <c r="Y63" s="86">
        <f t="shared" si="51"/>
        <v>1180.0544910000001</v>
      </c>
      <c r="Z63" s="86">
        <f t="shared" si="52"/>
        <v>96440.085283683307</v>
      </c>
      <c r="AA63" s="86">
        <f t="shared" si="53"/>
        <v>3297.2700219048902</v>
      </c>
      <c r="AB63" s="67">
        <f t="shared" si="54"/>
        <v>241210.35057156262</v>
      </c>
      <c r="AC63" s="199">
        <f t="shared" si="38"/>
        <v>65784.641064971627</v>
      </c>
      <c r="AD63" s="66">
        <v>180</v>
      </c>
      <c r="AE63" s="30">
        <v>1686.3679999999999</v>
      </c>
      <c r="AF63" s="86">
        <f t="shared" si="55"/>
        <v>1279.9533119999999</v>
      </c>
      <c r="AG63" s="86">
        <f t="shared" si="56"/>
        <v>104604.32760508251</v>
      </c>
      <c r="AH63" s="86">
        <f t="shared" si="57"/>
        <v>3576.4040705603961</v>
      </c>
      <c r="AI63" s="67">
        <f t="shared" si="58"/>
        <v>261630.28017555558</v>
      </c>
      <c r="AJ63" s="199">
        <f t="shared" si="39"/>
        <v>71353.712775151522</v>
      </c>
      <c r="AK63" s="3">
        <v>240</v>
      </c>
      <c r="AL63" s="30">
        <v>1759.9469999999999</v>
      </c>
      <c r="AM63" s="86">
        <f t="shared" si="59"/>
        <v>1335.799773</v>
      </c>
      <c r="AN63" s="86">
        <f t="shared" si="60"/>
        <v>109168.38587756774</v>
      </c>
      <c r="AO63" s="86">
        <f t="shared" si="61"/>
        <v>3732.4484423154122</v>
      </c>
      <c r="AP63" s="67">
        <f t="shared" si="62"/>
        <v>273045.63814311498</v>
      </c>
      <c r="AQ63" s="199">
        <f t="shared" si="40"/>
        <v>74466.992220849541</v>
      </c>
      <c r="AR63" s="199">
        <f>(((AL63*$N63*10^-3)*$E$3*$E$4)/($E$5*$E$6*$H63))*1000*(12/44)+'post-DEA dissolved CO2'!N61</f>
        <v>29500.991158683843</v>
      </c>
      <c r="AS63" s="87">
        <f t="shared" si="63"/>
        <v>58513.905028453519</v>
      </c>
      <c r="AT63" s="87">
        <f t="shared" si="64"/>
        <v>65784.641064971627</v>
      </c>
      <c r="AU63" s="87">
        <f t="shared" si="65"/>
        <v>71353.712775151522</v>
      </c>
      <c r="AV63" s="87">
        <f t="shared" si="66"/>
        <v>74466.992220849541</v>
      </c>
      <c r="AW63" s="71">
        <f t="shared" si="67"/>
        <v>0.97042711654904934</v>
      </c>
      <c r="AX63" s="72">
        <f t="shared" si="68"/>
        <v>89.047222145613276</v>
      </c>
      <c r="AY63" s="88">
        <f t="shared" si="69"/>
        <v>5.3428333287367966</v>
      </c>
      <c r="AZ63" s="88"/>
      <c r="BA63" s="3">
        <v>32</v>
      </c>
      <c r="BB63" s="3" t="s">
        <v>81</v>
      </c>
      <c r="BC63" s="111">
        <v>16.000987810929029</v>
      </c>
      <c r="BD63" s="75">
        <f t="shared" si="28"/>
        <v>29500.991158683843</v>
      </c>
      <c r="BE63" s="160">
        <f t="shared" si="29"/>
        <v>0.39616198101826983</v>
      </c>
      <c r="BF63" s="3">
        <f t="shared" si="70"/>
        <v>23180.984533187046</v>
      </c>
      <c r="BG63" s="3">
        <f t="shared" si="71"/>
        <v>26061.373724874982</v>
      </c>
      <c r="BH63" s="3">
        <f t="shared" si="72"/>
        <v>28267.628206012654</v>
      </c>
      <c r="BI63" s="3">
        <f t="shared" si="73"/>
        <v>29500.991158683843</v>
      </c>
      <c r="BJ63" s="222">
        <v>74466.992220849541</v>
      </c>
      <c r="BK63" s="71">
        <f t="shared" si="74"/>
        <v>0.97042711654904912</v>
      </c>
      <c r="BL63" s="72">
        <f t="shared" si="75"/>
        <v>35.277123929380103</v>
      </c>
      <c r="BM63" s="88">
        <f t="shared" si="36"/>
        <v>2.1166274357628061</v>
      </c>
      <c r="BN63" s="227">
        <v>5.3428333287367966</v>
      </c>
      <c r="BO63" s="234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</row>
    <row r="64" spans="1:382">
      <c r="A64" s="3">
        <f>'Exptl Setup'!A117</f>
        <v>110</v>
      </c>
      <c r="B64" s="3" t="str">
        <f>'Exptl Setup'!C117</f>
        <v>b</v>
      </c>
      <c r="C64" s="3">
        <f>'Exptl Setup'!D117</f>
        <v>32</v>
      </c>
      <c r="D64" s="3" t="str">
        <f>'Exptl Setup'!E117</f>
        <v>+</v>
      </c>
      <c r="E64" s="75">
        <f>'Exptl Setup'!K117</f>
        <v>15.999487624560107</v>
      </c>
      <c r="F64" s="63">
        <f>'Exptl Setup'!F117</f>
        <v>31.998000000000001</v>
      </c>
      <c r="G64" s="64">
        <f>'Exptl Setup'!$C$5</f>
        <v>1.2793390913194711</v>
      </c>
      <c r="H64" s="7">
        <f t="shared" si="76"/>
        <v>25.011351733963078</v>
      </c>
      <c r="I64" s="8">
        <f t="shared" si="77"/>
        <v>9.4382459373445577</v>
      </c>
      <c r="J64" s="8">
        <f t="shared" si="78"/>
        <v>6.9866482660369229</v>
      </c>
      <c r="K64" s="8">
        <f>'Exptl Setup'!H117+'Exptl Setup'!I117+'Exptl Setup'!J117+5</f>
        <v>23.003024686832862</v>
      </c>
      <c r="L64" s="8">
        <f t="shared" si="79"/>
        <v>29.989672952869785</v>
      </c>
      <c r="M64" s="44">
        <v>300</v>
      </c>
      <c r="N64" s="85">
        <f t="shared" si="80"/>
        <v>260.57208110978564</v>
      </c>
      <c r="O64" s="193">
        <f>10^(-'Pre-DEA characterisation'!V65)</f>
        <v>5.5590425727040397E-9</v>
      </c>
      <c r="P64" s="66">
        <v>60</v>
      </c>
      <c r="Q64" s="30">
        <v>1745.78</v>
      </c>
      <c r="R64" s="86">
        <f t="shared" si="47"/>
        <v>1325.04702</v>
      </c>
      <c r="S64" s="86">
        <f t="shared" si="48"/>
        <v>108289.61593578683</v>
      </c>
      <c r="T64" s="86">
        <f t="shared" si="49"/>
        <v>3702.4716938659644</v>
      </c>
      <c r="U64" s="67">
        <f t="shared" si="50"/>
        <v>270827.3081546668</v>
      </c>
      <c r="V64" s="199">
        <f t="shared" si="13"/>
        <v>73861.993133090946</v>
      </c>
      <c r="W64" s="66">
        <v>120</v>
      </c>
      <c r="X64" s="30">
        <v>1963.317</v>
      </c>
      <c r="Y64" s="86">
        <f t="shared" si="51"/>
        <v>1490.1576030000001</v>
      </c>
      <c r="Z64" s="86">
        <f t="shared" si="52"/>
        <v>121783.29680154497</v>
      </c>
      <c r="AA64" s="86">
        <f t="shared" si="53"/>
        <v>4163.8268387688277</v>
      </c>
      <c r="AB64" s="67">
        <f t="shared" si="54"/>
        <v>304574.37830900575</v>
      </c>
      <c r="AC64" s="199">
        <f t="shared" si="38"/>
        <v>83065.739538819747</v>
      </c>
      <c r="AD64" s="66">
        <v>180</v>
      </c>
      <c r="AE64" s="30">
        <v>2098.5920000000001</v>
      </c>
      <c r="AF64" s="86">
        <f t="shared" si="55"/>
        <v>1592.831328</v>
      </c>
      <c r="AG64" s="86">
        <f t="shared" si="56"/>
        <v>130174.31846275862</v>
      </c>
      <c r="AH64" s="86">
        <f t="shared" si="57"/>
        <v>4450.7197224011979</v>
      </c>
      <c r="AI64" s="67">
        <f t="shared" si="58"/>
        <v>325559.93439890398</v>
      </c>
      <c r="AJ64" s="199">
        <f t="shared" si="39"/>
        <v>88789.073017882896</v>
      </c>
      <c r="AK64" s="3">
        <v>240</v>
      </c>
      <c r="AL64" s="30">
        <v>2183.1379999999999</v>
      </c>
      <c r="AM64" s="86">
        <f t="shared" si="59"/>
        <v>1657.0017419999999</v>
      </c>
      <c r="AN64" s="86">
        <f t="shared" si="60"/>
        <v>135418.65272532724</v>
      </c>
      <c r="AO64" s="86">
        <f t="shared" si="61"/>
        <v>4630.0259189606677</v>
      </c>
      <c r="AP64" s="67">
        <f t="shared" si="62"/>
        <v>338675.77121410659</v>
      </c>
      <c r="AQ64" s="199">
        <f t="shared" si="40"/>
        <v>92366.119422029064</v>
      </c>
      <c r="AR64" s="199">
        <f>(((AL64*$N64*10^-3)*$E$3*$E$4)/($E$5*$E$6*$H64))*1000*(12/44)+'post-DEA dissolved CO2'!N62</f>
        <v>34540.547005072811</v>
      </c>
      <c r="AS64" s="87">
        <f t="shared" si="63"/>
        <v>73861.993133090946</v>
      </c>
      <c r="AT64" s="87">
        <f t="shared" si="64"/>
        <v>83065.739538819747</v>
      </c>
      <c r="AU64" s="87">
        <f t="shared" si="65"/>
        <v>88789.073017882896</v>
      </c>
      <c r="AV64" s="87">
        <f t="shared" si="66"/>
        <v>92366.119422029064</v>
      </c>
      <c r="AW64" s="71">
        <f t="shared" si="67"/>
        <v>0.95905802711679944</v>
      </c>
      <c r="AX64" s="72">
        <f t="shared" si="68"/>
        <v>102.05952057646252</v>
      </c>
      <c r="AY64" s="88">
        <f t="shared" si="69"/>
        <v>6.1235712345877511</v>
      </c>
      <c r="AZ64" s="88"/>
      <c r="BA64" s="3">
        <v>32</v>
      </c>
      <c r="BB64" s="3" t="s">
        <v>81</v>
      </c>
      <c r="BC64" s="111">
        <v>15.999487624560107</v>
      </c>
      <c r="BD64" s="75">
        <f t="shared" si="28"/>
        <v>34540.547005072811</v>
      </c>
      <c r="BE64" s="160">
        <f t="shared" si="29"/>
        <v>0.37395256205637439</v>
      </c>
      <c r="BF64" s="3">
        <f t="shared" si="70"/>
        <v>27620.881570709691</v>
      </c>
      <c r="BG64" s="3">
        <f t="shared" si="71"/>
        <v>31062.646119649125</v>
      </c>
      <c r="BH64" s="3">
        <f t="shared" si="72"/>
        <v>33202.901337647811</v>
      </c>
      <c r="BI64" s="3">
        <f t="shared" si="73"/>
        <v>34540.547005072811</v>
      </c>
      <c r="BJ64" s="222">
        <v>92366.119422029064</v>
      </c>
      <c r="BK64" s="71">
        <f t="shared" si="74"/>
        <v>0.95905802711679899</v>
      </c>
      <c r="BL64" s="72">
        <f t="shared" si="75"/>
        <v>38.165419201813407</v>
      </c>
      <c r="BM64" s="88">
        <f t="shared" si="36"/>
        <v>2.2899251521088044</v>
      </c>
      <c r="BN64" s="227">
        <v>6.1235712345877511</v>
      </c>
      <c r="BO64" s="23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</row>
    <row r="65" spans="1:382">
      <c r="A65" s="3">
        <f>'Exptl Setup'!A118</f>
        <v>111</v>
      </c>
      <c r="B65" s="3" t="str">
        <f>'Exptl Setup'!C118</f>
        <v>c</v>
      </c>
      <c r="C65" s="3">
        <f>'Exptl Setup'!D118</f>
        <v>32</v>
      </c>
      <c r="D65" s="3" t="str">
        <f>'Exptl Setup'!E118</f>
        <v>+</v>
      </c>
      <c r="E65" s="75">
        <f>'Exptl Setup'!K118</f>
        <v>16.000487717548268</v>
      </c>
      <c r="F65" s="63">
        <f>'Exptl Setup'!F118</f>
        <v>31.995999999999999</v>
      </c>
      <c r="G65" s="64">
        <f>'Exptl Setup'!$C$5</f>
        <v>1.2793390913194711</v>
      </c>
      <c r="H65" s="7">
        <f t="shared" si="76"/>
        <v>25.009788426773003</v>
      </c>
      <c r="I65" s="8">
        <f t="shared" si="77"/>
        <v>9.4376560101030211</v>
      </c>
      <c r="J65" s="8">
        <f t="shared" si="78"/>
        <v>6.9862115732269956</v>
      </c>
      <c r="K65" s="8">
        <f>'Exptl Setup'!H118+'Exptl Setup'!I118+'Exptl Setup'!J118+5</f>
        <v>23.003024686832862</v>
      </c>
      <c r="L65" s="8">
        <f t="shared" si="79"/>
        <v>29.989236260059858</v>
      </c>
      <c r="M65" s="44">
        <v>300</v>
      </c>
      <c r="N65" s="85">
        <f t="shared" si="80"/>
        <v>260.57310772983715</v>
      </c>
      <c r="O65" s="193">
        <f>10^(-'Pre-DEA characterisation'!V66)</f>
        <v>5.5590425727040397E-9</v>
      </c>
      <c r="P65" s="66">
        <v>60</v>
      </c>
      <c r="Q65" s="30">
        <v>3417.067</v>
      </c>
      <c r="R65" s="86">
        <f t="shared" si="47"/>
        <v>2593.5538529999999</v>
      </c>
      <c r="S65" s="86">
        <f t="shared" si="48"/>
        <v>211958.47876413478</v>
      </c>
      <c r="T65" s="86">
        <f t="shared" si="49"/>
        <v>7246.8686644915897</v>
      </c>
      <c r="U65" s="67">
        <f t="shared" si="50"/>
        <v>530124.94792665041</v>
      </c>
      <c r="V65" s="199">
        <f t="shared" si="13"/>
        <v>144579.53125272284</v>
      </c>
      <c r="W65" s="66">
        <v>120</v>
      </c>
      <c r="X65" s="30">
        <v>3666.5940000000001</v>
      </c>
      <c r="Y65" s="86">
        <f t="shared" si="51"/>
        <v>2782.9448459999999</v>
      </c>
      <c r="Z65" s="86">
        <f t="shared" si="52"/>
        <v>227436.47885326922</v>
      </c>
      <c r="AA65" s="86">
        <f t="shared" si="53"/>
        <v>7776.0620918503728</v>
      </c>
      <c r="AB65" s="67">
        <f t="shared" si="54"/>
        <v>568836.6524034118</v>
      </c>
      <c r="AC65" s="199">
        <f t="shared" si="38"/>
        <v>155137.2688372941</v>
      </c>
      <c r="AD65" s="66">
        <v>180</v>
      </c>
      <c r="AE65" s="30">
        <v>3716.4079999999999</v>
      </c>
      <c r="AF65" s="86">
        <f t="shared" si="55"/>
        <v>2820.7536719999998</v>
      </c>
      <c r="AG65" s="86">
        <f t="shared" si="56"/>
        <v>230526.40938760072</v>
      </c>
      <c r="AH65" s="86">
        <f t="shared" si="57"/>
        <v>7881.7069374600669</v>
      </c>
      <c r="AI65" s="67">
        <f t="shared" si="58"/>
        <v>576564.81347137375</v>
      </c>
      <c r="AJ65" s="199">
        <f t="shared" si="39"/>
        <v>157244.9491285565</v>
      </c>
      <c r="AK65" s="3">
        <v>240</v>
      </c>
      <c r="AL65" s="30">
        <v>3810.0949999999998</v>
      </c>
      <c r="AM65" s="86">
        <f t="shared" si="59"/>
        <v>2891.8621049999997</v>
      </c>
      <c r="AN65" s="86">
        <f t="shared" si="60"/>
        <v>236337.75402906528</v>
      </c>
      <c r="AO65" s="86">
        <f t="shared" si="61"/>
        <v>8080.3970376454663</v>
      </c>
      <c r="AP65" s="67">
        <f t="shared" si="62"/>
        <v>591099.44682693994</v>
      </c>
      <c r="AQ65" s="199">
        <f t="shared" si="40"/>
        <v>161208.9400437109</v>
      </c>
      <c r="AR65" s="199">
        <f>(((AL65*$N65*10^-3)*$E$3*$E$4)/($E$5*$E$6*$H65))*1000*(12/44)+'post-DEA dissolved CO2'!N63</f>
        <v>59962.123925974622</v>
      </c>
      <c r="AS65" s="87">
        <f t="shared" si="63"/>
        <v>144579.53125272284</v>
      </c>
      <c r="AT65" s="87">
        <f t="shared" si="64"/>
        <v>155137.2688372941</v>
      </c>
      <c r="AU65" s="87">
        <f t="shared" si="65"/>
        <v>157244.9491285565</v>
      </c>
      <c r="AV65" s="87">
        <f t="shared" si="66"/>
        <v>161208.9400437109</v>
      </c>
      <c r="AW65" s="71">
        <f t="shared" si="67"/>
        <v>0.8930990644460588</v>
      </c>
      <c r="AX65" s="72">
        <f t="shared" si="68"/>
        <v>86.65984444037764</v>
      </c>
      <c r="AY65" s="88">
        <f t="shared" si="69"/>
        <v>5.199590666422659</v>
      </c>
      <c r="AZ65" s="88"/>
      <c r="BA65" s="3">
        <v>32</v>
      </c>
      <c r="BB65" s="3" t="s">
        <v>81</v>
      </c>
      <c r="BC65" s="111">
        <v>16.000487717548268</v>
      </c>
      <c r="BD65" s="75">
        <f t="shared" si="28"/>
        <v>59962.123925974622</v>
      </c>
      <c r="BE65" s="160">
        <f t="shared" si="29"/>
        <v>0.37195284523126465</v>
      </c>
      <c r="BF65" s="3">
        <f t="shared" si="70"/>
        <v>53776.768011652806</v>
      </c>
      <c r="BG65" s="3">
        <f t="shared" si="71"/>
        <v>57703.74854543915</v>
      </c>
      <c r="BH65" s="3">
        <f t="shared" si="72"/>
        <v>58487.706226612063</v>
      </c>
      <c r="BI65" s="3">
        <f t="shared" si="73"/>
        <v>59962.123925974622</v>
      </c>
      <c r="BJ65" s="222">
        <v>161208.9400437109</v>
      </c>
      <c r="BK65" s="71">
        <f t="shared" si="74"/>
        <v>0.89309906444605813</v>
      </c>
      <c r="BL65" s="72">
        <f t="shared" si="75"/>
        <v>32.233375706897263</v>
      </c>
      <c r="BM65" s="88">
        <f t="shared" si="36"/>
        <v>1.9340025424138356</v>
      </c>
      <c r="BN65" s="227">
        <v>5.199590666422659</v>
      </c>
      <c r="BO65" s="234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</row>
    <row r="66" spans="1:382">
      <c r="A66" s="3">
        <f>'Exptl Setup'!A122</f>
        <v>115</v>
      </c>
      <c r="B66" s="3" t="str">
        <f>'Exptl Setup'!C122</f>
        <v>a</v>
      </c>
      <c r="C66" s="3">
        <f>'Exptl Setup'!D122</f>
        <v>32</v>
      </c>
      <c r="D66" s="3" t="str">
        <f>'Exptl Setup'!E122</f>
        <v>+</v>
      </c>
      <c r="E66" s="75">
        <f>'Exptl Setup'!K122</f>
        <v>19.994985354267858</v>
      </c>
      <c r="F66" s="63">
        <f>'Exptl Setup'!F122</f>
        <v>32.005000000000003</v>
      </c>
      <c r="G66" s="64">
        <f>'Exptl Setup'!$C$5</f>
        <v>1.2793390913194711</v>
      </c>
      <c r="H66" s="7">
        <f t="shared" si="76"/>
        <v>25.016823309128331</v>
      </c>
      <c r="I66" s="8">
        <f t="shared" si="77"/>
        <v>9.4403106826899368</v>
      </c>
      <c r="J66" s="8">
        <f t="shared" si="78"/>
        <v>6.988176690871672</v>
      </c>
      <c r="K66" s="8">
        <f>'Exptl Setup'!H122+'Exptl Setup'!I122+'Exptl Setup'!J122+5</f>
        <v>23.003024686832859</v>
      </c>
      <c r="L66" s="8">
        <f t="shared" si="79"/>
        <v>29.991201377704531</v>
      </c>
      <c r="M66" s="44">
        <v>300</v>
      </c>
      <c r="N66" s="85">
        <f t="shared" si="80"/>
        <v>260.56848793960552</v>
      </c>
      <c r="O66" s="193">
        <f>10^(-'Pre-DEA characterisation'!V67)</f>
        <v>1.7782794100389197E-9</v>
      </c>
      <c r="P66" s="66">
        <v>60</v>
      </c>
      <c r="Q66" s="30">
        <v>153.55500000000001</v>
      </c>
      <c r="R66" s="86">
        <f t="shared" si="47"/>
        <v>116.54824500000001</v>
      </c>
      <c r="S66" s="86">
        <f t="shared" si="48"/>
        <v>30051.000105336101</v>
      </c>
      <c r="T66" s="86">
        <f t="shared" si="49"/>
        <v>941.27718992612131</v>
      </c>
      <c r="U66" s="67">
        <f t="shared" si="50"/>
        <v>68837.207365763243</v>
      </c>
      <c r="V66" s="199">
        <f t="shared" si="13"/>
        <v>18773.783827026338</v>
      </c>
      <c r="W66" s="66">
        <v>120</v>
      </c>
      <c r="X66" s="30">
        <v>137.10300000000001</v>
      </c>
      <c r="Y66" s="86">
        <f t="shared" si="51"/>
        <v>104.061177</v>
      </c>
      <c r="Z66" s="86">
        <f t="shared" si="52"/>
        <v>26831.312998221452</v>
      </c>
      <c r="AA66" s="86">
        <f t="shared" si="53"/>
        <v>840.42803275986444</v>
      </c>
      <c r="AB66" s="67">
        <f t="shared" si="54"/>
        <v>61461.936384150533</v>
      </c>
      <c r="AC66" s="199">
        <f t="shared" si="38"/>
        <v>16762.346286586511</v>
      </c>
      <c r="AD66" s="66">
        <v>180</v>
      </c>
      <c r="AE66" s="30">
        <v>186.46</v>
      </c>
      <c r="AF66" s="86">
        <f t="shared" si="55"/>
        <v>141.52314000000001</v>
      </c>
      <c r="AG66" s="86">
        <f t="shared" si="56"/>
        <v>36490.570021431864</v>
      </c>
      <c r="AH66" s="86">
        <f t="shared" si="57"/>
        <v>1142.98163416121</v>
      </c>
      <c r="AI66" s="67">
        <f t="shared" si="58"/>
        <v>83588.197619225786</v>
      </c>
      <c r="AJ66" s="199">
        <f t="shared" si="39"/>
        <v>22796.781168879763</v>
      </c>
      <c r="AK66" s="3">
        <v>240</v>
      </c>
      <c r="AL66" s="30">
        <v>143.04400000000001</v>
      </c>
      <c r="AM66" s="86">
        <f t="shared" si="59"/>
        <v>108.57039600000002</v>
      </c>
      <c r="AN66" s="86">
        <f t="shared" si="60"/>
        <v>27993.977786901745</v>
      </c>
      <c r="AO66" s="86">
        <f t="shared" si="61"/>
        <v>876.84578395879055</v>
      </c>
      <c r="AP66" s="67">
        <f t="shared" si="62"/>
        <v>64125.228683066242</v>
      </c>
      <c r="AQ66" s="199">
        <f t="shared" si="40"/>
        <v>17488.698731745339</v>
      </c>
      <c r="AR66" s="199">
        <f>(((AL66*$N66*10^-3)*$E$3*$E$4)/($E$5*$E$6*$H66))*1000*(12/44)+'post-DEA dissolved CO2'!N64</f>
        <v>8184.964426949713</v>
      </c>
      <c r="AS66" s="87">
        <f t="shared" si="63"/>
        <v>18773.783827026338</v>
      </c>
      <c r="AT66" s="87">
        <f t="shared" si="64"/>
        <v>16762.346286586511</v>
      </c>
      <c r="AU66" s="87">
        <f t="shared" si="65"/>
        <v>22796.781168879763</v>
      </c>
      <c r="AV66" s="87">
        <f t="shared" si="66"/>
        <v>17488.698731745339</v>
      </c>
      <c r="AW66" s="71">
        <f t="shared" si="67"/>
        <v>1.0916890873725238E-2</v>
      </c>
      <c r="AX66" s="72">
        <f t="shared" si="68"/>
        <v>3.6319659940837541</v>
      </c>
      <c r="AY66" s="88">
        <f t="shared" si="69"/>
        <v>0.21791795964502522</v>
      </c>
      <c r="AZ66" s="88"/>
      <c r="BA66" s="3">
        <v>32</v>
      </c>
      <c r="BB66" s="3" t="s">
        <v>81</v>
      </c>
      <c r="BC66" s="111">
        <v>19.994985354267858</v>
      </c>
      <c r="BD66" s="75">
        <f t="shared" si="28"/>
        <v>8184.964426949713</v>
      </c>
      <c r="BE66" s="160">
        <f t="shared" si="29"/>
        <v>0.46801449052881416</v>
      </c>
      <c r="BF66" s="3">
        <f t="shared" si="70"/>
        <v>8786.4028731038234</v>
      </c>
      <c r="BG66" s="3">
        <f t="shared" si="71"/>
        <v>7845.0209573843458</v>
      </c>
      <c r="BH66" s="3">
        <f t="shared" si="72"/>
        <v>10669.223924450127</v>
      </c>
      <c r="BI66" s="3">
        <f t="shared" si="73"/>
        <v>8184.964426949713</v>
      </c>
      <c r="BJ66" s="222">
        <v>17488.698731745339</v>
      </c>
      <c r="BK66" s="71">
        <f t="shared" si="74"/>
        <v>1.0916890873725204E-2</v>
      </c>
      <c r="BL66" s="72">
        <f t="shared" si="75"/>
        <v>1.6998127143390835</v>
      </c>
      <c r="BM66" s="88">
        <f t="shared" si="36"/>
        <v>0.10198876286034501</v>
      </c>
      <c r="BN66" s="227">
        <v>0.21791795964502522</v>
      </c>
      <c r="BO66" s="234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</row>
    <row r="67" spans="1:382">
      <c r="A67" s="3">
        <f>'Exptl Setup'!A123</f>
        <v>116</v>
      </c>
      <c r="B67" s="3" t="str">
        <f>'Exptl Setup'!C123</f>
        <v>b</v>
      </c>
      <c r="C67" s="3">
        <f>'Exptl Setup'!D123</f>
        <v>32</v>
      </c>
      <c r="D67" s="3" t="str">
        <f>'Exptl Setup'!E123</f>
        <v>+</v>
      </c>
      <c r="E67" s="75">
        <f>'Exptl Setup'!K123</f>
        <v>19.999984569282837</v>
      </c>
      <c r="F67" s="63">
        <f>'Exptl Setup'!F123</f>
        <v>31.997</v>
      </c>
      <c r="G67" s="64">
        <f>'Exptl Setup'!$C$5</f>
        <v>1.2793390913194711</v>
      </c>
      <c r="H67" s="7">
        <f t="shared" si="76"/>
        <v>25.010570080368041</v>
      </c>
      <c r="I67" s="8">
        <f t="shared" si="77"/>
        <v>9.4379509737237886</v>
      </c>
      <c r="J67" s="8">
        <f t="shared" si="78"/>
        <v>6.9864299196319593</v>
      </c>
      <c r="K67" s="8">
        <f>'Exptl Setup'!H123+'Exptl Setup'!I123+'Exptl Setup'!J123+5</f>
        <v>23.003024686832859</v>
      </c>
      <c r="L67" s="8">
        <f t="shared" si="79"/>
        <v>29.989454606464818</v>
      </c>
      <c r="M67" s="44">
        <v>300</v>
      </c>
      <c r="N67" s="85">
        <f t="shared" si="80"/>
        <v>260.57259441981137</v>
      </c>
      <c r="O67" s="193">
        <f>10^(-'Pre-DEA characterisation'!V68)</f>
        <v>1.7782794100389197E-9</v>
      </c>
      <c r="P67" s="66">
        <v>60</v>
      </c>
      <c r="Q67" s="30">
        <v>291.11599999999999</v>
      </c>
      <c r="R67" s="86">
        <f t="shared" si="47"/>
        <v>220.957044</v>
      </c>
      <c r="S67" s="86">
        <f t="shared" si="48"/>
        <v>56971.944558399424</v>
      </c>
      <c r="T67" s="86">
        <f t="shared" si="49"/>
        <v>1784.4143965732678</v>
      </c>
      <c r="U67" s="67">
        <f t="shared" si="50"/>
        <v>130529.89763638678</v>
      </c>
      <c r="V67" s="199">
        <f t="shared" si="13"/>
        <v>35599.062991741848</v>
      </c>
      <c r="W67" s="66">
        <v>120</v>
      </c>
      <c r="X67" s="30">
        <v>132.99</v>
      </c>
      <c r="Y67" s="86">
        <f t="shared" si="51"/>
        <v>100.93941000000001</v>
      </c>
      <c r="Z67" s="86">
        <f t="shared" si="52"/>
        <v>26026.391221442795</v>
      </c>
      <c r="AA67" s="86">
        <f t="shared" si="53"/>
        <v>815.1708274374439</v>
      </c>
      <c r="AB67" s="67">
        <f t="shared" si="54"/>
        <v>59629.738958570051</v>
      </c>
      <c r="AC67" s="199">
        <f t="shared" si="38"/>
        <v>16262.656079610013</v>
      </c>
      <c r="AD67" s="66">
        <v>180</v>
      </c>
      <c r="AE67" s="30">
        <v>152.64099999999999</v>
      </c>
      <c r="AF67" s="86">
        <f t="shared" si="55"/>
        <v>115.854519</v>
      </c>
      <c r="AG67" s="86">
        <f t="shared" si="56"/>
        <v>29872.128599385287</v>
      </c>
      <c r="AH67" s="86">
        <f t="shared" si="57"/>
        <v>935.62290601457903</v>
      </c>
      <c r="AI67" s="67">
        <f t="shared" si="58"/>
        <v>68440.807462027893</v>
      </c>
      <c r="AJ67" s="199">
        <f t="shared" si="39"/>
        <v>18665.674762371244</v>
      </c>
      <c r="AK67" s="3">
        <v>240</v>
      </c>
      <c r="AL67" s="30">
        <v>180.06200000000001</v>
      </c>
      <c r="AM67" s="86">
        <f t="shared" si="59"/>
        <v>136.667058</v>
      </c>
      <c r="AN67" s="86">
        <f t="shared" si="60"/>
        <v>35238.469479776162</v>
      </c>
      <c r="AO67" s="86">
        <f t="shared" si="61"/>
        <v>1103.7017033614634</v>
      </c>
      <c r="AP67" s="67">
        <f t="shared" si="62"/>
        <v>80735.770030513857</v>
      </c>
      <c r="AQ67" s="199">
        <f t="shared" si="40"/>
        <v>22018.846371958323</v>
      </c>
      <c r="AR67" s="199">
        <f>(((AL67*$N67*10^-3)*$E$3*$E$4)/($E$5*$E$6*$H67))*1000*(12/44)+'post-DEA dissolved CO2'!N65</f>
        <v>9359.6986534928183</v>
      </c>
      <c r="AS67" s="87">
        <f t="shared" si="63"/>
        <v>35599.062991741848</v>
      </c>
      <c r="AT67" s="87">
        <f t="shared" si="64"/>
        <v>16262.656079610013</v>
      </c>
      <c r="AU67" s="87">
        <f t="shared" si="65"/>
        <v>18665.674762371244</v>
      </c>
      <c r="AV67" s="87">
        <f t="shared" si="66"/>
        <v>22018.846371958323</v>
      </c>
      <c r="AW67" s="71">
        <f t="shared" si="67"/>
        <v>0.32836386568745629</v>
      </c>
      <c r="AX67" s="72">
        <f t="shared" si="68"/>
        <v>-63.896051960982255</v>
      </c>
      <c r="AY67" s="88">
        <f t="shared" si="69"/>
        <v>-3.8337631176589353</v>
      </c>
      <c r="AZ67" s="88"/>
      <c r="BA67" s="3">
        <v>32</v>
      </c>
      <c r="BB67" s="3" t="s">
        <v>81</v>
      </c>
      <c r="BC67" s="111">
        <v>19.999984569282837</v>
      </c>
      <c r="BD67" s="206">
        <f t="shared" si="28"/>
        <v>9359.6986534928183</v>
      </c>
      <c r="BE67" s="216">
        <f t="shared" si="29"/>
        <v>0.42507670453674096</v>
      </c>
      <c r="BF67" s="74">
        <f t="shared" si="70"/>
        <v>15132.33238112548</v>
      </c>
      <c r="BG67" s="74">
        <f t="shared" si="71"/>
        <v>6912.8762533350191</v>
      </c>
      <c r="BH67" s="74">
        <f t="shared" si="72"/>
        <v>7934.3435159433839</v>
      </c>
      <c r="BI67" s="74">
        <f t="shared" si="73"/>
        <v>9359.6986534928183</v>
      </c>
      <c r="BJ67" s="222">
        <v>22018.846371958323</v>
      </c>
      <c r="BK67" s="207">
        <f t="shared" si="74"/>
        <v>0.32836386568745607</v>
      </c>
      <c r="BL67" s="208">
        <f t="shared" si="75"/>
        <v>-27.160723200482696</v>
      </c>
      <c r="BM67" s="209">
        <f t="shared" si="36"/>
        <v>-1.6296433920289617</v>
      </c>
      <c r="BN67" s="227">
        <v>-3.8337631176589353</v>
      </c>
      <c r="BO67" s="234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</row>
    <row r="68" spans="1:382">
      <c r="A68" s="3">
        <f>'Exptl Setup'!A124</f>
        <v>117</v>
      </c>
      <c r="B68" s="3" t="str">
        <f>'Exptl Setup'!C124</f>
        <v>c</v>
      </c>
      <c r="C68" s="3">
        <f>'Exptl Setup'!D124</f>
        <v>32</v>
      </c>
      <c r="D68" s="3" t="str">
        <f>'Exptl Setup'!E124</f>
        <v>+</v>
      </c>
      <c r="E68" s="75">
        <f>'Exptl Setup'!K124</f>
        <v>20.000609646935334</v>
      </c>
      <c r="F68" s="63">
        <f>'Exptl Setup'!F124</f>
        <v>31.995999999999999</v>
      </c>
      <c r="G68" s="64">
        <f>'Exptl Setup'!$C$5</f>
        <v>1.2793390913194711</v>
      </c>
      <c r="H68" s="7">
        <f t="shared" si="76"/>
        <v>25.009788426773003</v>
      </c>
      <c r="I68" s="8">
        <f t="shared" si="77"/>
        <v>9.4376560101030211</v>
      </c>
      <c r="J68" s="8">
        <f t="shared" si="78"/>
        <v>6.9862115732269956</v>
      </c>
      <c r="K68" s="8">
        <f>'Exptl Setup'!H124+'Exptl Setup'!I124+'Exptl Setup'!J124+5</f>
        <v>23.003024686832859</v>
      </c>
      <c r="L68" s="8">
        <f t="shared" si="79"/>
        <v>29.989236260059855</v>
      </c>
      <c r="M68" s="44">
        <v>300</v>
      </c>
      <c r="N68" s="85">
        <f t="shared" si="80"/>
        <v>260.57310772983715</v>
      </c>
      <c r="O68" s="193">
        <f>10^(-'Pre-DEA characterisation'!V69)</f>
        <v>1.7782794100389197E-9</v>
      </c>
      <c r="P68" s="66">
        <v>60</v>
      </c>
      <c r="Q68" s="30">
        <v>123.393</v>
      </c>
      <c r="R68" s="86">
        <f t="shared" si="47"/>
        <v>93.655287000000001</v>
      </c>
      <c r="S68" s="86">
        <f t="shared" si="48"/>
        <v>24148.240408959249</v>
      </c>
      <c r="T68" s="86">
        <f t="shared" si="49"/>
        <v>756.34018437111126</v>
      </c>
      <c r="U68" s="67">
        <f t="shared" si="50"/>
        <v>55328.007090728453</v>
      </c>
      <c r="V68" s="199">
        <f t="shared" si="13"/>
        <v>15089.45647928958</v>
      </c>
      <c r="W68" s="66">
        <v>120</v>
      </c>
      <c r="X68" s="30">
        <v>137.10300000000001</v>
      </c>
      <c r="Y68" s="86">
        <f t="shared" si="51"/>
        <v>104.061177</v>
      </c>
      <c r="Z68" s="86">
        <f t="shared" si="52"/>
        <v>26831.312998221452</v>
      </c>
      <c r="AA68" s="86">
        <f t="shared" si="53"/>
        <v>840.37593946036191</v>
      </c>
      <c r="AB68" s="67">
        <f t="shared" si="54"/>
        <v>61475.413971296119</v>
      </c>
      <c r="AC68" s="199">
        <f t="shared" si="38"/>
        <v>16766.021992171671</v>
      </c>
      <c r="AD68" s="66">
        <v>180</v>
      </c>
      <c r="AE68" s="30">
        <v>220.279</v>
      </c>
      <c r="AF68" s="86">
        <f t="shared" si="55"/>
        <v>167.19176099999999</v>
      </c>
      <c r="AG68" s="86">
        <f t="shared" si="56"/>
        <v>43109.011443478426</v>
      </c>
      <c r="AH68" s="86">
        <f t="shared" si="57"/>
        <v>1350.2051127137192</v>
      </c>
      <c r="AI68" s="67">
        <f t="shared" si="58"/>
        <v>98770.579157152926</v>
      </c>
      <c r="AJ68" s="199">
        <f t="shared" si="39"/>
        <v>26937.430679223526</v>
      </c>
      <c r="AK68" s="3">
        <v>240</v>
      </c>
      <c r="AL68" s="30">
        <v>116.995</v>
      </c>
      <c r="AM68" s="86">
        <f t="shared" si="59"/>
        <v>88.799205000000001</v>
      </c>
      <c r="AN68" s="86">
        <f t="shared" si="60"/>
        <v>22896.139867303551</v>
      </c>
      <c r="AO68" s="86">
        <f t="shared" si="61"/>
        <v>717.12349866279396</v>
      </c>
      <c r="AP68" s="67">
        <f t="shared" si="62"/>
        <v>52459.2172131302</v>
      </c>
      <c r="AQ68" s="199">
        <f t="shared" si="40"/>
        <v>14307.0592399446</v>
      </c>
      <c r="AR68" s="199">
        <f>(((AL68*$N68*10^-3)*$E$3*$E$4)/($E$5*$E$6*$H68))*1000*(12/44)+'post-DEA dissolved CO2'!N66</f>
        <v>9098.5840155002625</v>
      </c>
      <c r="AS68" s="87">
        <f t="shared" si="63"/>
        <v>15089.45647928958</v>
      </c>
      <c r="AT68" s="87">
        <f t="shared" si="64"/>
        <v>16766.021992171671</v>
      </c>
      <c r="AU68" s="87">
        <f t="shared" si="65"/>
        <v>26937.430679223526</v>
      </c>
      <c r="AV68" s="87">
        <f t="shared" si="66"/>
        <v>14307.0592399446</v>
      </c>
      <c r="AW68" s="71">
        <f t="shared" si="67"/>
        <v>2.9658062987423944E-2</v>
      </c>
      <c r="AX68" s="72">
        <f t="shared" si="68"/>
        <v>13.040361615028193</v>
      </c>
      <c r="AY68" s="88">
        <f t="shared" si="69"/>
        <v>0.78242169690169161</v>
      </c>
      <c r="AZ68" s="88"/>
      <c r="BA68" s="3">
        <v>32</v>
      </c>
      <c r="BB68" s="3" t="s">
        <v>81</v>
      </c>
      <c r="BC68" s="111">
        <v>20.000609646935334</v>
      </c>
      <c r="BD68" s="75">
        <f t="shared" si="28"/>
        <v>9098.5840155002625</v>
      </c>
      <c r="BE68" s="160">
        <f t="shared" si="29"/>
        <v>0.63595067741786293</v>
      </c>
      <c r="BF68" s="3">
        <f t="shared" si="70"/>
        <v>9596.1500698715699</v>
      </c>
      <c r="BG68" s="3">
        <f t="shared" si="71"/>
        <v>10662.363043524361</v>
      </c>
      <c r="BH68" s="3">
        <f t="shared" si="72"/>
        <v>17130.877288348926</v>
      </c>
      <c r="BI68" s="3">
        <f t="shared" si="73"/>
        <v>9098.5840155002625</v>
      </c>
      <c r="BJ68" s="222">
        <v>14307.0592399446</v>
      </c>
      <c r="BK68" s="71">
        <f t="shared" si="74"/>
        <v>2.9658062987423895E-2</v>
      </c>
      <c r="BL68" s="72">
        <f t="shared" si="75"/>
        <v>8.2930268028510721</v>
      </c>
      <c r="BM68" s="88">
        <f t="shared" si="36"/>
        <v>0.49758160817106434</v>
      </c>
      <c r="BN68" s="227">
        <v>0.78242169690169161</v>
      </c>
      <c r="BO68" s="234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</row>
    <row r="69" spans="1:382">
      <c r="A69" s="3">
        <f>'Exptl Setup'!A128</f>
        <v>121</v>
      </c>
      <c r="B69" s="3" t="str">
        <f>'Exptl Setup'!C128</f>
        <v>a</v>
      </c>
      <c r="C69" s="3">
        <f>'Exptl Setup'!D128</f>
        <v>32</v>
      </c>
      <c r="D69" s="3" t="str">
        <f>'Exptl Setup'!E128</f>
        <v>-</v>
      </c>
      <c r="E69" s="75">
        <f>'Exptl Setup'!K128</f>
        <v>0</v>
      </c>
      <c r="F69" s="63">
        <f>'Exptl Setup'!F128</f>
        <v>31.995999999999999</v>
      </c>
      <c r="G69" s="64">
        <f>'Exptl Setup'!$C$5</f>
        <v>1.2793390913194711</v>
      </c>
      <c r="H69" s="7">
        <f t="shared" si="76"/>
        <v>25.009788426773003</v>
      </c>
      <c r="I69" s="8">
        <f t="shared" si="77"/>
        <v>9.4376560101030211</v>
      </c>
      <c r="J69" s="8">
        <f t="shared" si="78"/>
        <v>6.9862115732269956</v>
      </c>
      <c r="K69" s="8">
        <f>'Exptl Setup'!H128+'Exptl Setup'!I128+'Exptl Setup'!J128+5</f>
        <v>23.003024686832859</v>
      </c>
      <c r="L69" s="8">
        <f t="shared" si="79"/>
        <v>29.989236260059855</v>
      </c>
      <c r="M69" s="44">
        <v>300</v>
      </c>
      <c r="N69" s="85">
        <f t="shared" si="80"/>
        <v>260.57310772983715</v>
      </c>
      <c r="O69" s="193">
        <f>10^(-'Pre-DEA characterisation'!V70)</f>
        <v>2.0417379446695301E-5</v>
      </c>
      <c r="P69" s="66">
        <v>60</v>
      </c>
      <c r="Q69" s="30">
        <v>445.12799999999999</v>
      </c>
      <c r="R69" s="86">
        <f t="shared" si="47"/>
        <v>337.85215199999999</v>
      </c>
      <c r="S69" s="86">
        <f t="shared" si="48"/>
        <v>345.21570976619506</v>
      </c>
      <c r="T69" s="86">
        <f t="shared" si="49"/>
        <v>126.34114177842963</v>
      </c>
      <c r="U69" s="67">
        <f t="shared" si="50"/>
        <v>9242.1422695925703</v>
      </c>
      <c r="V69" s="199">
        <f t="shared" si="13"/>
        <v>2520.5842553434281</v>
      </c>
      <c r="W69" s="66">
        <v>120</v>
      </c>
      <c r="X69" s="30">
        <v>568.06399999999996</v>
      </c>
      <c r="Y69" s="86">
        <f t="shared" si="51"/>
        <v>431.16057599999999</v>
      </c>
      <c r="Z69" s="86">
        <f t="shared" si="52"/>
        <v>440.55781023126798</v>
      </c>
      <c r="AA69" s="86">
        <f t="shared" si="53"/>
        <v>161.2341941266823</v>
      </c>
      <c r="AB69" s="67">
        <f t="shared" si="54"/>
        <v>11794.648519602973</v>
      </c>
      <c r="AC69" s="199">
        <f t="shared" si="38"/>
        <v>3216.7223235280835</v>
      </c>
      <c r="AD69" s="66">
        <v>180</v>
      </c>
      <c r="AE69" s="30">
        <v>729.38900000000001</v>
      </c>
      <c r="AF69" s="86">
        <f t="shared" si="55"/>
        <v>553.60625100000004</v>
      </c>
      <c r="AG69" s="86">
        <f t="shared" si="56"/>
        <v>565.67221412864455</v>
      </c>
      <c r="AH69" s="86">
        <f t="shared" si="57"/>
        <v>207.02323614921329</v>
      </c>
      <c r="AI69" s="67">
        <f t="shared" si="58"/>
        <v>15144.221230468214</v>
      </c>
      <c r="AJ69" s="199">
        <f t="shared" si="39"/>
        <v>4130.2421537640585</v>
      </c>
      <c r="AK69" s="3">
        <v>240</v>
      </c>
      <c r="AL69" s="30">
        <v>934.58600000000001</v>
      </c>
      <c r="AM69" s="86">
        <f t="shared" si="59"/>
        <v>709.350774</v>
      </c>
      <c r="AN69" s="86">
        <f t="shared" si="60"/>
        <v>724.81122132858241</v>
      </c>
      <c r="AO69" s="86">
        <f t="shared" si="61"/>
        <v>265.26451342116297</v>
      </c>
      <c r="AP69" s="67">
        <f t="shared" si="62"/>
        <v>19404.703310439785</v>
      </c>
      <c r="AQ69" s="199">
        <f t="shared" si="40"/>
        <v>5292.1918119381235</v>
      </c>
      <c r="AR69" s="199">
        <f>(((AL69*$N69*10^-3)*$E$3*$E$4)/($E$5*$E$6*$H69))*1000*(12/44)+'post-DEA dissolved CO2'!N67</f>
        <v>7190.4972870839119</v>
      </c>
      <c r="AS69" s="87">
        <f t="shared" si="63"/>
        <v>2520.5842553434281</v>
      </c>
      <c r="AT69" s="87">
        <f t="shared" si="64"/>
        <v>3216.7223235280835</v>
      </c>
      <c r="AU69" s="87">
        <f t="shared" si="65"/>
        <v>4130.2421537640585</v>
      </c>
      <c r="AV69" s="87">
        <f t="shared" si="66"/>
        <v>5292.1918119381235</v>
      </c>
      <c r="AW69" s="71">
        <f t="shared" si="67"/>
        <v>0.98740998039994221</v>
      </c>
      <c r="AX69" s="72">
        <f t="shared" si="68"/>
        <v>15.380570833366768</v>
      </c>
      <c r="AY69" s="88">
        <f t="shared" si="69"/>
        <v>0.92283425000200614</v>
      </c>
      <c r="AZ69" s="88"/>
      <c r="BA69" s="3">
        <v>32</v>
      </c>
      <c r="BB69" s="3" t="s">
        <v>82</v>
      </c>
      <c r="BC69" s="111">
        <v>0</v>
      </c>
      <c r="BD69" s="75">
        <f t="shared" si="28"/>
        <v>7190.4972870839119</v>
      </c>
      <c r="BE69" s="160">
        <f t="shared" si="29"/>
        <v>0.73599802637354983</v>
      </c>
      <c r="BF69" s="3">
        <f t="shared" si="70"/>
        <v>3424.716052246757</v>
      </c>
      <c r="BG69" s="3">
        <f t="shared" si="71"/>
        <v>4370.5583551326836</v>
      </c>
      <c r="BH69" s="3">
        <f t="shared" si="72"/>
        <v>5611.7571049949902</v>
      </c>
      <c r="BI69" s="3">
        <f t="shared" si="73"/>
        <v>7190.4972870839119</v>
      </c>
      <c r="BJ69" s="222">
        <v>5292.1918119381235</v>
      </c>
      <c r="BK69" s="71">
        <f t="shared" si="74"/>
        <v>0.98740998039994199</v>
      </c>
      <c r="BL69" s="72">
        <f t="shared" si="75"/>
        <v>20.897570757289618</v>
      </c>
      <c r="BM69" s="88">
        <f t="shared" si="36"/>
        <v>1.2538542454373771</v>
      </c>
      <c r="BN69" s="227">
        <v>0.92283425000200614</v>
      </c>
      <c r="BO69" s="234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</row>
    <row r="70" spans="1:382">
      <c r="A70" s="3">
        <f>'Exptl Setup'!A129</f>
        <v>122</v>
      </c>
      <c r="B70" s="3" t="str">
        <f>'Exptl Setup'!C129</f>
        <v>b</v>
      </c>
      <c r="C70" s="3">
        <f>'Exptl Setup'!D129</f>
        <v>32</v>
      </c>
      <c r="D70" s="3" t="str">
        <f>'Exptl Setup'!E129</f>
        <v>-</v>
      </c>
      <c r="E70" s="75">
        <f>'Exptl Setup'!K129</f>
        <v>0</v>
      </c>
      <c r="F70" s="63">
        <f>'Exptl Setup'!F129</f>
        <v>32.003</v>
      </c>
      <c r="G70" s="64">
        <f>'Exptl Setup'!$C$5</f>
        <v>1.2793390913194711</v>
      </c>
      <c r="H70" s="7">
        <f t="shared" si="76"/>
        <v>25.015260001938255</v>
      </c>
      <c r="I70" s="8">
        <f t="shared" si="77"/>
        <v>9.4397207554483984</v>
      </c>
      <c r="J70" s="8">
        <f t="shared" si="78"/>
        <v>6.9877399980617447</v>
      </c>
      <c r="K70" s="8">
        <f>'Exptl Setup'!H129+'Exptl Setup'!I129+'Exptl Setup'!J129+5</f>
        <v>23.003024686832859</v>
      </c>
      <c r="L70" s="8">
        <f t="shared" si="79"/>
        <v>29.990764684894604</v>
      </c>
      <c r="M70" s="44">
        <v>300</v>
      </c>
      <c r="N70" s="85">
        <f t="shared" si="80"/>
        <v>260.56951455965702</v>
      </c>
      <c r="O70" s="193">
        <f>10^(-'Pre-DEA characterisation'!V71)</f>
        <v>2.0417379446695301E-5</v>
      </c>
      <c r="P70" s="66">
        <v>60</v>
      </c>
      <c r="Q70" s="30">
        <v>669.97699999999998</v>
      </c>
      <c r="R70" s="86">
        <f t="shared" si="47"/>
        <v>508.51254299999999</v>
      </c>
      <c r="S70" s="86">
        <f t="shared" si="48"/>
        <v>519.59567940463432</v>
      </c>
      <c r="T70" s="86">
        <f t="shared" si="49"/>
        <v>190.15865340844766</v>
      </c>
      <c r="U70" s="67">
        <f t="shared" si="50"/>
        <v>13907.495947950438</v>
      </c>
      <c r="V70" s="199">
        <f t="shared" si="13"/>
        <v>3792.9534403501193</v>
      </c>
      <c r="W70" s="66">
        <v>120</v>
      </c>
      <c r="X70" s="30">
        <v>812.10699999999997</v>
      </c>
      <c r="Y70" s="86">
        <f t="shared" si="51"/>
        <v>616.38921300000004</v>
      </c>
      <c r="Z70" s="86">
        <f t="shared" si="52"/>
        <v>629.82354381457787</v>
      </c>
      <c r="AA70" s="86">
        <f t="shared" si="53"/>
        <v>230.4992164560488</v>
      </c>
      <c r="AB70" s="67">
        <f t="shared" si="54"/>
        <v>16857.854540980043</v>
      </c>
      <c r="AC70" s="199">
        <f t="shared" si="38"/>
        <v>4597.5966929945571</v>
      </c>
      <c r="AD70" s="66">
        <v>180</v>
      </c>
      <c r="AE70" s="30">
        <v>965.66300000000001</v>
      </c>
      <c r="AF70" s="86">
        <f t="shared" si="55"/>
        <v>732.93821700000001</v>
      </c>
      <c r="AG70" s="86">
        <f t="shared" si="56"/>
        <v>748.9127575437924</v>
      </c>
      <c r="AH70" s="86">
        <f t="shared" si="57"/>
        <v>274.08280541923347</v>
      </c>
      <c r="AI70" s="67">
        <f t="shared" si="58"/>
        <v>20045.395975661348</v>
      </c>
      <c r="AJ70" s="199">
        <f t="shared" si="39"/>
        <v>5466.9261751803679</v>
      </c>
      <c r="AK70" s="3">
        <v>240</v>
      </c>
      <c r="AL70" s="30">
        <v>1141.155</v>
      </c>
      <c r="AM70" s="86">
        <f t="shared" si="59"/>
        <v>866.13664500000004</v>
      </c>
      <c r="AN70" s="86">
        <f t="shared" si="60"/>
        <v>885.01427292428787</v>
      </c>
      <c r="AO70" s="86">
        <f t="shared" si="61"/>
        <v>323.89245918937081</v>
      </c>
      <c r="AP70" s="67">
        <f t="shared" si="62"/>
        <v>23688.288610628992</v>
      </c>
      <c r="AQ70" s="199">
        <f t="shared" si="40"/>
        <v>6460.442348353361</v>
      </c>
      <c r="AR70" s="199">
        <f>(((AL70*$N70*10^-3)*$E$3*$E$4)/($E$5*$E$6*$H70))*1000*(12/44)+'post-DEA dissolved CO2'!N68</f>
        <v>8927.6694291048116</v>
      </c>
      <c r="AS70" s="87">
        <f t="shared" si="63"/>
        <v>3792.9534403501193</v>
      </c>
      <c r="AT70" s="87">
        <f t="shared" si="64"/>
        <v>4597.5966929945571</v>
      </c>
      <c r="AU70" s="87">
        <f t="shared" si="65"/>
        <v>5466.9261751803679</v>
      </c>
      <c r="AV70" s="87">
        <f t="shared" si="66"/>
        <v>6460.442348353361</v>
      </c>
      <c r="AW70" s="71">
        <f t="shared" si="67"/>
        <v>0.99769421151777893</v>
      </c>
      <c r="AX70" s="72">
        <f t="shared" si="68"/>
        <v>14.786327010325893</v>
      </c>
      <c r="AY70" s="88">
        <f t="shared" si="69"/>
        <v>0.88717962061955358</v>
      </c>
      <c r="AZ70" s="88"/>
      <c r="BA70" s="3">
        <v>32</v>
      </c>
      <c r="BB70" s="3" t="s">
        <v>82</v>
      </c>
      <c r="BC70" s="111">
        <v>0</v>
      </c>
      <c r="BD70" s="75">
        <f t="shared" si="28"/>
        <v>8927.6694291048116</v>
      </c>
      <c r="BE70" s="160">
        <f t="shared" si="29"/>
        <v>0.72364264824724334</v>
      </c>
      <c r="BF70" s="3">
        <f t="shared" si="70"/>
        <v>5241.4730523928438</v>
      </c>
      <c r="BG70" s="3">
        <f t="shared" si="71"/>
        <v>6353.4075888569232</v>
      </c>
      <c r="BH70" s="3">
        <f t="shared" si="72"/>
        <v>7554.7318672026513</v>
      </c>
      <c r="BI70" s="3">
        <f t="shared" si="73"/>
        <v>8927.6694291048116</v>
      </c>
      <c r="BJ70" s="222">
        <v>6460.442348353361</v>
      </c>
      <c r="BK70" s="71">
        <f t="shared" si="74"/>
        <v>0.99769421151777937</v>
      </c>
      <c r="BL70" s="72">
        <f t="shared" si="75"/>
        <v>20.433189014136055</v>
      </c>
      <c r="BM70" s="88">
        <f t="shared" si="36"/>
        <v>1.2259913408481631</v>
      </c>
      <c r="BN70" s="227">
        <v>0.88717962061955358</v>
      </c>
      <c r="BO70" s="234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</row>
    <row r="71" spans="1:382">
      <c r="A71" s="3">
        <f>'Exptl Setup'!A130</f>
        <v>123</v>
      </c>
      <c r="B71" s="3" t="str">
        <f>'Exptl Setup'!C130</f>
        <v>c</v>
      </c>
      <c r="C71" s="3">
        <f>'Exptl Setup'!D130</f>
        <v>32</v>
      </c>
      <c r="D71" s="3" t="str">
        <f>'Exptl Setup'!E130</f>
        <v>-</v>
      </c>
      <c r="E71" s="75">
        <f>'Exptl Setup'!K130</f>
        <v>0</v>
      </c>
      <c r="F71" s="63">
        <f>'Exptl Setup'!F130</f>
        <v>31.994</v>
      </c>
      <c r="G71" s="64">
        <f>'Exptl Setup'!$C$5</f>
        <v>1.2793390913194711</v>
      </c>
      <c r="H71" s="7">
        <f t="shared" si="76"/>
        <v>25.008225119582931</v>
      </c>
      <c r="I71" s="8">
        <f t="shared" si="77"/>
        <v>9.4370660828614845</v>
      </c>
      <c r="J71" s="8">
        <f t="shared" si="78"/>
        <v>6.9857748804170683</v>
      </c>
      <c r="K71" s="8">
        <f>'Exptl Setup'!H130+'Exptl Setup'!I130+'Exptl Setup'!J130+5</f>
        <v>23.003024686832859</v>
      </c>
      <c r="L71" s="8">
        <f t="shared" si="79"/>
        <v>29.988799567249927</v>
      </c>
      <c r="M71" s="44">
        <v>300</v>
      </c>
      <c r="N71" s="85">
        <f t="shared" si="80"/>
        <v>260.5741343498886</v>
      </c>
      <c r="O71" s="193">
        <f>10^(-'Pre-DEA characterisation'!V72)</f>
        <v>2.0417379446695301E-5</v>
      </c>
      <c r="P71" s="66">
        <v>60</v>
      </c>
      <c r="Q71" s="30">
        <v>515.05100000000004</v>
      </c>
      <c r="R71" s="86">
        <f t="shared" si="47"/>
        <v>390.92370900000003</v>
      </c>
      <c r="S71" s="86">
        <f t="shared" si="48"/>
        <v>399.44397236477727</v>
      </c>
      <c r="T71" s="86">
        <f t="shared" si="49"/>
        <v>146.1878136966379</v>
      </c>
      <c r="U71" s="67">
        <f t="shared" si="50"/>
        <v>10694.640020797351</v>
      </c>
      <c r="V71" s="199">
        <f t="shared" si="13"/>
        <v>2916.7200056720048</v>
      </c>
      <c r="W71" s="66">
        <v>120</v>
      </c>
      <c r="X71" s="30">
        <v>593.19899999999996</v>
      </c>
      <c r="Y71" s="86">
        <f t="shared" si="51"/>
        <v>450.23804099999995</v>
      </c>
      <c r="Z71" s="86">
        <f t="shared" si="52"/>
        <v>460.05107254002701</v>
      </c>
      <c r="AA71" s="86">
        <f t="shared" si="53"/>
        <v>168.36869532732075</v>
      </c>
      <c r="AB71" s="67">
        <f t="shared" si="54"/>
        <v>12317.32346058345</v>
      </c>
      <c r="AC71" s="199">
        <f t="shared" si="38"/>
        <v>3359.270034704577</v>
      </c>
      <c r="AD71" s="66">
        <v>180</v>
      </c>
      <c r="AE71" s="30">
        <v>736.24400000000003</v>
      </c>
      <c r="AF71" s="86">
        <f t="shared" si="55"/>
        <v>558.80919600000004</v>
      </c>
      <c r="AG71" s="86">
        <f t="shared" si="56"/>
        <v>570.98855839466978</v>
      </c>
      <c r="AH71" s="86">
        <f t="shared" si="57"/>
        <v>208.96940440319011</v>
      </c>
      <c r="AI71" s="67">
        <f t="shared" si="58"/>
        <v>15287.543461660933</v>
      </c>
      <c r="AJ71" s="199">
        <f t="shared" si="39"/>
        <v>4169.3300349984356</v>
      </c>
      <c r="AK71" s="3">
        <v>240</v>
      </c>
      <c r="AL71" s="30">
        <v>886.14300000000003</v>
      </c>
      <c r="AM71" s="86">
        <f t="shared" si="59"/>
        <v>672.582537</v>
      </c>
      <c r="AN71" s="86">
        <f t="shared" si="60"/>
        <v>687.2416129727751</v>
      </c>
      <c r="AO71" s="86">
        <f t="shared" si="61"/>
        <v>251.51549612092745</v>
      </c>
      <c r="AP71" s="67">
        <f t="shared" si="62"/>
        <v>18400.081529692066</v>
      </c>
      <c r="AQ71" s="199">
        <f t="shared" si="40"/>
        <v>5018.204053552382</v>
      </c>
      <c r="AR71" s="199">
        <f>(((AL71*$N71*10^-3)*$E$3*$E$4)/($E$5*$E$6*$H71))*1000*(12/44)+'post-DEA dissolved CO2'!N69</f>
        <v>6921.7626466956581</v>
      </c>
      <c r="AS71" s="87">
        <f t="shared" si="63"/>
        <v>2916.7200056720048</v>
      </c>
      <c r="AT71" s="87">
        <f t="shared" si="64"/>
        <v>3359.270034704577</v>
      </c>
      <c r="AU71" s="87">
        <f t="shared" si="65"/>
        <v>4169.3300349984356</v>
      </c>
      <c r="AV71" s="87">
        <f t="shared" si="66"/>
        <v>5018.204053552382</v>
      </c>
      <c r="AW71" s="71">
        <f t="shared" si="67"/>
        <v>0.98189058755475711</v>
      </c>
      <c r="AX71" s="72">
        <f t="shared" si="68"/>
        <v>11.857520239891649</v>
      </c>
      <c r="AY71" s="88">
        <f t="shared" si="69"/>
        <v>0.71145121439349901</v>
      </c>
      <c r="AZ71" s="88"/>
      <c r="BA71" s="3">
        <v>32</v>
      </c>
      <c r="BB71" s="3" t="s">
        <v>82</v>
      </c>
      <c r="BC71" s="111">
        <v>0</v>
      </c>
      <c r="BD71" s="75">
        <f t="shared" si="28"/>
        <v>6921.7626466956581</v>
      </c>
      <c r="BE71" s="160">
        <f t="shared" si="29"/>
        <v>0.72498932854162434</v>
      </c>
      <c r="BF71" s="3">
        <f t="shared" si="70"/>
        <v>4023.1212941288763</v>
      </c>
      <c r="BG71" s="3">
        <f t="shared" si="71"/>
        <v>4633.5441122451075</v>
      </c>
      <c r="BH71" s="3">
        <f t="shared" si="72"/>
        <v>5750.8846970001423</v>
      </c>
      <c r="BI71" s="3">
        <f t="shared" si="73"/>
        <v>6921.7626466956581</v>
      </c>
      <c r="BJ71" s="222">
        <v>5018.204053552382</v>
      </c>
      <c r="BK71" s="71">
        <f t="shared" si="74"/>
        <v>0.98189058755475689</v>
      </c>
      <c r="BL71" s="72">
        <f t="shared" si="75"/>
        <v>16.355441070758967</v>
      </c>
      <c r="BM71" s="88">
        <f t="shared" si="36"/>
        <v>0.98132646424553804</v>
      </c>
      <c r="BN71" s="227">
        <v>0.71145121439349901</v>
      </c>
      <c r="BO71" s="234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</row>
    <row r="72" spans="1:382">
      <c r="A72" s="3">
        <f>'Exptl Setup'!A134</f>
        <v>127</v>
      </c>
      <c r="B72" s="3" t="str">
        <f>'Exptl Setup'!C134</f>
        <v>a</v>
      </c>
      <c r="C72" s="3">
        <f>'Exptl Setup'!D134</f>
        <v>32</v>
      </c>
      <c r="D72" s="3" t="str">
        <f>'Exptl Setup'!E134</f>
        <v>-</v>
      </c>
      <c r="E72" s="75">
        <f>'Exptl Setup'!K134</f>
        <v>5.9996203593550685</v>
      </c>
      <c r="F72" s="63">
        <f>'Exptl Setup'!F134</f>
        <v>31.998999999999999</v>
      </c>
      <c r="G72" s="64">
        <f>'Exptl Setup'!$C$5</f>
        <v>1.2793390913194711</v>
      </c>
      <c r="H72" s="7">
        <f t="shared" si="76"/>
        <v>25.012133387558112</v>
      </c>
      <c r="I72" s="8">
        <f t="shared" si="77"/>
        <v>9.4385409009653252</v>
      </c>
      <c r="J72" s="8">
        <f t="shared" si="78"/>
        <v>6.9868666124418866</v>
      </c>
      <c r="K72" s="8">
        <f>'Exptl Setup'!H134+'Exptl Setup'!I134+'Exptl Setup'!J134+5</f>
        <v>23.003024686832859</v>
      </c>
      <c r="L72" s="8">
        <f t="shared" si="79"/>
        <v>29.989891299274746</v>
      </c>
      <c r="M72" s="44">
        <v>300</v>
      </c>
      <c r="N72" s="85">
        <f t="shared" si="80"/>
        <v>260.57156779975992</v>
      </c>
      <c r="O72" s="193">
        <f>10^(-'Pre-DEA characterisation'!V73)</f>
        <v>2.3442288153199206E-7</v>
      </c>
      <c r="P72" s="66">
        <v>60</v>
      </c>
      <c r="Q72" s="30">
        <v>2584.3939999999998</v>
      </c>
      <c r="R72" s="86">
        <f t="shared" si="47"/>
        <v>1961.5550459999999</v>
      </c>
      <c r="S72" s="86">
        <f t="shared" si="48"/>
        <v>5685.8784806186404</v>
      </c>
      <c r="T72" s="86">
        <f t="shared" si="49"/>
        <v>843.93847396693116</v>
      </c>
      <c r="U72" s="67">
        <f t="shared" si="50"/>
        <v>61730.233551421625</v>
      </c>
      <c r="V72" s="199">
        <f t="shared" si="13"/>
        <v>16835.51824129681</v>
      </c>
      <c r="W72" s="66">
        <v>120</v>
      </c>
      <c r="X72" s="30">
        <v>2907.9569999999999</v>
      </c>
      <c r="Y72" s="86">
        <f t="shared" si="51"/>
        <v>2207.1393629999998</v>
      </c>
      <c r="Z72" s="86">
        <f t="shared" si="52"/>
        <v>6397.7435827758227</v>
      </c>
      <c r="AA72" s="86">
        <f t="shared" si="53"/>
        <v>949.59854919236591</v>
      </c>
      <c r="AB72" s="67">
        <f t="shared" si="54"/>
        <v>69458.784058271078</v>
      </c>
      <c r="AC72" s="199">
        <f t="shared" si="38"/>
        <v>18943.304743164837</v>
      </c>
      <c r="AD72" s="66">
        <v>180</v>
      </c>
      <c r="AE72" s="30">
        <v>3253.9140000000002</v>
      </c>
      <c r="AF72" s="86">
        <f t="shared" si="55"/>
        <v>2469.720726</v>
      </c>
      <c r="AG72" s="86">
        <f t="shared" si="56"/>
        <v>7158.8773191640767</v>
      </c>
      <c r="AH72" s="86">
        <f t="shared" si="57"/>
        <v>1062.5714250921621</v>
      </c>
      <c r="AI72" s="67">
        <f t="shared" si="58"/>
        <v>77722.232436788123</v>
      </c>
      <c r="AJ72" s="199">
        <f t="shared" si="39"/>
        <v>21196.972482760397</v>
      </c>
      <c r="AK72" s="3">
        <v>240</v>
      </c>
      <c r="AL72" s="30">
        <v>3511.6680000000001</v>
      </c>
      <c r="AM72" s="86">
        <f t="shared" si="59"/>
        <v>2665.3560120000002</v>
      </c>
      <c r="AN72" s="86">
        <f t="shared" si="60"/>
        <v>7725.9572310867079</v>
      </c>
      <c r="AO72" s="86">
        <f t="shared" si="61"/>
        <v>1146.7414538953835</v>
      </c>
      <c r="AP72" s="67">
        <f t="shared" si="62"/>
        <v>83878.884487061092</v>
      </c>
      <c r="AQ72" s="199">
        <f t="shared" si="40"/>
        <v>22876.059405562115</v>
      </c>
      <c r="AR72" s="199">
        <f>(((AL72*$N72*10^-3)*$E$3*$E$4)/($E$5*$E$6*$H72))*1000*(12/44)+'post-DEA dissolved CO2'!N70</f>
        <v>22392.080229629795</v>
      </c>
      <c r="AS72" s="87">
        <f t="shared" si="63"/>
        <v>16835.51824129681</v>
      </c>
      <c r="AT72" s="87">
        <f t="shared" si="64"/>
        <v>18943.304743164837</v>
      </c>
      <c r="AU72" s="87">
        <f t="shared" si="65"/>
        <v>21196.972482760397</v>
      </c>
      <c r="AV72" s="87">
        <f t="shared" si="66"/>
        <v>22876.059405562115</v>
      </c>
      <c r="AW72" s="71">
        <f t="shared" si="67"/>
        <v>0.99654821148422468</v>
      </c>
      <c r="AX72" s="72">
        <f t="shared" si="68"/>
        <v>33.958818720652467</v>
      </c>
      <c r="AY72" s="88">
        <f t="shared" si="69"/>
        <v>2.0375291232391479</v>
      </c>
      <c r="AZ72" s="88"/>
      <c r="BA72" s="3">
        <v>32</v>
      </c>
      <c r="BB72" s="3" t="s">
        <v>82</v>
      </c>
      <c r="BC72" s="111">
        <v>5.9996203593550685</v>
      </c>
      <c r="BD72" s="75">
        <f t="shared" si="28"/>
        <v>22392.080229629795</v>
      </c>
      <c r="BE72" s="160">
        <f t="shared" si="29"/>
        <v>0.97884342021709192</v>
      </c>
      <c r="BF72" s="3">
        <f t="shared" si="70"/>
        <v>16479.336256438208</v>
      </c>
      <c r="BG72" s="3">
        <f t="shared" si="71"/>
        <v>18542.529205014129</v>
      </c>
      <c r="BH72" s="3">
        <f t="shared" si="72"/>
        <v>20748.517043272768</v>
      </c>
      <c r="BI72" s="3">
        <f t="shared" si="73"/>
        <v>22392.080229629795</v>
      </c>
      <c r="BJ72" s="222">
        <v>22876.059405562115</v>
      </c>
      <c r="BK72" s="71">
        <f t="shared" si="74"/>
        <v>0.99654821148422446</v>
      </c>
      <c r="BL72" s="72">
        <f t="shared" si="75"/>
        <v>33.24036626305567</v>
      </c>
      <c r="BM72" s="88">
        <f t="shared" si="36"/>
        <v>1.9944219757833404</v>
      </c>
      <c r="BN72" s="227">
        <v>2.0375291232391479</v>
      </c>
      <c r="BO72" s="234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</row>
    <row r="73" spans="1:382">
      <c r="A73" s="3">
        <f>'Exptl Setup'!A135</f>
        <v>128</v>
      </c>
      <c r="B73" s="3" t="str">
        <f>'Exptl Setup'!C135</f>
        <v>b</v>
      </c>
      <c r="C73" s="3">
        <f>'Exptl Setup'!D135</f>
        <v>32</v>
      </c>
      <c r="D73" s="3" t="str">
        <f>'Exptl Setup'!E135</f>
        <v>-</v>
      </c>
      <c r="E73" s="75">
        <f>'Exptl Setup'!K135</f>
        <v>5.9994328712188389</v>
      </c>
      <c r="F73" s="63">
        <f>'Exptl Setup'!F135</f>
        <v>32</v>
      </c>
      <c r="G73" s="64">
        <f>'Exptl Setup'!$C$5</f>
        <v>1.2793390913194711</v>
      </c>
      <c r="H73" s="7">
        <f t="shared" si="76"/>
        <v>25.01291504115315</v>
      </c>
      <c r="I73" s="8">
        <f t="shared" si="77"/>
        <v>9.4388358645860944</v>
      </c>
      <c r="J73" s="8">
        <f t="shared" si="78"/>
        <v>6.9870849588468502</v>
      </c>
      <c r="K73" s="8">
        <f>'Exptl Setup'!H135+'Exptl Setup'!I135+'Exptl Setup'!J135+5</f>
        <v>23.003024686832859</v>
      </c>
      <c r="L73" s="8">
        <f t="shared" si="79"/>
        <v>29.990109645679709</v>
      </c>
      <c r="M73" s="44">
        <v>300</v>
      </c>
      <c r="N73" s="85">
        <f t="shared" si="80"/>
        <v>260.57105448973419</v>
      </c>
      <c r="O73" s="193">
        <f>10^(-'Pre-DEA characterisation'!V74)</f>
        <v>2.3442288153199206E-7</v>
      </c>
      <c r="P73" s="66">
        <v>60</v>
      </c>
      <c r="Q73" s="30">
        <v>2609.0720000000001</v>
      </c>
      <c r="R73" s="86">
        <f t="shared" si="47"/>
        <v>1980.285648</v>
      </c>
      <c r="S73" s="86">
        <f t="shared" si="48"/>
        <v>5740.1721019258821</v>
      </c>
      <c r="T73" s="86">
        <f t="shared" si="49"/>
        <v>851.99703300146882</v>
      </c>
      <c r="U73" s="67">
        <f t="shared" si="50"/>
        <v>62317.732741042179</v>
      </c>
      <c r="V73" s="199">
        <f t="shared" si="13"/>
        <v>16995.745293011503</v>
      </c>
      <c r="W73" s="66">
        <v>120</v>
      </c>
      <c r="X73" s="30">
        <v>2987.4769999999999</v>
      </c>
      <c r="Y73" s="86">
        <f t="shared" si="51"/>
        <v>2267.4950429999999</v>
      </c>
      <c r="Z73" s="86">
        <f t="shared" si="52"/>
        <v>6572.6940960407483</v>
      </c>
      <c r="AA73" s="86">
        <f t="shared" si="53"/>
        <v>975.56584876160127</v>
      </c>
      <c r="AB73" s="67">
        <f t="shared" si="54"/>
        <v>71355.943130741653</v>
      </c>
      <c r="AC73" s="199">
        <f t="shared" si="38"/>
        <v>19460.711762929543</v>
      </c>
      <c r="AD73" s="66">
        <v>180</v>
      </c>
      <c r="AE73" s="30">
        <v>3359.4830000000002</v>
      </c>
      <c r="AF73" s="86">
        <f t="shared" si="55"/>
        <v>2549.847597</v>
      </c>
      <c r="AG73" s="86">
        <f t="shared" si="56"/>
        <v>7391.1377660310891</v>
      </c>
      <c r="AH73" s="86">
        <f t="shared" si="57"/>
        <v>1097.0450598599323</v>
      </c>
      <c r="AI73" s="67">
        <f t="shared" si="58"/>
        <v>80241.313287664947</v>
      </c>
      <c r="AJ73" s="199">
        <f t="shared" si="39"/>
        <v>21883.994532999528</v>
      </c>
      <c r="AK73" s="3">
        <v>240</v>
      </c>
      <c r="AL73" s="30">
        <v>3666.5940000000001</v>
      </c>
      <c r="AM73" s="86">
        <f t="shared" si="59"/>
        <v>2782.9448459999999</v>
      </c>
      <c r="AN73" s="86">
        <f t="shared" si="60"/>
        <v>8066.8071206501108</v>
      </c>
      <c r="AO73" s="86">
        <f t="shared" si="61"/>
        <v>1197.3326950045791</v>
      </c>
      <c r="AP73" s="67">
        <f t="shared" si="62"/>
        <v>87576.665175169095</v>
      </c>
      <c r="AQ73" s="199">
        <f t="shared" si="40"/>
        <v>23884.545047773387</v>
      </c>
      <c r="AR73" s="199">
        <f>(((AL73*$N73*10^-3)*$E$3*$E$4)/($E$5*$E$6*$H73))*1000*(12/44)+'post-DEA dissolved CO2'!N71</f>
        <v>23869.523191483931</v>
      </c>
      <c r="AS73" s="87">
        <f t="shared" si="63"/>
        <v>16995.745293011503</v>
      </c>
      <c r="AT73" s="87">
        <f t="shared" si="64"/>
        <v>19460.711762929543</v>
      </c>
      <c r="AU73" s="87">
        <f t="shared" si="65"/>
        <v>21883.994532999528</v>
      </c>
      <c r="AV73" s="87">
        <f t="shared" si="66"/>
        <v>23884.545047773387</v>
      </c>
      <c r="AW73" s="71">
        <f t="shared" si="67"/>
        <v>0.99771012854602492</v>
      </c>
      <c r="AX73" s="72">
        <f t="shared" si="68"/>
        <v>38.482803390592721</v>
      </c>
      <c r="AY73" s="88">
        <f t="shared" si="69"/>
        <v>2.3089682034355632</v>
      </c>
      <c r="AZ73" s="88"/>
      <c r="BA73" s="3">
        <v>32</v>
      </c>
      <c r="BB73" s="3" t="s">
        <v>82</v>
      </c>
      <c r="BC73" s="111">
        <v>5.9994328712188389</v>
      </c>
      <c r="BD73" s="75">
        <f t="shared" si="28"/>
        <v>23869.523191483931</v>
      </c>
      <c r="BE73" s="160">
        <f t="shared" si="29"/>
        <v>0.999371063746058</v>
      </c>
      <c r="BF73" s="3">
        <f t="shared" si="70"/>
        <v>16985.056052633965</v>
      </c>
      <c r="BG73" s="3">
        <f t="shared" si="71"/>
        <v>19448.47221577432</v>
      </c>
      <c r="BH73" s="3">
        <f t="shared" si="72"/>
        <v>21870.230895456654</v>
      </c>
      <c r="BI73" s="3">
        <f t="shared" si="73"/>
        <v>23869.523191483931</v>
      </c>
      <c r="BJ73" s="222">
        <v>23884.545047773387</v>
      </c>
      <c r="BK73" s="71">
        <f t="shared" si="74"/>
        <v>0.99771012854602514</v>
      </c>
      <c r="BL73" s="72">
        <f t="shared" si="75"/>
        <v>38.458600160387057</v>
      </c>
      <c r="BM73" s="88">
        <f t="shared" si="36"/>
        <v>2.3075160096232237</v>
      </c>
      <c r="BN73" s="227">
        <v>2.3089682034355632</v>
      </c>
      <c r="BO73" s="234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</row>
    <row r="74" spans="1:382">
      <c r="A74" s="3">
        <f>'Exptl Setup'!A136</f>
        <v>129</v>
      </c>
      <c r="B74" s="3" t="str">
        <f>'Exptl Setup'!C136</f>
        <v>c</v>
      </c>
      <c r="C74" s="3">
        <f>'Exptl Setup'!D136</f>
        <v>32</v>
      </c>
      <c r="D74" s="3" t="str">
        <f>'Exptl Setup'!E136</f>
        <v>-</v>
      </c>
      <c r="E74" s="75">
        <f>'Exptl Setup'!K136</f>
        <v>5.9971839272461223</v>
      </c>
      <c r="F74" s="63">
        <f>'Exptl Setup'!F136</f>
        <v>32.012</v>
      </c>
      <c r="G74" s="64">
        <f>'Exptl Setup'!$C$5</f>
        <v>1.2793390913194711</v>
      </c>
      <c r="H74" s="7">
        <f t="shared" si="76"/>
        <v>25.022294884293583</v>
      </c>
      <c r="I74" s="8">
        <f t="shared" si="77"/>
        <v>9.442375428035314</v>
      </c>
      <c r="J74" s="8">
        <f t="shared" si="78"/>
        <v>6.9897051157064176</v>
      </c>
      <c r="K74" s="8">
        <f>'Exptl Setup'!H136+'Exptl Setup'!I136+'Exptl Setup'!J136+5</f>
        <v>23.003024686832859</v>
      </c>
      <c r="L74" s="8">
        <f t="shared" si="79"/>
        <v>29.992729802539277</v>
      </c>
      <c r="M74" s="44">
        <v>300</v>
      </c>
      <c r="N74" s="85">
        <f t="shared" si="80"/>
        <v>260.56489476942539</v>
      </c>
      <c r="O74" s="193">
        <f>10^(-'Pre-DEA characterisation'!V75)</f>
        <v>2.3442288153199206E-7</v>
      </c>
      <c r="P74" s="66">
        <v>60</v>
      </c>
      <c r="Q74" s="30">
        <v>3162.9690000000001</v>
      </c>
      <c r="R74" s="86">
        <f t="shared" si="47"/>
        <v>2400.693471</v>
      </c>
      <c r="S74" s="86">
        <f t="shared" si="48"/>
        <v>6958.7908701087608</v>
      </c>
      <c r="T74" s="86">
        <f t="shared" si="49"/>
        <v>1032.871818963504</v>
      </c>
      <c r="U74" s="67">
        <f t="shared" si="50"/>
        <v>75519.161674921168</v>
      </c>
      <c r="V74" s="199">
        <f t="shared" ref="V74:V128" si="81">(((T74*$E$3*$E$4)/($E$5*$E$6*$H74))*1000)*12/44</f>
        <v>20596.135002251227</v>
      </c>
      <c r="W74" s="66">
        <v>120</v>
      </c>
      <c r="X74" s="30">
        <v>3701.3270000000002</v>
      </c>
      <c r="Y74" s="86">
        <f t="shared" si="51"/>
        <v>2809.3071930000001</v>
      </c>
      <c r="Z74" s="86">
        <f t="shared" si="52"/>
        <v>8143.2225655348038</v>
      </c>
      <c r="AA74" s="86">
        <f t="shared" si="53"/>
        <v>1208.6733543922592</v>
      </c>
      <c r="AB74" s="67">
        <f t="shared" si="54"/>
        <v>88373.016657688058</v>
      </c>
      <c r="AC74" s="199">
        <f t="shared" si="38"/>
        <v>24101.731815733106</v>
      </c>
      <c r="AD74" s="66">
        <v>180</v>
      </c>
      <c r="AE74" s="30">
        <v>4188.9570000000003</v>
      </c>
      <c r="AF74" s="86">
        <f t="shared" si="55"/>
        <v>3179.4183630000002</v>
      </c>
      <c r="AG74" s="86">
        <f t="shared" si="56"/>
        <v>9216.0485059696093</v>
      </c>
      <c r="AH74" s="86">
        <f t="shared" si="57"/>
        <v>1367.9095925852903</v>
      </c>
      <c r="AI74" s="67">
        <f t="shared" si="58"/>
        <v>100015.68808682373</v>
      </c>
      <c r="AJ74" s="199">
        <f t="shared" si="39"/>
        <v>27277.005841861017</v>
      </c>
      <c r="AK74" s="3">
        <v>240</v>
      </c>
      <c r="AL74" s="30">
        <v>4590.2120000000004</v>
      </c>
      <c r="AM74" s="86">
        <f t="shared" si="59"/>
        <v>3483.9709080000002</v>
      </c>
      <c r="AN74" s="86">
        <f t="shared" si="60"/>
        <v>10098.842371665254</v>
      </c>
      <c r="AO74" s="86">
        <f t="shared" si="61"/>
        <v>1498.9399573211447</v>
      </c>
      <c r="AP74" s="67">
        <f t="shared" si="62"/>
        <v>109596.06690744146</v>
      </c>
      <c r="AQ74" s="199">
        <f t="shared" si="40"/>
        <v>29889.836429302217</v>
      </c>
      <c r="AR74" s="199">
        <f>(((AL74*$N74*10^-3)*$E$3*$E$4)/($E$5*$E$6*$H74))*1000*(12/44)+'post-DEA dissolved CO2'!N72</f>
        <v>29152.119931413363</v>
      </c>
      <c r="AS74" s="87">
        <f t="shared" si="63"/>
        <v>20596.135002251227</v>
      </c>
      <c r="AT74" s="87">
        <f t="shared" si="64"/>
        <v>24101.731815733106</v>
      </c>
      <c r="AU74" s="87">
        <f t="shared" si="65"/>
        <v>27277.005841861017</v>
      </c>
      <c r="AV74" s="87">
        <f t="shared" si="66"/>
        <v>29889.836429302217</v>
      </c>
      <c r="AW74" s="71">
        <f t="shared" si="67"/>
        <v>0.99582975676782359</v>
      </c>
      <c r="AX74" s="72">
        <f t="shared" si="68"/>
        <v>51.760630512134796</v>
      </c>
      <c r="AY74" s="88">
        <f t="shared" si="69"/>
        <v>3.1056378307280879</v>
      </c>
      <c r="AZ74" s="88"/>
      <c r="BA74" s="3">
        <v>32</v>
      </c>
      <c r="BB74" s="3" t="s">
        <v>82</v>
      </c>
      <c r="BC74" s="111">
        <v>5.9971839272461223</v>
      </c>
      <c r="BD74" s="75">
        <f t="shared" ref="BD74:BD128" si="82">AR74</f>
        <v>29152.119931413363</v>
      </c>
      <c r="BE74" s="160">
        <f t="shared" ref="BE74:BE128" si="83">IF((AQ74/BD74)&lt;1,(AQ74/BD74),(BD74/AQ74))</f>
        <v>0.97531881783181518</v>
      </c>
      <c r="BF74" s="3">
        <f t="shared" si="70"/>
        <v>20087.798042300135</v>
      </c>
      <c r="BG74" s="3">
        <f t="shared" si="71"/>
        <v>23506.872582220261</v>
      </c>
      <c r="BH74" s="3">
        <f t="shared" si="72"/>
        <v>26603.777091675405</v>
      </c>
      <c r="BI74" s="3">
        <f t="shared" si="73"/>
        <v>29152.119931413363</v>
      </c>
      <c r="BJ74" s="222">
        <v>29889.836429302217</v>
      </c>
      <c r="BK74" s="71">
        <f t="shared" si="74"/>
        <v>0.99582975676782337</v>
      </c>
      <c r="BL74" s="72">
        <f t="shared" si="75"/>
        <v>50.483116961324711</v>
      </c>
      <c r="BM74" s="88">
        <f t="shared" ref="BM74:BM128" si="84">BL74*60/1000</f>
        <v>3.0289870176794826</v>
      </c>
      <c r="BN74" s="227">
        <v>3.1056378307280879</v>
      </c>
      <c r="BO74" s="23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</row>
    <row r="75" spans="1:382">
      <c r="A75" s="3">
        <f>'Exptl Setup'!A140</f>
        <v>133</v>
      </c>
      <c r="B75" s="3" t="str">
        <f>'Exptl Setup'!C140</f>
        <v>a</v>
      </c>
      <c r="C75" s="3">
        <f>'Exptl Setup'!D140</f>
        <v>32</v>
      </c>
      <c r="D75" s="3" t="str">
        <f>'Exptl Setup'!E140</f>
        <v>-</v>
      </c>
      <c r="E75" s="75">
        <f>'Exptl Setup'!K140</f>
        <v>15.998487656583571</v>
      </c>
      <c r="F75" s="63">
        <f>'Exptl Setup'!F140</f>
        <v>32</v>
      </c>
      <c r="G75" s="64">
        <f>'Exptl Setup'!$C$5</f>
        <v>1.2793390913194711</v>
      </c>
      <c r="H75" s="7">
        <f t="shared" ref="H75:H105" si="85">F75/G75</f>
        <v>25.01291504115315</v>
      </c>
      <c r="I75" s="8">
        <f t="shared" ref="I75:I105" si="86">H75/$E$1</f>
        <v>9.4388358645860944</v>
      </c>
      <c r="J75" s="8">
        <f t="shared" ref="J75:J105" si="87">F75-H75</f>
        <v>6.9870849588468502</v>
      </c>
      <c r="K75" s="8">
        <f>'Exptl Setup'!H140+'Exptl Setup'!I140+'Exptl Setup'!J140+5</f>
        <v>23.003024686832862</v>
      </c>
      <c r="L75" s="8">
        <f t="shared" ref="L75:L105" si="88">J75+K75</f>
        <v>29.990109645679713</v>
      </c>
      <c r="M75" s="44">
        <v>300</v>
      </c>
      <c r="N75" s="85">
        <f t="shared" ref="N75:N105" si="89">M75-(I75+L75)</f>
        <v>260.57105448973419</v>
      </c>
      <c r="O75" s="193">
        <f>10^(-'Pre-DEA characterisation'!V76)</f>
        <v>5.4325033149243171E-9</v>
      </c>
      <c r="P75" s="66">
        <v>60</v>
      </c>
      <c r="Q75" s="30">
        <v>1650.2639999999999</v>
      </c>
      <c r="R75" s="86">
        <f t="shared" si="47"/>
        <v>1252.5503759999999</v>
      </c>
      <c r="S75" s="86">
        <f t="shared" si="48"/>
        <v>104740.18981733909</v>
      </c>
      <c r="T75" s="86">
        <f t="shared" si="49"/>
        <v>3571.1808075977524</v>
      </c>
      <c r="U75" s="67">
        <f t="shared" si="50"/>
        <v>261207.35462400637</v>
      </c>
      <c r="V75" s="199">
        <f t="shared" si="81"/>
        <v>71238.369442910829</v>
      </c>
      <c r="W75" s="66">
        <v>120</v>
      </c>
      <c r="X75" s="30">
        <v>1830.327</v>
      </c>
      <c r="Y75" s="86">
        <f t="shared" si="51"/>
        <v>1389.2181929999999</v>
      </c>
      <c r="Z75" s="86">
        <f t="shared" si="52"/>
        <v>116168.56297404587</v>
      </c>
      <c r="AA75" s="86">
        <f t="shared" si="53"/>
        <v>3960.8381774237159</v>
      </c>
      <c r="AB75" s="67">
        <f t="shared" si="54"/>
        <v>289708.11565112829</v>
      </c>
      <c r="AC75" s="199">
        <f t="shared" ref="AC75:AC128" si="90">(((AA75*$E$3*$E$4)/($E$5*$E$6*$H75))*1000)*12/44</f>
        <v>79011.304268489534</v>
      </c>
      <c r="AD75" s="66">
        <v>180</v>
      </c>
      <c r="AE75" s="30">
        <v>2006.7329999999999</v>
      </c>
      <c r="AF75" s="86">
        <f t="shared" si="55"/>
        <v>1523.110347</v>
      </c>
      <c r="AG75" s="86">
        <f t="shared" si="56"/>
        <v>127364.83091960945</v>
      </c>
      <c r="AH75" s="86">
        <f t="shared" si="57"/>
        <v>4342.5817781718933</v>
      </c>
      <c r="AI75" s="67">
        <f t="shared" si="58"/>
        <v>317630.0388099699</v>
      </c>
      <c r="AJ75" s="199">
        <f t="shared" ref="AJ75:AJ128" si="91">(((AH75*$E$3*$E$4)/($E$5*$E$6*$H75))*1000)*12/44</f>
        <v>86626.374220900878</v>
      </c>
      <c r="AK75" s="3">
        <v>240</v>
      </c>
      <c r="AL75" s="30">
        <v>2060.203</v>
      </c>
      <c r="AM75" s="86">
        <f t="shared" si="59"/>
        <v>1563.6940770000001</v>
      </c>
      <c r="AN75" s="86">
        <f t="shared" si="60"/>
        <v>130758.50487088824</v>
      </c>
      <c r="AO75" s="86">
        <f t="shared" si="61"/>
        <v>4458.2911663559971</v>
      </c>
      <c r="AP75" s="67">
        <f t="shared" si="62"/>
        <v>326093.38603910757</v>
      </c>
      <c r="AQ75" s="199">
        <f t="shared" ref="AQ75:AQ128" si="92">(((AO75*$E$3*$E$4)/($E$5*$E$6*$H75))*1000)*12/44</f>
        <v>88934.559828847516</v>
      </c>
      <c r="AR75" s="199">
        <f>(((AL75*$N75*10^-3)*$E$3*$E$4)/($E$5*$E$6*$H75))*1000*(12/44)+'post-DEA dissolved CO2'!N73</f>
        <v>40923.322971853464</v>
      </c>
      <c r="AS75" s="87">
        <f t="shared" si="63"/>
        <v>71238.369442910829</v>
      </c>
      <c r="AT75" s="87">
        <f t="shared" si="64"/>
        <v>79011.304268489534</v>
      </c>
      <c r="AU75" s="87">
        <f t="shared" si="65"/>
        <v>86626.374220900878</v>
      </c>
      <c r="AV75" s="87">
        <f t="shared" si="66"/>
        <v>88934.559828847516</v>
      </c>
      <c r="AW75" s="71">
        <f t="shared" si="67"/>
        <v>0.95445722173647707</v>
      </c>
      <c r="AX75" s="72">
        <f t="shared" si="68"/>
        <v>101.17273518370234</v>
      </c>
      <c r="AY75" s="88">
        <f t="shared" si="69"/>
        <v>6.0703641110221405</v>
      </c>
      <c r="AZ75" s="88"/>
      <c r="BA75" s="3">
        <v>32</v>
      </c>
      <c r="BB75" s="3" t="s">
        <v>82</v>
      </c>
      <c r="BC75" s="111">
        <v>15.998487656583571</v>
      </c>
      <c r="BD75" s="75">
        <f t="shared" si="82"/>
        <v>40923.322971853464</v>
      </c>
      <c r="BE75" s="160">
        <f t="shared" si="83"/>
        <v>0.460150958756747</v>
      </c>
      <c r="BF75" s="3">
        <f t="shared" si="70"/>
        <v>32780.403999422764</v>
      </c>
      <c r="BG75" s="3">
        <f t="shared" si="71"/>
        <v>36357.127411766516</v>
      </c>
      <c r="BH75" s="3">
        <f t="shared" si="72"/>
        <v>39861.20915136829</v>
      </c>
      <c r="BI75" s="3">
        <f t="shared" si="73"/>
        <v>40923.322971853464</v>
      </c>
      <c r="BJ75" s="222">
        <v>88934.559828847516</v>
      </c>
      <c r="BK75" s="71">
        <f t="shared" si="74"/>
        <v>0.95445722173647762</v>
      </c>
      <c r="BL75" s="72">
        <f t="shared" si="75"/>
        <v>46.554731094823126</v>
      </c>
      <c r="BM75" s="88">
        <f t="shared" si="84"/>
        <v>2.7932838656893875</v>
      </c>
      <c r="BN75" s="227">
        <v>6.0703641110221405</v>
      </c>
      <c r="BO75" s="234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</row>
    <row r="76" spans="1:382">
      <c r="A76" s="3">
        <f>'Exptl Setup'!A141</f>
        <v>134</v>
      </c>
      <c r="B76" s="3" t="str">
        <f>'Exptl Setup'!C141</f>
        <v>b</v>
      </c>
      <c r="C76" s="3">
        <f>'Exptl Setup'!D141</f>
        <v>32</v>
      </c>
      <c r="D76" s="3" t="str">
        <f>'Exptl Setup'!E141</f>
        <v>-</v>
      </c>
      <c r="E76" s="75">
        <f>'Exptl Setup'!K141</f>
        <v>15.996987938964294</v>
      </c>
      <c r="F76" s="63">
        <f>'Exptl Setup'!F141</f>
        <v>32.003</v>
      </c>
      <c r="G76" s="64">
        <f>'Exptl Setup'!$C$5</f>
        <v>1.2793390913194711</v>
      </c>
      <c r="H76" s="7">
        <f t="shared" si="85"/>
        <v>25.015260001938255</v>
      </c>
      <c r="I76" s="8">
        <f t="shared" si="86"/>
        <v>9.4397207554483984</v>
      </c>
      <c r="J76" s="8">
        <f t="shared" si="87"/>
        <v>6.9877399980617447</v>
      </c>
      <c r="K76" s="8">
        <f>'Exptl Setup'!H141+'Exptl Setup'!I141+'Exptl Setup'!J141+5</f>
        <v>23.003024686832862</v>
      </c>
      <c r="L76" s="8">
        <f t="shared" si="88"/>
        <v>29.990764684894607</v>
      </c>
      <c r="M76" s="44">
        <v>300</v>
      </c>
      <c r="N76" s="85">
        <f t="shared" si="89"/>
        <v>260.56951455965702</v>
      </c>
      <c r="O76" s="193">
        <f>10^(-'Pre-DEA characterisation'!V77)</f>
        <v>5.4325033149243171E-9</v>
      </c>
      <c r="P76" s="66">
        <v>60</v>
      </c>
      <c r="Q76" s="30">
        <v>1568.0029999999999</v>
      </c>
      <c r="R76" s="86">
        <f t="shared" si="47"/>
        <v>1190.1142769999999</v>
      </c>
      <c r="S76" s="86">
        <f t="shared" si="48"/>
        <v>99519.187144697542</v>
      </c>
      <c r="T76" s="86">
        <f t="shared" si="49"/>
        <v>3393.2303038266982</v>
      </c>
      <c r="U76" s="67">
        <f t="shared" si="50"/>
        <v>248168.23139554268</v>
      </c>
      <c r="V76" s="199">
        <f t="shared" si="81"/>
        <v>67682.244926057101</v>
      </c>
      <c r="W76" s="66">
        <v>120</v>
      </c>
      <c r="X76" s="30">
        <v>1791.0239999999999</v>
      </c>
      <c r="Y76" s="86">
        <f t="shared" si="51"/>
        <v>1359.3872159999999</v>
      </c>
      <c r="Z76" s="86">
        <f t="shared" si="52"/>
        <v>113674.05077454876</v>
      </c>
      <c r="AA76" s="86">
        <f t="shared" si="53"/>
        <v>3875.8579618029485</v>
      </c>
      <c r="AB76" s="67">
        <f t="shared" si="54"/>
        <v>283465.82147289923</v>
      </c>
      <c r="AC76" s="199">
        <f t="shared" si="90"/>
        <v>77308.860401699785</v>
      </c>
      <c r="AD76" s="66">
        <v>180</v>
      </c>
      <c r="AE76" s="30">
        <v>1914.4159999999999</v>
      </c>
      <c r="AF76" s="86">
        <f t="shared" si="55"/>
        <v>1453.0417439999999</v>
      </c>
      <c r="AG76" s="86">
        <f t="shared" si="56"/>
        <v>121505.58651788505</v>
      </c>
      <c r="AH76" s="86">
        <f t="shared" si="57"/>
        <v>4142.883900943234</v>
      </c>
      <c r="AI76" s="67">
        <f t="shared" si="58"/>
        <v>302995.10452169366</v>
      </c>
      <c r="AJ76" s="199">
        <f t="shared" si="91"/>
        <v>82635.02850591646</v>
      </c>
      <c r="AK76" s="3">
        <v>240</v>
      </c>
      <c r="AL76" s="30">
        <v>2009.932</v>
      </c>
      <c r="AM76" s="86">
        <f t="shared" si="59"/>
        <v>1525.5383879999999</v>
      </c>
      <c r="AN76" s="86">
        <f t="shared" si="60"/>
        <v>127567.8674442053</v>
      </c>
      <c r="AO76" s="86">
        <f t="shared" si="61"/>
        <v>4349.5848994109092</v>
      </c>
      <c r="AP76" s="67">
        <f t="shared" si="62"/>
        <v>318112.44599997951</v>
      </c>
      <c r="AQ76" s="199">
        <f t="shared" si="92"/>
        <v>86757.939818176223</v>
      </c>
      <c r="AR76" s="199">
        <f>(((AL76*$N76*10^-3)*$E$3*$E$4)/($E$5*$E$6*$H76))*1000*(12/44)+'post-DEA dissolved CO2'!N74</f>
        <v>39442.568308569433</v>
      </c>
      <c r="AS76" s="87">
        <f t="shared" si="63"/>
        <v>67682.244926057101</v>
      </c>
      <c r="AT76" s="87">
        <f t="shared" si="64"/>
        <v>77308.860401699785</v>
      </c>
      <c r="AU76" s="87">
        <f t="shared" si="65"/>
        <v>82635.02850591646</v>
      </c>
      <c r="AV76" s="87">
        <f t="shared" si="66"/>
        <v>86757.939818176223</v>
      </c>
      <c r="AW76" s="71">
        <f t="shared" si="67"/>
        <v>0.96046928484959915</v>
      </c>
      <c r="AX76" s="72">
        <f t="shared" si="68"/>
        <v>104.25542130095673</v>
      </c>
      <c r="AY76" s="88">
        <f t="shared" si="69"/>
        <v>6.2553252780574038</v>
      </c>
      <c r="AZ76" s="88"/>
      <c r="BA76" s="3">
        <v>32</v>
      </c>
      <c r="BB76" s="3" t="s">
        <v>82</v>
      </c>
      <c r="BC76" s="111">
        <v>15.996987938964294</v>
      </c>
      <c r="BD76" s="75">
        <f t="shared" si="82"/>
        <v>39442.568308569433</v>
      </c>
      <c r="BE76" s="160">
        <f t="shared" si="83"/>
        <v>0.45462776538068528</v>
      </c>
      <c r="BF76" s="3">
        <f t="shared" si="70"/>
        <v>30770.227766681564</v>
      </c>
      <c r="BG76" s="3">
        <f t="shared" si="71"/>
        <v>35146.754448552121</v>
      </c>
      <c r="BH76" s="3">
        <f t="shared" si="72"/>
        <v>37568.178351814029</v>
      </c>
      <c r="BI76" s="3">
        <f t="shared" si="73"/>
        <v>39442.568308569433</v>
      </c>
      <c r="BJ76" s="222">
        <v>86757.939818176223</v>
      </c>
      <c r="BK76" s="71">
        <f t="shared" si="74"/>
        <v>0.96046928484959959</v>
      </c>
      <c r="BL76" s="72">
        <f t="shared" si="75"/>
        <v>47.397409214875857</v>
      </c>
      <c r="BM76" s="88">
        <f t="shared" si="84"/>
        <v>2.8438445528925511</v>
      </c>
      <c r="BN76" s="227">
        <v>6.2553252780574038</v>
      </c>
      <c r="BO76" s="234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</row>
    <row r="77" spans="1:382">
      <c r="A77" s="3">
        <f>'Exptl Setup'!A142</f>
        <v>135</v>
      </c>
      <c r="B77" s="3" t="str">
        <f>'Exptl Setup'!C142</f>
        <v>c</v>
      </c>
      <c r="C77" s="3">
        <f>'Exptl Setup'!D142</f>
        <v>32</v>
      </c>
      <c r="D77" s="3" t="str">
        <f>'Exptl Setup'!E142</f>
        <v>-</v>
      </c>
      <c r="E77" s="75">
        <f>'Exptl Setup'!K142</f>
        <v>15.993989347079705</v>
      </c>
      <c r="F77" s="63">
        <f>'Exptl Setup'!F142</f>
        <v>32.009</v>
      </c>
      <c r="G77" s="64">
        <f>'Exptl Setup'!$C$5</f>
        <v>1.2793390913194711</v>
      </c>
      <c r="H77" s="7">
        <f t="shared" si="85"/>
        <v>25.019949923508474</v>
      </c>
      <c r="I77" s="8">
        <f t="shared" si="86"/>
        <v>9.44149053717301</v>
      </c>
      <c r="J77" s="8">
        <f t="shared" si="87"/>
        <v>6.9890500764915267</v>
      </c>
      <c r="K77" s="8">
        <f>'Exptl Setup'!H142+'Exptl Setup'!I142+'Exptl Setup'!J142+5</f>
        <v>23.003024686832862</v>
      </c>
      <c r="L77" s="8">
        <f t="shared" si="88"/>
        <v>29.992074763324389</v>
      </c>
      <c r="M77" s="44">
        <v>300</v>
      </c>
      <c r="N77" s="85">
        <f t="shared" si="89"/>
        <v>260.56643469950262</v>
      </c>
      <c r="O77" s="193">
        <f>10^(-'Pre-DEA characterisation'!V78)</f>
        <v>5.4325033149243171E-9</v>
      </c>
      <c r="P77" s="66">
        <v>60</v>
      </c>
      <c r="Q77" s="30">
        <v>1855.9190000000001</v>
      </c>
      <c r="R77" s="86">
        <f t="shared" si="47"/>
        <v>1408.642521</v>
      </c>
      <c r="S77" s="86">
        <f t="shared" si="48"/>
        <v>117792.85517081278</v>
      </c>
      <c r="T77" s="86">
        <f t="shared" si="49"/>
        <v>4016.4423157895249</v>
      </c>
      <c r="U77" s="67">
        <f t="shared" si="50"/>
        <v>293692.57553085667</v>
      </c>
      <c r="V77" s="199">
        <f t="shared" si="81"/>
        <v>80097.975144779091</v>
      </c>
      <c r="W77" s="66">
        <v>120</v>
      </c>
      <c r="X77" s="30">
        <v>2064.7730000000001</v>
      </c>
      <c r="Y77" s="86">
        <f t="shared" si="51"/>
        <v>1567.1627070000002</v>
      </c>
      <c r="Z77" s="86">
        <f t="shared" si="52"/>
        <v>131048.55704888233</v>
      </c>
      <c r="AA77" s="86">
        <f t="shared" si="53"/>
        <v>4468.4286597096561</v>
      </c>
      <c r="AB77" s="67">
        <f t="shared" si="54"/>
        <v>326742.97760655161</v>
      </c>
      <c r="AC77" s="199">
        <f t="shared" si="90"/>
        <v>89111.721165423165</v>
      </c>
      <c r="AD77" s="66">
        <v>180</v>
      </c>
      <c r="AE77" s="30">
        <v>2192.7359999999999</v>
      </c>
      <c r="AF77" s="86">
        <f t="shared" si="55"/>
        <v>1664.2866239999998</v>
      </c>
      <c r="AG77" s="86">
        <f t="shared" si="56"/>
        <v>139170.20843896057</v>
      </c>
      <c r="AH77" s="86">
        <f t="shared" si="57"/>
        <v>4745.3566980859932</v>
      </c>
      <c r="AI77" s="67">
        <f t="shared" si="58"/>
        <v>346992.66686704999</v>
      </c>
      <c r="AJ77" s="199">
        <f t="shared" si="91"/>
        <v>94634.363691013641</v>
      </c>
      <c r="AK77" s="3">
        <v>240</v>
      </c>
      <c r="AL77" s="30">
        <v>2287.337</v>
      </c>
      <c r="AM77" s="86">
        <f t="shared" si="59"/>
        <v>1736.0887829999999</v>
      </c>
      <c r="AN77" s="86">
        <f t="shared" si="60"/>
        <v>145174.41546093411</v>
      </c>
      <c r="AO77" s="86">
        <f t="shared" si="61"/>
        <v>4950.0851692725091</v>
      </c>
      <c r="AP77" s="67">
        <f t="shared" si="62"/>
        <v>361962.93838094402</v>
      </c>
      <c r="AQ77" s="199">
        <f t="shared" si="92"/>
        <v>98717.165012984726</v>
      </c>
      <c r="AR77" s="199">
        <f>(((AL77*$N77*10^-3)*$E$3*$E$4)/($E$5*$E$6*$H77))*1000*(12/44)+'post-DEA dissolved CO2'!N75</f>
        <v>48480.362615406411</v>
      </c>
      <c r="AS77" s="87">
        <f t="shared" si="63"/>
        <v>80097.975144779091</v>
      </c>
      <c r="AT77" s="87">
        <f t="shared" si="64"/>
        <v>89111.721165423165</v>
      </c>
      <c r="AU77" s="87">
        <f t="shared" si="65"/>
        <v>94634.363691013641</v>
      </c>
      <c r="AV77" s="87">
        <f t="shared" si="66"/>
        <v>98717.165012984726</v>
      </c>
      <c r="AW77" s="71">
        <f t="shared" si="67"/>
        <v>0.96769361261714149</v>
      </c>
      <c r="AX77" s="72">
        <f t="shared" si="68"/>
        <v>102.30035355034562</v>
      </c>
      <c r="AY77" s="88">
        <f t="shared" si="69"/>
        <v>6.1380212130207372</v>
      </c>
      <c r="AZ77" s="88"/>
      <c r="BA77" s="3">
        <v>32</v>
      </c>
      <c r="BB77" s="3" t="s">
        <v>82</v>
      </c>
      <c r="BC77" s="111">
        <v>15.993989347079705</v>
      </c>
      <c r="BD77" s="75">
        <f t="shared" si="82"/>
        <v>48480.362615406411</v>
      </c>
      <c r="BE77" s="160">
        <f t="shared" si="83"/>
        <v>0.49110367593143062</v>
      </c>
      <c r="BF77" s="3">
        <f t="shared" si="70"/>
        <v>39336.410028265374</v>
      </c>
      <c r="BG77" s="3">
        <f t="shared" si="71"/>
        <v>43763.093832915984</v>
      </c>
      <c r="BH77" s="3">
        <f t="shared" si="72"/>
        <v>46475.28387808871</v>
      </c>
      <c r="BI77" s="3">
        <f t="shared" si="73"/>
        <v>48480.362615406411</v>
      </c>
      <c r="BJ77" s="222">
        <v>98717.165012984726</v>
      </c>
      <c r="BK77" s="71">
        <f t="shared" si="74"/>
        <v>0.96769361261714171</v>
      </c>
      <c r="BL77" s="72">
        <f t="shared" si="75"/>
        <v>50.240079677659736</v>
      </c>
      <c r="BM77" s="88">
        <f t="shared" si="84"/>
        <v>3.0144047806595839</v>
      </c>
      <c r="BN77" s="227">
        <v>6.1380212130207372</v>
      </c>
      <c r="BO77" s="234"/>
      <c r="BR77" s="231"/>
      <c r="BS77" s="231"/>
      <c r="BT77" s="231"/>
      <c r="BU77" s="231"/>
      <c r="BV77" s="231"/>
      <c r="BW77" s="231"/>
      <c r="BX77" s="231"/>
      <c r="BY77" s="231"/>
      <c r="BZ77" s="231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</row>
    <row r="78" spans="1:382">
      <c r="A78" s="3">
        <f>'Exptl Setup'!A146</f>
        <v>139</v>
      </c>
      <c r="B78" s="3" t="str">
        <f>'Exptl Setup'!C146</f>
        <v>a</v>
      </c>
      <c r="C78" s="3">
        <f>'Exptl Setup'!D146</f>
        <v>32</v>
      </c>
      <c r="D78" s="3" t="str">
        <f>'Exptl Setup'!E146</f>
        <v>-</v>
      </c>
      <c r="E78" s="75">
        <f>'Exptl Setup'!K146</f>
        <v>20.001859919464366</v>
      </c>
      <c r="F78" s="63">
        <f>'Exptl Setup'!F146</f>
        <v>31.994</v>
      </c>
      <c r="G78" s="64">
        <f>'Exptl Setup'!$C$5</f>
        <v>1.2793390913194711</v>
      </c>
      <c r="H78" s="7">
        <f t="shared" si="85"/>
        <v>25.008225119582931</v>
      </c>
      <c r="I78" s="8">
        <f t="shared" si="86"/>
        <v>9.4370660828614845</v>
      </c>
      <c r="J78" s="8">
        <f t="shared" si="87"/>
        <v>6.9857748804170683</v>
      </c>
      <c r="K78" s="8">
        <f>'Exptl Setup'!H146+'Exptl Setup'!I146+'Exptl Setup'!J146+5</f>
        <v>23.003024686832859</v>
      </c>
      <c r="L78" s="8">
        <f t="shared" si="88"/>
        <v>29.988799567249927</v>
      </c>
      <c r="M78" s="44">
        <v>300</v>
      </c>
      <c r="N78" s="85">
        <f t="shared" si="89"/>
        <v>260.5741343498886</v>
      </c>
      <c r="O78" s="193">
        <f>10^(-'Pre-DEA characterisation'!V79)</f>
        <v>1.7179083871575853E-9</v>
      </c>
      <c r="P78" s="66">
        <v>60</v>
      </c>
      <c r="Q78" s="30">
        <v>177.32</v>
      </c>
      <c r="R78" s="86">
        <f t="shared" si="47"/>
        <v>134.58588</v>
      </c>
      <c r="S78" s="86">
        <f t="shared" si="48"/>
        <v>35948.935473894977</v>
      </c>
      <c r="T78" s="86">
        <f t="shared" si="49"/>
        <v>1124.2704260855594</v>
      </c>
      <c r="U78" s="67">
        <f t="shared" si="50"/>
        <v>82248.083400196847</v>
      </c>
      <c r="V78" s="199">
        <f t="shared" si="81"/>
        <v>22431.295472780956</v>
      </c>
      <c r="W78" s="66">
        <v>120</v>
      </c>
      <c r="X78" s="30">
        <v>177.77699999999999</v>
      </c>
      <c r="Y78" s="86">
        <f t="shared" si="51"/>
        <v>134.93274299999999</v>
      </c>
      <c r="Z78" s="86">
        <f t="shared" si="52"/>
        <v>36041.585279396713</v>
      </c>
      <c r="AA78" s="86">
        <f t="shared" si="53"/>
        <v>1127.1679649120936</v>
      </c>
      <c r="AB78" s="67">
        <f t="shared" si="54"/>
        <v>82460.058214734905</v>
      </c>
      <c r="AC78" s="199">
        <f t="shared" si="90"/>
        <v>22489.106785836793</v>
      </c>
      <c r="AD78" s="66">
        <v>180</v>
      </c>
      <c r="AE78" s="30">
        <v>144.41499999999999</v>
      </c>
      <c r="AF78" s="86">
        <f t="shared" si="55"/>
        <v>109.610985</v>
      </c>
      <c r="AG78" s="86">
        <f t="shared" si="56"/>
        <v>29277.946742964934</v>
      </c>
      <c r="AH78" s="86">
        <f t="shared" si="57"/>
        <v>915.64129022753241</v>
      </c>
      <c r="AI78" s="67">
        <f t="shared" si="58"/>
        <v>66985.432913599303</v>
      </c>
      <c r="AJ78" s="199">
        <f t="shared" si="91"/>
        <v>18268.754430981629</v>
      </c>
      <c r="AK78" s="3">
        <v>240</v>
      </c>
      <c r="AL78" s="30">
        <v>175.49199999999999</v>
      </c>
      <c r="AM78" s="86">
        <f t="shared" si="59"/>
        <v>133.19842800000001</v>
      </c>
      <c r="AN78" s="86">
        <f t="shared" si="60"/>
        <v>35578.336251887988</v>
      </c>
      <c r="AO78" s="86">
        <f t="shared" si="61"/>
        <v>1112.6802707794216</v>
      </c>
      <c r="AP78" s="67">
        <f t="shared" si="62"/>
        <v>81400.184142044614</v>
      </c>
      <c r="AQ78" s="199">
        <f t="shared" si="92"/>
        <v>22200.050220557619</v>
      </c>
      <c r="AR78" s="199">
        <f>(((AL78*$N78*10^-3)*$E$3*$E$4)/($E$5*$E$6*$H78))*1000*(12/44)+'post-DEA dissolved CO2'!N76</f>
        <v>12004.595851315678</v>
      </c>
      <c r="AS78" s="87">
        <f t="shared" si="63"/>
        <v>22431.295472780956</v>
      </c>
      <c r="AT78" s="87">
        <f t="shared" si="64"/>
        <v>22489.106785836793</v>
      </c>
      <c r="AU78" s="87">
        <f t="shared" si="65"/>
        <v>18268.754430981629</v>
      </c>
      <c r="AV78" s="87">
        <f t="shared" si="66"/>
        <v>22200.050220557619</v>
      </c>
      <c r="AW78" s="71">
        <f t="shared" si="67"/>
        <v>9.5196367283350139E-2</v>
      </c>
      <c r="AX78" s="72">
        <f t="shared" si="68"/>
        <v>-8.1901468525419538</v>
      </c>
      <c r="AY78" s="88">
        <f t="shared" si="69"/>
        <v>-0.49140881115251722</v>
      </c>
      <c r="AZ78" s="88"/>
      <c r="BA78" s="3">
        <v>32</v>
      </c>
      <c r="BB78" s="3" t="s">
        <v>82</v>
      </c>
      <c r="BC78" s="111">
        <v>20.001859919464366</v>
      </c>
      <c r="BD78" s="75">
        <f t="shared" si="82"/>
        <v>12004.595851315678</v>
      </c>
      <c r="BE78" s="160">
        <f t="shared" si="83"/>
        <v>0.54074633760058888</v>
      </c>
      <c r="BF78" s="3">
        <f t="shared" si="70"/>
        <v>12129.640874542971</v>
      </c>
      <c r="BG78" s="3">
        <f t="shared" si="71"/>
        <v>12160.902130349798</v>
      </c>
      <c r="BH78" s="3">
        <f t="shared" si="72"/>
        <v>9878.762051077847</v>
      </c>
      <c r="BI78" s="3">
        <f t="shared" si="73"/>
        <v>12004.595851315678</v>
      </c>
      <c r="BJ78" s="222">
        <v>22200.050220557619</v>
      </c>
      <c r="BK78" s="71">
        <f t="shared" si="74"/>
        <v>9.5196367283349931E-2</v>
      </c>
      <c r="BL78" s="72">
        <f t="shared" si="75"/>
        <v>-4.4287919149230452</v>
      </c>
      <c r="BM78" s="88">
        <f t="shared" si="84"/>
        <v>-0.26572751489538277</v>
      </c>
      <c r="BN78" s="227">
        <v>-0.49140881115251722</v>
      </c>
      <c r="BO78" s="234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</row>
    <row r="79" spans="1:382">
      <c r="A79" s="3">
        <f>'Exptl Setup'!A147</f>
        <v>140</v>
      </c>
      <c r="B79" s="3" t="str">
        <f>'Exptl Setup'!C147</f>
        <v>b</v>
      </c>
      <c r="C79" s="3">
        <f>'Exptl Setup'!D147</f>
        <v>32</v>
      </c>
      <c r="D79" s="3" t="str">
        <f>'Exptl Setup'!E147</f>
        <v>-</v>
      </c>
      <c r="E79" s="75">
        <f>'Exptl Setup'!K147</f>
        <v>19.989364223881516</v>
      </c>
      <c r="F79" s="63">
        <f>'Exptl Setup'!F147</f>
        <v>32.014000000000003</v>
      </c>
      <c r="G79" s="64">
        <f>'Exptl Setup'!$C$5</f>
        <v>1.2793390913194711</v>
      </c>
      <c r="H79" s="7">
        <f t="shared" si="85"/>
        <v>25.023858191483654</v>
      </c>
      <c r="I79" s="8">
        <f t="shared" si="86"/>
        <v>9.4429653552768507</v>
      </c>
      <c r="J79" s="8">
        <f t="shared" si="87"/>
        <v>6.9901418085163485</v>
      </c>
      <c r="K79" s="8">
        <f>'Exptl Setup'!H147+'Exptl Setup'!I147+'Exptl Setup'!J147+5</f>
        <v>23.003024686832859</v>
      </c>
      <c r="L79" s="8">
        <f t="shared" si="88"/>
        <v>29.993166495349207</v>
      </c>
      <c r="M79" s="44">
        <v>300</v>
      </c>
      <c r="N79" s="85">
        <f t="shared" si="89"/>
        <v>260.56386814937395</v>
      </c>
      <c r="O79" s="193">
        <f>10^(-'Pre-DEA characterisation'!V80)</f>
        <v>1.7179083871575853E-9</v>
      </c>
      <c r="P79" s="66">
        <v>60</v>
      </c>
      <c r="Q79" s="30">
        <v>99.628</v>
      </c>
      <c r="R79" s="86">
        <f t="shared" si="47"/>
        <v>75.617652000000007</v>
      </c>
      <c r="S79" s="86">
        <f t="shared" si="48"/>
        <v>20198.06306898945</v>
      </c>
      <c r="T79" s="86">
        <f t="shared" si="49"/>
        <v>631.76332556775037</v>
      </c>
      <c r="U79" s="67">
        <f t="shared" si="50"/>
        <v>46188.941611285802</v>
      </c>
      <c r="V79" s="199">
        <f t="shared" si="81"/>
        <v>12596.98407580522</v>
      </c>
      <c r="W79" s="66">
        <v>120</v>
      </c>
      <c r="X79" s="30">
        <v>170.00800000000001</v>
      </c>
      <c r="Y79" s="86">
        <f t="shared" si="51"/>
        <v>129.03607200000002</v>
      </c>
      <c r="Z79" s="86">
        <f t="shared" si="52"/>
        <v>34466.538585867005</v>
      </c>
      <c r="AA79" s="86">
        <f t="shared" si="53"/>
        <v>1078.0585724206258</v>
      </c>
      <c r="AB79" s="67">
        <f t="shared" si="54"/>
        <v>78818.099183477301</v>
      </c>
      <c r="AC79" s="199">
        <f t="shared" si="90"/>
        <v>21495.845231857445</v>
      </c>
      <c r="AD79" s="66">
        <v>180</v>
      </c>
      <c r="AE79" s="30">
        <v>143.958</v>
      </c>
      <c r="AF79" s="86">
        <f t="shared" si="55"/>
        <v>109.264122</v>
      </c>
      <c r="AG79" s="86">
        <f t="shared" si="56"/>
        <v>29185.296937463187</v>
      </c>
      <c r="AH79" s="86">
        <f t="shared" si="57"/>
        <v>912.86972359258618</v>
      </c>
      <c r="AI79" s="67">
        <f t="shared" si="58"/>
        <v>66740.952909598491</v>
      </c>
      <c r="AJ79" s="199">
        <f t="shared" si="91"/>
        <v>18202.078066254137</v>
      </c>
      <c r="AK79" s="3">
        <v>240</v>
      </c>
      <c r="AL79" s="30">
        <v>110.59699999999999</v>
      </c>
      <c r="AM79" s="86">
        <f t="shared" si="59"/>
        <v>83.943123</v>
      </c>
      <c r="AN79" s="86">
        <f t="shared" si="60"/>
        <v>22421.861135835567</v>
      </c>
      <c r="AO79" s="86">
        <f t="shared" si="61"/>
        <v>701.32019630843217</v>
      </c>
      <c r="AP79" s="67">
        <f t="shared" si="62"/>
        <v>51274.324240006572</v>
      </c>
      <c r="AQ79" s="199">
        <f t="shared" si="92"/>
        <v>13983.906610910884</v>
      </c>
      <c r="AR79" s="199">
        <f>(((AL79*$N79*10^-3)*$E$3*$E$4)/($E$5*$E$6*$H79))*1000*(12/44)+'post-DEA dissolved CO2'!N77</f>
        <v>11940.70757797302</v>
      </c>
      <c r="AS79" s="87">
        <f t="shared" si="63"/>
        <v>12596.98407580522</v>
      </c>
      <c r="AT79" s="87">
        <f t="shared" si="64"/>
        <v>21495.845231857445</v>
      </c>
      <c r="AU79" s="87">
        <f t="shared" si="65"/>
        <v>18202.078066254137</v>
      </c>
      <c r="AV79" s="87">
        <f t="shared" si="66"/>
        <v>13983.906610910884</v>
      </c>
      <c r="AW79" s="71">
        <f t="shared" si="67"/>
        <v>7.6081398760402671E-4</v>
      </c>
      <c r="AX79" s="72">
        <f t="shared" si="68"/>
        <v>1.4450007328561445</v>
      </c>
      <c r="AY79" s="88">
        <f t="shared" si="69"/>
        <v>8.670004397136867E-2</v>
      </c>
      <c r="AZ79" s="88"/>
      <c r="BA79" s="3">
        <v>32</v>
      </c>
      <c r="BB79" s="3" t="s">
        <v>82</v>
      </c>
      <c r="BC79" s="111">
        <v>19.989364223881516</v>
      </c>
      <c r="BD79" s="75">
        <f t="shared" si="82"/>
        <v>11940.70757797302</v>
      </c>
      <c r="BE79" s="160">
        <f t="shared" si="83"/>
        <v>0.85388925356926604</v>
      </c>
      <c r="BF79" s="3">
        <f t="shared" si="70"/>
        <v>10756.42932971325</v>
      </c>
      <c r="BG79" s="3">
        <f t="shared" si="71"/>
        <v>18355.07123987122</v>
      </c>
      <c r="BH79" s="3">
        <f t="shared" si="72"/>
        <v>15542.558853403254</v>
      </c>
      <c r="BI79" s="3">
        <f t="shared" si="73"/>
        <v>11940.70757797302</v>
      </c>
      <c r="BJ79" s="222">
        <v>13983.906610910884</v>
      </c>
      <c r="BK79" s="71">
        <f t="shared" si="74"/>
        <v>7.6081398760402628E-4</v>
      </c>
      <c r="BL79" s="72">
        <f t="shared" si="75"/>
        <v>1.233870597185575</v>
      </c>
      <c r="BM79" s="88">
        <f t="shared" si="84"/>
        <v>7.4032235831134496E-2</v>
      </c>
      <c r="BN79" s="227">
        <v>8.670004397136867E-2</v>
      </c>
      <c r="BO79" s="234"/>
      <c r="BR79" s="231"/>
      <c r="BS79" s="231"/>
      <c r="BT79" s="231"/>
      <c r="BU79" s="231"/>
      <c r="BV79" s="231"/>
      <c r="BW79" s="231"/>
      <c r="BX79" s="231"/>
      <c r="BY79" s="231"/>
      <c r="BZ79" s="231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</row>
    <row r="80" spans="1:382" ht="15.75" thickBot="1">
      <c r="A80" s="132">
        <f>'Exptl Setup'!A148</f>
        <v>141</v>
      </c>
      <c r="B80" s="132" t="str">
        <f>'Exptl Setup'!C148</f>
        <v>c</v>
      </c>
      <c r="C80" s="132">
        <f>'Exptl Setup'!D148</f>
        <v>32</v>
      </c>
      <c r="D80" s="132" t="str">
        <f>'Exptl Setup'!E148</f>
        <v>-</v>
      </c>
      <c r="E80" s="148">
        <f>'Exptl Setup'!K148</f>
        <v>19.999984569282837</v>
      </c>
      <c r="F80" s="134">
        <f>'Exptl Setup'!F148</f>
        <v>31.997</v>
      </c>
      <c r="G80" s="135">
        <f>'Exptl Setup'!$C$5</f>
        <v>1.2793390913194711</v>
      </c>
      <c r="H80" s="136">
        <f t="shared" si="85"/>
        <v>25.010570080368041</v>
      </c>
      <c r="I80" s="137">
        <f t="shared" si="86"/>
        <v>9.4379509737237886</v>
      </c>
      <c r="J80" s="137">
        <f t="shared" si="87"/>
        <v>6.9864299196319593</v>
      </c>
      <c r="K80" s="137">
        <f>'Exptl Setup'!H148+'Exptl Setup'!I148+'Exptl Setup'!J148+5</f>
        <v>23.003024686832859</v>
      </c>
      <c r="L80" s="137">
        <f t="shared" si="88"/>
        <v>29.989454606464818</v>
      </c>
      <c r="M80" s="138">
        <v>300</v>
      </c>
      <c r="N80" s="137">
        <f t="shared" si="89"/>
        <v>260.57259441981137</v>
      </c>
      <c r="O80" s="195">
        <f>10^(-'Pre-DEA characterisation'!V81)</f>
        <v>1.7179083871575853E-9</v>
      </c>
      <c r="P80" s="140">
        <v>60</v>
      </c>
      <c r="Q80" s="132">
        <v>132.07599999999999</v>
      </c>
      <c r="R80" s="149">
        <f t="shared" si="47"/>
        <v>100.245684</v>
      </c>
      <c r="S80" s="149">
        <f t="shared" si="48"/>
        <v>26776.401994417734</v>
      </c>
      <c r="T80" s="149">
        <f t="shared" si="49"/>
        <v>837.42507811663563</v>
      </c>
      <c r="U80" s="141">
        <f t="shared" si="50"/>
        <v>61257.637202782695</v>
      </c>
      <c r="V80" s="199">
        <f t="shared" si="81"/>
        <v>16706.628328031642</v>
      </c>
      <c r="W80" s="140">
        <v>120</v>
      </c>
      <c r="X80" s="132">
        <v>136.64599999999999</v>
      </c>
      <c r="Y80" s="149">
        <f t="shared" si="51"/>
        <v>103.71431399999999</v>
      </c>
      <c r="Z80" s="149">
        <f t="shared" si="52"/>
        <v>27702.900049435211</v>
      </c>
      <c r="AA80" s="149">
        <f t="shared" si="53"/>
        <v>866.40106623705879</v>
      </c>
      <c r="AB80" s="141">
        <f t="shared" si="54"/>
        <v>63377.230482536135</v>
      </c>
      <c r="AC80" s="199">
        <f t="shared" si="90"/>
        <v>17284.699222509855</v>
      </c>
      <c r="AD80" s="140">
        <v>180</v>
      </c>
      <c r="AE80" s="132">
        <v>183.71799999999999</v>
      </c>
      <c r="AF80" s="149">
        <f t="shared" si="55"/>
        <v>139.44196199999999</v>
      </c>
      <c r="AG80" s="149">
        <f t="shared" si="56"/>
        <v>37246.032750919447</v>
      </c>
      <c r="AH80" s="149">
        <f t="shared" si="57"/>
        <v>1164.8600843562197</v>
      </c>
      <c r="AI80" s="141">
        <f t="shared" si="58"/>
        <v>85209.505069966021</v>
      </c>
      <c r="AJ80" s="199">
        <f t="shared" si="91"/>
        <v>23238.955928172552</v>
      </c>
      <c r="AK80" s="132">
        <v>240</v>
      </c>
      <c r="AL80" s="132">
        <v>179.148</v>
      </c>
      <c r="AM80" s="149">
        <f t="shared" si="59"/>
        <v>135.973332</v>
      </c>
      <c r="AN80" s="149">
        <f t="shared" si="60"/>
        <v>36319.534695901966</v>
      </c>
      <c r="AO80" s="149">
        <f t="shared" si="61"/>
        <v>1135.8840962357963</v>
      </c>
      <c r="AP80" s="141">
        <f t="shared" si="62"/>
        <v>83089.911790212558</v>
      </c>
      <c r="AQ80" s="199">
        <f t="shared" si="92"/>
        <v>22660.885033694332</v>
      </c>
      <c r="AR80" s="199">
        <f>(((AL80*$N80*10^-3)*$E$3*$E$4)/($E$5*$E$6*$H80))*1000*(12/44)+'post-DEA dissolved CO2'!N78</f>
        <v>11809.323052325431</v>
      </c>
      <c r="AS80" s="87">
        <f t="shared" si="63"/>
        <v>16706.628328031642</v>
      </c>
      <c r="AT80" s="87">
        <f t="shared" si="64"/>
        <v>17284.699222509855</v>
      </c>
      <c r="AU80" s="87">
        <f t="shared" si="65"/>
        <v>23238.955928172552</v>
      </c>
      <c r="AV80" s="87">
        <f t="shared" si="66"/>
        <v>22660.885033694332</v>
      </c>
      <c r="AW80" s="145">
        <f t="shared" si="67"/>
        <v>0.79252996239366125</v>
      </c>
      <c r="AX80" s="146">
        <f t="shared" si="68"/>
        <v>39.695044704417946</v>
      </c>
      <c r="AY80" s="150">
        <f t="shared" si="69"/>
        <v>2.3817026822650771</v>
      </c>
      <c r="AZ80" s="211"/>
      <c r="BA80" s="132">
        <v>32</v>
      </c>
      <c r="BB80" s="132" t="s">
        <v>82</v>
      </c>
      <c r="BC80" s="133">
        <v>19.999984569282837</v>
      </c>
      <c r="BD80" s="148">
        <f t="shared" si="82"/>
        <v>11809.323052325431</v>
      </c>
      <c r="BE80" s="161">
        <f t="shared" si="83"/>
        <v>0.52113247275056651</v>
      </c>
      <c r="BF80" s="132">
        <f t="shared" si="70"/>
        <v>8706.3665319117918</v>
      </c>
      <c r="BG80" s="132">
        <f t="shared" si="71"/>
        <v>9007.6180465763555</v>
      </c>
      <c r="BH80" s="132">
        <f t="shared" si="72"/>
        <v>12110.574566989999</v>
      </c>
      <c r="BI80" s="132">
        <f t="shared" si="73"/>
        <v>11809.323052325431</v>
      </c>
      <c r="BJ80" s="222">
        <v>22660.885033694332</v>
      </c>
      <c r="BK80" s="145">
        <f t="shared" si="74"/>
        <v>0.79252996239366147</v>
      </c>
      <c r="BL80" s="146">
        <f t="shared" si="75"/>
        <v>20.686376802757607</v>
      </c>
      <c r="BM80" s="150">
        <f t="shared" si="84"/>
        <v>1.2411826081654564</v>
      </c>
      <c r="BN80" s="227">
        <v>2.3817026822650771</v>
      </c>
      <c r="BO80" s="234"/>
      <c r="BR80" s="231"/>
      <c r="BS80" s="231"/>
      <c r="BT80" s="231"/>
      <c r="BU80" s="231"/>
      <c r="BV80" s="231"/>
      <c r="BW80" s="231"/>
      <c r="BX80" s="231"/>
      <c r="BY80" s="231"/>
      <c r="BZ80" s="231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</row>
    <row r="81" spans="1:382">
      <c r="A81" s="3">
        <f>'Exptl Setup'!A152</f>
        <v>145</v>
      </c>
      <c r="B81" s="3" t="str">
        <f>'Exptl Setup'!C152</f>
        <v>a</v>
      </c>
      <c r="C81" s="3">
        <f>'Exptl Setup'!D152</f>
        <v>40</v>
      </c>
      <c r="D81" s="3" t="str">
        <f>'Exptl Setup'!E152</f>
        <v>+</v>
      </c>
      <c r="E81" s="75">
        <f>'Exptl Setup'!K152</f>
        <v>0</v>
      </c>
      <c r="F81" s="63">
        <f>'Exptl Setup'!F152</f>
        <v>31.995999999999999</v>
      </c>
      <c r="G81" s="64">
        <f>'Exptl Setup'!$C$5</f>
        <v>1.2793390913194711</v>
      </c>
      <c r="H81" s="7">
        <f t="shared" si="85"/>
        <v>25.009788426773003</v>
      </c>
      <c r="I81" s="8">
        <f t="shared" si="86"/>
        <v>9.4376560101030211</v>
      </c>
      <c r="J81" s="8">
        <f t="shared" si="87"/>
        <v>6.9862115732269956</v>
      </c>
      <c r="K81" s="8">
        <f>'Exptl Setup'!H152+'Exptl Setup'!I152+'Exptl Setup'!J152+5</f>
        <v>23.003024686832859</v>
      </c>
      <c r="L81" s="8">
        <f t="shared" si="88"/>
        <v>29.989236260059855</v>
      </c>
      <c r="M81" s="44">
        <v>300</v>
      </c>
      <c r="N81" s="85">
        <f t="shared" si="89"/>
        <v>260.57310772983715</v>
      </c>
      <c r="O81" s="193">
        <f>10^(-'Pre-DEA characterisation'!V82)</f>
        <v>2.6302679918953804E-5</v>
      </c>
      <c r="P81" s="66">
        <v>60</v>
      </c>
      <c r="Q81" s="30">
        <v>314.755</v>
      </c>
      <c r="R81" s="86">
        <f t="shared" si="47"/>
        <v>238.899045</v>
      </c>
      <c r="S81" s="86">
        <f t="shared" si="48"/>
        <v>242.94084853153447</v>
      </c>
      <c r="T81" s="86">
        <f t="shared" si="49"/>
        <v>89.302299027336488</v>
      </c>
      <c r="U81" s="67">
        <f t="shared" si="50"/>
        <v>6532.6665644654959</v>
      </c>
      <c r="V81" s="199">
        <f t="shared" si="81"/>
        <v>1781.636335763317</v>
      </c>
      <c r="W81" s="66">
        <v>120</v>
      </c>
      <c r="X81" s="30">
        <v>377.25299999999999</v>
      </c>
      <c r="Y81" s="86">
        <f t="shared" si="51"/>
        <v>286.33502699999997</v>
      </c>
      <c r="Z81" s="86">
        <f t="shared" si="52"/>
        <v>291.17937421507833</v>
      </c>
      <c r="AA81" s="86">
        <f t="shared" si="53"/>
        <v>107.03423365779661</v>
      </c>
      <c r="AB81" s="67">
        <f t="shared" si="54"/>
        <v>7829.7979680840708</v>
      </c>
      <c r="AC81" s="199">
        <f t="shared" si="90"/>
        <v>2135.3994458411103</v>
      </c>
      <c r="AD81" s="66">
        <v>180</v>
      </c>
      <c r="AE81" s="30">
        <v>478.21199999999999</v>
      </c>
      <c r="AF81" s="86">
        <f t="shared" si="55"/>
        <v>362.96290799999997</v>
      </c>
      <c r="AG81" s="86">
        <f t="shared" si="56"/>
        <v>369.10368082464828</v>
      </c>
      <c r="AH81" s="86">
        <f t="shared" si="57"/>
        <v>135.67832448240898</v>
      </c>
      <c r="AI81" s="67">
        <f t="shared" si="58"/>
        <v>9925.1784503063445</v>
      </c>
      <c r="AJ81" s="199">
        <f t="shared" si="91"/>
        <v>2706.8668500835483</v>
      </c>
      <c r="AK81" s="3">
        <v>240</v>
      </c>
      <c r="AL81" s="30">
        <v>559.375</v>
      </c>
      <c r="AM81" s="86">
        <f t="shared" si="59"/>
        <v>424.56562500000001</v>
      </c>
      <c r="AN81" s="86">
        <f t="shared" si="60"/>
        <v>431.74862082358374</v>
      </c>
      <c r="AO81" s="86">
        <f t="shared" si="61"/>
        <v>158.7058935312111</v>
      </c>
      <c r="AP81" s="67">
        <f t="shared" si="62"/>
        <v>11609.69757270857</v>
      </c>
      <c r="AQ81" s="199">
        <f t="shared" si="92"/>
        <v>3166.2811561932467</v>
      </c>
      <c r="AR81" s="199">
        <f>(((AL81*$N81*10^-3)*$E$3*$E$4)/($E$5*$E$6*$H81))*1000*(12/44)+'post-DEA dissolved CO2'!N79</f>
        <v>6242.2617757378066</v>
      </c>
      <c r="AS81" s="87">
        <f t="shared" si="63"/>
        <v>1781.636335763317</v>
      </c>
      <c r="AT81" s="87">
        <f t="shared" si="64"/>
        <v>2135.3994458411103</v>
      </c>
      <c r="AU81" s="87">
        <f t="shared" si="65"/>
        <v>2706.8668500835483</v>
      </c>
      <c r="AV81" s="87">
        <f t="shared" si="66"/>
        <v>3166.2811561932467</v>
      </c>
      <c r="AW81" s="71">
        <f t="shared" si="67"/>
        <v>0.99268467115763404</v>
      </c>
      <c r="AX81" s="72">
        <f t="shared" si="68"/>
        <v>7.8756697758870464</v>
      </c>
      <c r="AY81" s="88">
        <f t="shared" si="69"/>
        <v>0.47254018655322277</v>
      </c>
      <c r="AZ81" s="88"/>
      <c r="BA81" s="3">
        <v>40</v>
      </c>
      <c r="BB81" s="3" t="s">
        <v>81</v>
      </c>
      <c r="BC81" s="111">
        <v>0</v>
      </c>
      <c r="BD81" s="75">
        <f t="shared" si="82"/>
        <v>6242.2617757378066</v>
      </c>
      <c r="BE81" s="160">
        <f t="shared" si="83"/>
        <v>0.50723299822186751</v>
      </c>
      <c r="BF81" s="3">
        <f t="shared" si="70"/>
        <v>3512.4614171572803</v>
      </c>
      <c r="BG81" s="3">
        <f t="shared" si="71"/>
        <v>4209.8985147395133</v>
      </c>
      <c r="BH81" s="3">
        <f t="shared" si="72"/>
        <v>5336.535398076654</v>
      </c>
      <c r="BI81" s="3">
        <f t="shared" si="73"/>
        <v>6242.2617757378075</v>
      </c>
      <c r="BJ81" s="222">
        <v>3166.2811561932467</v>
      </c>
      <c r="BK81" s="71">
        <f t="shared" si="74"/>
        <v>0.99268467115763404</v>
      </c>
      <c r="BL81" s="72">
        <f t="shared" si="75"/>
        <v>15.52672993179787</v>
      </c>
      <c r="BM81" s="88">
        <f t="shared" si="84"/>
        <v>0.93160379590787223</v>
      </c>
      <c r="BN81" s="227">
        <v>0.47254018655322277</v>
      </c>
      <c r="BO81" s="234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</row>
    <row r="82" spans="1:382">
      <c r="A82" s="3">
        <f>'Exptl Setup'!A153</f>
        <v>146</v>
      </c>
      <c r="B82" s="3" t="str">
        <f>'Exptl Setup'!C153</f>
        <v>b</v>
      </c>
      <c r="C82" s="3">
        <f>'Exptl Setup'!D153</f>
        <v>40</v>
      </c>
      <c r="D82" s="3" t="str">
        <f>'Exptl Setup'!E153</f>
        <v>+</v>
      </c>
      <c r="E82" s="75">
        <f>'Exptl Setup'!K153</f>
        <v>0</v>
      </c>
      <c r="F82" s="63">
        <f>'Exptl Setup'!F153</f>
        <v>32.002000000000002</v>
      </c>
      <c r="G82" s="64">
        <f>'Exptl Setup'!$C$5</f>
        <v>1.2793390913194711</v>
      </c>
      <c r="H82" s="7">
        <f t="shared" si="85"/>
        <v>25.014478348343221</v>
      </c>
      <c r="I82" s="8">
        <f t="shared" si="86"/>
        <v>9.439425791827631</v>
      </c>
      <c r="J82" s="8">
        <f t="shared" si="87"/>
        <v>6.9875216516567811</v>
      </c>
      <c r="K82" s="8">
        <f>'Exptl Setup'!H153+'Exptl Setup'!I153+'Exptl Setup'!J153+5</f>
        <v>23.003024686832859</v>
      </c>
      <c r="L82" s="8">
        <f t="shared" si="88"/>
        <v>29.99054633848964</v>
      </c>
      <c r="M82" s="44">
        <v>300</v>
      </c>
      <c r="N82" s="85">
        <f t="shared" si="89"/>
        <v>260.57002786968275</v>
      </c>
      <c r="O82" s="193">
        <f>10^(-'Pre-DEA characterisation'!V83)</f>
        <v>2.6302679918953804E-5</v>
      </c>
      <c r="P82" s="66">
        <v>60</v>
      </c>
      <c r="Q82" s="30">
        <v>381.21199999999999</v>
      </c>
      <c r="R82" s="86">
        <f t="shared" si="47"/>
        <v>289.33990799999998</v>
      </c>
      <c r="S82" s="86">
        <f t="shared" si="48"/>
        <v>294.23509316898321</v>
      </c>
      <c r="T82" s="86">
        <f t="shared" si="49"/>
        <v>108.15669266035169</v>
      </c>
      <c r="U82" s="67">
        <f t="shared" si="50"/>
        <v>7910.4250104663179</v>
      </c>
      <c r="V82" s="199">
        <f t="shared" si="81"/>
        <v>2157.3886392180866</v>
      </c>
      <c r="W82" s="66">
        <v>120</v>
      </c>
      <c r="X82" s="30">
        <v>357.74</v>
      </c>
      <c r="Y82" s="86">
        <f t="shared" si="51"/>
        <v>271.52465999999998</v>
      </c>
      <c r="Z82" s="86">
        <f t="shared" si="52"/>
        <v>276.11843863853198</v>
      </c>
      <c r="AA82" s="86">
        <f t="shared" si="53"/>
        <v>101.49726459900062</v>
      </c>
      <c r="AB82" s="67">
        <f t="shared" si="54"/>
        <v>7423.364015939218</v>
      </c>
      <c r="AC82" s="199">
        <f t="shared" si="90"/>
        <v>2024.5538225288778</v>
      </c>
      <c r="AD82" s="66">
        <v>180</v>
      </c>
      <c r="AE82" s="30">
        <v>439.46899999999999</v>
      </c>
      <c r="AF82" s="86">
        <f t="shared" si="55"/>
        <v>333.55697099999998</v>
      </c>
      <c r="AG82" s="86">
        <f t="shared" si="56"/>
        <v>339.20024070564381</v>
      </c>
      <c r="AH82" s="86">
        <f t="shared" si="57"/>
        <v>124.68525011477107</v>
      </c>
      <c r="AI82" s="67">
        <f t="shared" si="58"/>
        <v>9119.2999405176743</v>
      </c>
      <c r="AJ82" s="199">
        <f t="shared" si="91"/>
        <v>2487.0818019593657</v>
      </c>
      <c r="AK82" s="3">
        <v>240</v>
      </c>
      <c r="AL82" s="30">
        <v>524.59100000000001</v>
      </c>
      <c r="AM82" s="86">
        <f t="shared" si="59"/>
        <v>398.16456900000003</v>
      </c>
      <c r="AN82" s="86">
        <f t="shared" si="60"/>
        <v>404.90089965848421</v>
      </c>
      <c r="AO82" s="86">
        <f t="shared" si="61"/>
        <v>148.83589068388866</v>
      </c>
      <c r="AP82" s="67">
        <f t="shared" si="62"/>
        <v>10885.643071743641</v>
      </c>
      <c r="AQ82" s="199">
        <f t="shared" si="92"/>
        <v>2968.8117468391752</v>
      </c>
      <c r="AR82" s="199">
        <f>(((AL82*$N82*10^-3)*$E$3*$E$4)/($E$5*$E$6*$H82))*1000*(12/44)+'post-DEA dissolved CO2'!N80</f>
        <v>6063.5233479514864</v>
      </c>
      <c r="AS82" s="87">
        <f t="shared" si="63"/>
        <v>2157.3886392180866</v>
      </c>
      <c r="AT82" s="87">
        <f t="shared" si="64"/>
        <v>2024.5538225288778</v>
      </c>
      <c r="AU82" s="87">
        <f t="shared" si="65"/>
        <v>2487.0818019593657</v>
      </c>
      <c r="AV82" s="87">
        <f t="shared" si="66"/>
        <v>2968.8117468391752</v>
      </c>
      <c r="AW82" s="71">
        <f t="shared" si="67"/>
        <v>0.79076112556853606</v>
      </c>
      <c r="AX82" s="72">
        <f t="shared" si="68"/>
        <v>4.8279955038229216</v>
      </c>
      <c r="AY82" s="88">
        <f t="shared" si="69"/>
        <v>0.28967973022937532</v>
      </c>
      <c r="AZ82" s="88"/>
      <c r="BA82" s="3">
        <v>40</v>
      </c>
      <c r="BB82" s="3" t="s">
        <v>81</v>
      </c>
      <c r="BC82" s="111">
        <v>0</v>
      </c>
      <c r="BD82" s="75">
        <f t="shared" si="82"/>
        <v>6063.5233479514864</v>
      </c>
      <c r="BE82" s="160">
        <f t="shared" si="83"/>
        <v>0.4896182592983937</v>
      </c>
      <c r="BF82" s="3">
        <f t="shared" si="70"/>
        <v>4406.2667154398023</v>
      </c>
      <c r="BG82" s="3">
        <f t="shared" si="71"/>
        <v>4134.9638909096129</v>
      </c>
      <c r="BH82" s="3">
        <f t="shared" si="72"/>
        <v>5079.6345004029654</v>
      </c>
      <c r="BI82" s="3">
        <f t="shared" si="73"/>
        <v>6063.5233479514864</v>
      </c>
      <c r="BJ82" s="222">
        <v>2968.8117468391752</v>
      </c>
      <c r="BK82" s="71">
        <f t="shared" si="74"/>
        <v>0.79076112556853617</v>
      </c>
      <c r="BL82" s="72">
        <f t="shared" si="75"/>
        <v>9.8607341783806746</v>
      </c>
      <c r="BM82" s="88">
        <f t="shared" si="84"/>
        <v>0.59164405070284043</v>
      </c>
      <c r="BN82" s="227">
        <v>0.28967973022937532</v>
      </c>
      <c r="BO82" s="234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</row>
    <row r="83" spans="1:382">
      <c r="A83" s="3">
        <f>'Exptl Setup'!A154</f>
        <v>147</v>
      </c>
      <c r="B83" s="3" t="str">
        <f>'Exptl Setup'!C154</f>
        <v>c</v>
      </c>
      <c r="C83" s="3">
        <f>'Exptl Setup'!D154</f>
        <v>40</v>
      </c>
      <c r="D83" s="3" t="str">
        <f>'Exptl Setup'!E154</f>
        <v>+</v>
      </c>
      <c r="E83" s="75">
        <f>'Exptl Setup'!K154</f>
        <v>0</v>
      </c>
      <c r="F83" s="63">
        <f>'Exptl Setup'!F154</f>
        <v>32.000999999999998</v>
      </c>
      <c r="G83" s="64">
        <f>'Exptl Setup'!$C$5</f>
        <v>1.2793390913194711</v>
      </c>
      <c r="H83" s="7">
        <f t="shared" si="85"/>
        <v>25.013696694748184</v>
      </c>
      <c r="I83" s="8">
        <f t="shared" si="86"/>
        <v>9.4391308282068618</v>
      </c>
      <c r="J83" s="8">
        <f t="shared" si="87"/>
        <v>6.9873033052518139</v>
      </c>
      <c r="K83" s="8">
        <f>'Exptl Setup'!H154+'Exptl Setup'!I154+'Exptl Setup'!J154+5</f>
        <v>23.003024686832859</v>
      </c>
      <c r="L83" s="8">
        <f t="shared" si="88"/>
        <v>29.990327992084673</v>
      </c>
      <c r="M83" s="44">
        <v>300</v>
      </c>
      <c r="N83" s="85">
        <f t="shared" si="89"/>
        <v>260.57054117970847</v>
      </c>
      <c r="O83" s="193">
        <f>10^(-'Pre-DEA characterisation'!V84)</f>
        <v>2.6302679918953804E-5</v>
      </c>
      <c r="P83" s="66">
        <v>60</v>
      </c>
      <c r="Q83" s="30">
        <v>380.08100000000002</v>
      </c>
      <c r="R83" s="86">
        <f t="shared" si="47"/>
        <v>288.48147900000004</v>
      </c>
      <c r="S83" s="86">
        <f t="shared" si="48"/>
        <v>293.36214087374043</v>
      </c>
      <c r="T83" s="86">
        <f t="shared" si="49"/>
        <v>107.83593868738839</v>
      </c>
      <c r="U83" s="67">
        <f t="shared" si="50"/>
        <v>7887.2119859842996</v>
      </c>
      <c r="V83" s="199">
        <f t="shared" si="81"/>
        <v>2151.0578143593543</v>
      </c>
      <c r="W83" s="66">
        <v>120</v>
      </c>
      <c r="X83" s="30">
        <v>572.66700000000003</v>
      </c>
      <c r="Y83" s="86">
        <f t="shared" si="51"/>
        <v>434.65425300000004</v>
      </c>
      <c r="Z83" s="86">
        <f t="shared" si="52"/>
        <v>442.0079328557394</v>
      </c>
      <c r="AA83" s="86">
        <f t="shared" si="53"/>
        <v>162.4761129872071</v>
      </c>
      <c r="AB83" s="67">
        <f t="shared" si="54"/>
        <v>11883.640661800173</v>
      </c>
      <c r="AC83" s="199">
        <f t="shared" si="90"/>
        <v>3240.9929077636839</v>
      </c>
      <c r="AD83" s="66">
        <v>180</v>
      </c>
      <c r="AE83" s="30">
        <v>565.03099999999995</v>
      </c>
      <c r="AF83" s="86">
        <f t="shared" si="55"/>
        <v>428.85852899999998</v>
      </c>
      <c r="AG83" s="86">
        <f t="shared" si="56"/>
        <v>436.11415414090789</v>
      </c>
      <c r="AH83" s="86">
        <f t="shared" si="57"/>
        <v>160.30963997798827</v>
      </c>
      <c r="AI83" s="67">
        <f t="shared" si="58"/>
        <v>11725.182989027851</v>
      </c>
      <c r="AJ83" s="199">
        <f t="shared" si="91"/>
        <v>3197.7771788257774</v>
      </c>
      <c r="AK83" s="3">
        <v>240</v>
      </c>
      <c r="AL83" s="30">
        <v>652.98199999999997</v>
      </c>
      <c r="AM83" s="86">
        <f t="shared" si="59"/>
        <v>495.613338</v>
      </c>
      <c r="AN83" s="86">
        <f t="shared" si="60"/>
        <v>503.99835159352017</v>
      </c>
      <c r="AO83" s="86">
        <f t="shared" si="61"/>
        <v>185.26294899236805</v>
      </c>
      <c r="AP83" s="67">
        <f t="shared" si="62"/>
        <v>13550.289167393266</v>
      </c>
      <c r="AQ83" s="199">
        <f t="shared" si="92"/>
        <v>3695.5334092890726</v>
      </c>
      <c r="AR83" s="199">
        <f>(((AL83*$N83*10^-3)*$E$3*$E$4)/($E$5*$E$6*$H83))*1000*(12/44)+'post-DEA dissolved CO2'!N81</f>
        <v>7082.7309505929879</v>
      </c>
      <c r="AS83" s="87">
        <f t="shared" si="63"/>
        <v>2151.0578143593543</v>
      </c>
      <c r="AT83" s="87">
        <f t="shared" si="64"/>
        <v>3240.9929077636839</v>
      </c>
      <c r="AU83" s="87">
        <f t="shared" si="65"/>
        <v>3197.7771788257774</v>
      </c>
      <c r="AV83" s="87">
        <f t="shared" si="66"/>
        <v>3695.5334092890726</v>
      </c>
      <c r="AW83" s="71">
        <f t="shared" si="67"/>
        <v>0.82220995519232842</v>
      </c>
      <c r="AX83" s="72">
        <f t="shared" si="68"/>
        <v>7.6503517597520796</v>
      </c>
      <c r="AY83" s="88">
        <f t="shared" si="69"/>
        <v>0.45902110558512477</v>
      </c>
      <c r="AZ83" s="88"/>
      <c r="BA83" s="3">
        <v>40</v>
      </c>
      <c r="BB83" s="3" t="s">
        <v>81</v>
      </c>
      <c r="BC83" s="111">
        <v>0</v>
      </c>
      <c r="BD83" s="75">
        <f t="shared" si="82"/>
        <v>7082.7309505929879</v>
      </c>
      <c r="BE83" s="160">
        <f t="shared" si="83"/>
        <v>0.52176673589156608</v>
      </c>
      <c r="BF83" s="3">
        <f t="shared" si="70"/>
        <v>4122.6426799396204</v>
      </c>
      <c r="BG83" s="3">
        <f t="shared" si="71"/>
        <v>6211.5744159612914</v>
      </c>
      <c r="BH83" s="3">
        <f t="shared" si="72"/>
        <v>6128.7486511795214</v>
      </c>
      <c r="BI83" s="3">
        <f t="shared" si="73"/>
        <v>7082.7309505929888</v>
      </c>
      <c r="BJ83" s="222">
        <v>3695.5334092890726</v>
      </c>
      <c r="BK83" s="71">
        <f t="shared" si="74"/>
        <v>0.82220995519232876</v>
      </c>
      <c r="BL83" s="72">
        <f t="shared" si="75"/>
        <v>14.662398411963895</v>
      </c>
      <c r="BM83" s="88">
        <f t="shared" si="84"/>
        <v>0.8797439047178337</v>
      </c>
      <c r="BN83" s="227">
        <v>0.45902110558512477</v>
      </c>
      <c r="BO83" s="234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</row>
    <row r="84" spans="1:382">
      <c r="A84" s="3">
        <f>'Exptl Setup'!A158</f>
        <v>151</v>
      </c>
      <c r="B84" s="3" t="str">
        <f>'Exptl Setup'!C158</f>
        <v>a</v>
      </c>
      <c r="C84" s="3">
        <f>'Exptl Setup'!D158</f>
        <v>40</v>
      </c>
      <c r="D84" s="3" t="str">
        <f>'Exptl Setup'!E158</f>
        <v>+</v>
      </c>
      <c r="E84" s="75">
        <f>'Exptl Setup'!K158</f>
        <v>5.9990579300982079</v>
      </c>
      <c r="F84" s="63">
        <f>'Exptl Setup'!F158</f>
        <v>32.002000000000002</v>
      </c>
      <c r="G84" s="64">
        <f>'Exptl Setup'!$C$5</f>
        <v>1.2793390913194711</v>
      </c>
      <c r="H84" s="7">
        <f t="shared" si="85"/>
        <v>25.014478348343221</v>
      </c>
      <c r="I84" s="8">
        <f t="shared" si="86"/>
        <v>9.439425791827631</v>
      </c>
      <c r="J84" s="8">
        <f t="shared" si="87"/>
        <v>6.9875216516567811</v>
      </c>
      <c r="K84" s="8">
        <f>'Exptl Setup'!H158+'Exptl Setup'!I158+'Exptl Setup'!J158+5</f>
        <v>23.003024686832859</v>
      </c>
      <c r="L84" s="8">
        <f t="shared" si="88"/>
        <v>29.99054633848964</v>
      </c>
      <c r="M84" s="44">
        <v>300</v>
      </c>
      <c r="N84" s="85">
        <f t="shared" si="89"/>
        <v>260.57002786968275</v>
      </c>
      <c r="O84" s="193">
        <f>10^(-'Pre-DEA characterisation'!V85)</f>
        <v>2.2908676527677676E-7</v>
      </c>
      <c r="P84" s="66">
        <v>60</v>
      </c>
      <c r="Q84" s="30">
        <v>1551.998</v>
      </c>
      <c r="R84" s="86">
        <f t="shared" si="47"/>
        <v>1177.966482</v>
      </c>
      <c r="S84" s="86">
        <f t="shared" si="48"/>
        <v>3466.6294703671892</v>
      </c>
      <c r="T84" s="86">
        <f t="shared" si="49"/>
        <v>508.37027388311293</v>
      </c>
      <c r="U84" s="67">
        <f t="shared" si="50"/>
        <v>37181.470976846649</v>
      </c>
      <c r="V84" s="199">
        <f t="shared" si="81"/>
        <v>10140.401175503632</v>
      </c>
      <c r="W84" s="66">
        <v>120</v>
      </c>
      <c r="X84" s="30">
        <v>1803.4059999999999</v>
      </c>
      <c r="Y84" s="86">
        <f t="shared" si="51"/>
        <v>1368.7851539999999</v>
      </c>
      <c r="Z84" s="86">
        <f t="shared" si="52"/>
        <v>4028.1884297769784</v>
      </c>
      <c r="AA84" s="86">
        <f t="shared" si="53"/>
        <v>590.72112344374739</v>
      </c>
      <c r="AB84" s="67">
        <f t="shared" si="54"/>
        <v>43204.493722589265</v>
      </c>
      <c r="AC84" s="199">
        <f t="shared" si="90"/>
        <v>11783.043742524345</v>
      </c>
      <c r="AD84" s="66">
        <v>180</v>
      </c>
      <c r="AE84" s="30">
        <v>1956.682</v>
      </c>
      <c r="AF84" s="86">
        <f t="shared" si="55"/>
        <v>1485.1216380000001</v>
      </c>
      <c r="AG84" s="86">
        <f t="shared" si="56"/>
        <v>4370.5542696169796</v>
      </c>
      <c r="AH84" s="86">
        <f t="shared" si="57"/>
        <v>640.92799361993832</v>
      </c>
      <c r="AI84" s="67">
        <f t="shared" si="58"/>
        <v>46876.552027720551</v>
      </c>
      <c r="AJ84" s="199">
        <f t="shared" si="91"/>
        <v>12784.514189378331</v>
      </c>
      <c r="AK84" s="3">
        <v>240</v>
      </c>
      <c r="AL84" s="30">
        <v>2181.2240000000002</v>
      </c>
      <c r="AM84" s="86">
        <f t="shared" si="59"/>
        <v>1655.5490160000002</v>
      </c>
      <c r="AN84" s="86">
        <f t="shared" si="60"/>
        <v>4872.1038299483644</v>
      </c>
      <c r="AO84" s="86">
        <f t="shared" si="61"/>
        <v>714.47865414802015</v>
      </c>
      <c r="AP84" s="67">
        <f t="shared" si="62"/>
        <v>52255.9415991524</v>
      </c>
      <c r="AQ84" s="199">
        <f t="shared" si="92"/>
        <v>14251.620436132473</v>
      </c>
      <c r="AR84" s="199">
        <f>(((AL84*$N84*10^-3)*$E$3*$E$4)/($E$5*$E$6*$H84))*1000*(12/44)+'post-DEA dissolved CO2'!N82</f>
        <v>18334.432951697654</v>
      </c>
      <c r="AS84" s="87">
        <f t="shared" si="63"/>
        <v>10140.401175503632</v>
      </c>
      <c r="AT84" s="87">
        <f t="shared" si="64"/>
        <v>11783.043742524345</v>
      </c>
      <c r="AU84" s="87">
        <f t="shared" si="65"/>
        <v>12784.514189378331</v>
      </c>
      <c r="AV84" s="87">
        <f t="shared" si="66"/>
        <v>14251.620436132473</v>
      </c>
      <c r="AW84" s="71">
        <f t="shared" si="67"/>
        <v>0.99230439541123483</v>
      </c>
      <c r="AX84" s="72">
        <f t="shared" si="68"/>
        <v>22.225213714567513</v>
      </c>
      <c r="AY84" s="88">
        <f t="shared" si="69"/>
        <v>1.3335128228740507</v>
      </c>
      <c r="AZ84" s="88"/>
      <c r="BA84" s="3">
        <v>40</v>
      </c>
      <c r="BB84" s="3" t="s">
        <v>81</v>
      </c>
      <c r="BC84" s="111">
        <v>5.9990579300982079</v>
      </c>
      <c r="BD84" s="75">
        <f t="shared" si="82"/>
        <v>18334.432951697654</v>
      </c>
      <c r="BE84" s="160">
        <f t="shared" si="83"/>
        <v>0.77731449200957492</v>
      </c>
      <c r="BF84" s="3">
        <f t="shared" si="70"/>
        <v>13045.429204964215</v>
      </c>
      <c r="BG84" s="3">
        <f t="shared" si="71"/>
        <v>15158.656970439195</v>
      </c>
      <c r="BH84" s="3">
        <f t="shared" si="72"/>
        <v>16447.029253663848</v>
      </c>
      <c r="BI84" s="3">
        <f t="shared" si="73"/>
        <v>18334.432951697654</v>
      </c>
      <c r="BJ84" s="222">
        <v>14251.620436132473</v>
      </c>
      <c r="BK84" s="71">
        <f t="shared" si="74"/>
        <v>0.99230439541123483</v>
      </c>
      <c r="BL84" s="72">
        <f t="shared" si="75"/>
        <v>28.592305872374943</v>
      </c>
      <c r="BM84" s="88">
        <f t="shared" si="84"/>
        <v>1.7155383523424967</v>
      </c>
      <c r="BN84" s="227">
        <v>1.3335128228740507</v>
      </c>
      <c r="BO84" s="23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</row>
    <row r="85" spans="1:382">
      <c r="A85" s="3">
        <f>'Exptl Setup'!A159</f>
        <v>152</v>
      </c>
      <c r="B85" s="3" t="str">
        <f>'Exptl Setup'!C159</f>
        <v>b</v>
      </c>
      <c r="C85" s="3">
        <f>'Exptl Setup'!D159</f>
        <v>40</v>
      </c>
      <c r="D85" s="3" t="str">
        <f>'Exptl Setup'!E159</f>
        <v>+</v>
      </c>
      <c r="E85" s="75">
        <f>'Exptl Setup'!K159</f>
        <v>5.9999953707848501</v>
      </c>
      <c r="F85" s="63">
        <f>'Exptl Setup'!F159</f>
        <v>31.997</v>
      </c>
      <c r="G85" s="64">
        <f>'Exptl Setup'!$C$5</f>
        <v>1.2793390913194711</v>
      </c>
      <c r="H85" s="7">
        <f t="shared" si="85"/>
        <v>25.010570080368041</v>
      </c>
      <c r="I85" s="8">
        <f t="shared" si="86"/>
        <v>9.4379509737237886</v>
      </c>
      <c r="J85" s="8">
        <f t="shared" si="87"/>
        <v>6.9864299196319593</v>
      </c>
      <c r="K85" s="8">
        <f>'Exptl Setup'!H159+'Exptl Setup'!I159+'Exptl Setup'!J159+5</f>
        <v>23.003024686832859</v>
      </c>
      <c r="L85" s="8">
        <f t="shared" si="88"/>
        <v>29.989454606464818</v>
      </c>
      <c r="M85" s="44">
        <v>300</v>
      </c>
      <c r="N85" s="85">
        <f t="shared" si="89"/>
        <v>260.57259441981137</v>
      </c>
      <c r="O85" s="193">
        <f>10^(-'Pre-DEA characterisation'!V86)</f>
        <v>2.2908676527677676E-7</v>
      </c>
      <c r="P85" s="66">
        <v>60</v>
      </c>
      <c r="Q85" s="30">
        <v>1557.654</v>
      </c>
      <c r="R85" s="86">
        <f t="shared" si="47"/>
        <v>1182.2593859999999</v>
      </c>
      <c r="S85" s="86">
        <f t="shared" si="48"/>
        <v>3479.2630280679059</v>
      </c>
      <c r="T85" s="86">
        <f t="shared" si="49"/>
        <v>510.22314463259067</v>
      </c>
      <c r="U85" s="67">
        <f t="shared" si="50"/>
        <v>37322.818605646047</v>
      </c>
      <c r="V85" s="199">
        <f t="shared" si="81"/>
        <v>10178.950528812558</v>
      </c>
      <c r="W85" s="66">
        <v>120</v>
      </c>
      <c r="X85" s="30">
        <v>1756.7439999999999</v>
      </c>
      <c r="Y85" s="86">
        <f t="shared" si="51"/>
        <v>1333.368696</v>
      </c>
      <c r="Z85" s="86">
        <f t="shared" si="52"/>
        <v>3923.9615787460662</v>
      </c>
      <c r="AA85" s="86">
        <f t="shared" si="53"/>
        <v>575.43680945475433</v>
      </c>
      <c r="AB85" s="67">
        <f t="shared" si="54"/>
        <v>42093.197621909014</v>
      </c>
      <c r="AC85" s="199">
        <f t="shared" si="90"/>
        <v>11479.962987793368</v>
      </c>
      <c r="AD85" s="66">
        <v>180</v>
      </c>
      <c r="AE85" s="30">
        <v>1960.924</v>
      </c>
      <c r="AF85" s="86">
        <f t="shared" si="55"/>
        <v>1488.341316</v>
      </c>
      <c r="AG85" s="86">
        <f t="shared" si="56"/>
        <v>4380.0294378925173</v>
      </c>
      <c r="AH85" s="86">
        <f t="shared" si="57"/>
        <v>642.31774814273149</v>
      </c>
      <c r="AI85" s="67">
        <f t="shared" si="58"/>
        <v>46985.537706999035</v>
      </c>
      <c r="AJ85" s="199">
        <f t="shared" si="91"/>
        <v>12814.237556454282</v>
      </c>
      <c r="AK85" s="3">
        <v>240</v>
      </c>
      <c r="AL85" s="30">
        <v>2176.134</v>
      </c>
      <c r="AM85" s="86">
        <f t="shared" si="59"/>
        <v>1651.685706</v>
      </c>
      <c r="AN85" s="86">
        <f t="shared" si="60"/>
        <v>4860.7345214800744</v>
      </c>
      <c r="AO85" s="86">
        <f t="shared" si="61"/>
        <v>712.81165947116506</v>
      </c>
      <c r="AP85" s="67">
        <f t="shared" si="62"/>
        <v>52142.166709409765</v>
      </c>
      <c r="AQ85" s="199">
        <f t="shared" si="92"/>
        <v>14220.590920748118</v>
      </c>
      <c r="AR85" s="199">
        <f>(((AL85*$N85*10^-3)*$E$3*$E$4)/($E$5*$E$6*$H85))*1000*(12/44)+'post-DEA dissolved CO2'!N83</f>
        <v>18267.200888105697</v>
      </c>
      <c r="AS85" s="87">
        <f t="shared" si="63"/>
        <v>10178.950528812558</v>
      </c>
      <c r="AT85" s="87">
        <f t="shared" si="64"/>
        <v>11479.962987793368</v>
      </c>
      <c r="AU85" s="87">
        <f t="shared" si="65"/>
        <v>12814.237556454282</v>
      </c>
      <c r="AV85" s="87">
        <f t="shared" si="66"/>
        <v>14220.590920748118</v>
      </c>
      <c r="AW85" s="71">
        <f t="shared" si="67"/>
        <v>0.99968549622515768</v>
      </c>
      <c r="AX85" s="72">
        <f t="shared" si="68"/>
        <v>22.431992907445988</v>
      </c>
      <c r="AY85" s="88">
        <f t="shared" si="69"/>
        <v>1.3459195744467594</v>
      </c>
      <c r="AZ85" s="88"/>
      <c r="BA85" s="3">
        <v>40</v>
      </c>
      <c r="BB85" s="3" t="s">
        <v>81</v>
      </c>
      <c r="BC85" s="111">
        <v>5.9999953707848501</v>
      </c>
      <c r="BD85" s="75">
        <f t="shared" si="82"/>
        <v>18267.200888105697</v>
      </c>
      <c r="BE85" s="160">
        <f t="shared" si="83"/>
        <v>0.77847673586419885</v>
      </c>
      <c r="BF85" s="3">
        <f t="shared" si="70"/>
        <v>13075.471699886768</v>
      </c>
      <c r="BG85" s="3">
        <f t="shared" si="71"/>
        <v>14746.700137479749</v>
      </c>
      <c r="BH85" s="3">
        <f t="shared" si="72"/>
        <v>16460.655747443758</v>
      </c>
      <c r="BI85" s="3">
        <f t="shared" si="73"/>
        <v>18267.200888105697</v>
      </c>
      <c r="BJ85" s="222">
        <v>14220.590920748118</v>
      </c>
      <c r="BK85" s="71">
        <f t="shared" si="74"/>
        <v>0.99968549622515746</v>
      </c>
      <c r="BL85" s="72">
        <f t="shared" si="75"/>
        <v>28.815238624367993</v>
      </c>
      <c r="BM85" s="88">
        <f t="shared" si="84"/>
        <v>1.7289143174620794</v>
      </c>
      <c r="BN85" s="227">
        <v>1.3459195744467594</v>
      </c>
      <c r="BO85" s="234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</row>
    <row r="86" spans="1:382">
      <c r="A86" s="3">
        <f>'Exptl Setup'!A160</f>
        <v>153</v>
      </c>
      <c r="B86" s="3" t="str">
        <f>'Exptl Setup'!C160</f>
        <v>c</v>
      </c>
      <c r="C86" s="3">
        <f>'Exptl Setup'!D160</f>
        <v>40</v>
      </c>
      <c r="D86" s="3" t="str">
        <f>'Exptl Setup'!E160</f>
        <v>+</v>
      </c>
      <c r="E86" s="75">
        <f>'Exptl Setup'!K160</f>
        <v>5.9994328712188389</v>
      </c>
      <c r="F86" s="63">
        <f>'Exptl Setup'!F160</f>
        <v>32</v>
      </c>
      <c r="G86" s="64">
        <f>'Exptl Setup'!$C$5</f>
        <v>1.2793390913194711</v>
      </c>
      <c r="H86" s="7">
        <f t="shared" si="85"/>
        <v>25.01291504115315</v>
      </c>
      <c r="I86" s="8">
        <f t="shared" si="86"/>
        <v>9.4388358645860944</v>
      </c>
      <c r="J86" s="8">
        <f t="shared" si="87"/>
        <v>6.9870849588468502</v>
      </c>
      <c r="K86" s="8">
        <f>'Exptl Setup'!H160+'Exptl Setup'!I160+'Exptl Setup'!J160+5</f>
        <v>23.003024686832859</v>
      </c>
      <c r="L86" s="8">
        <f t="shared" si="88"/>
        <v>29.990109645679709</v>
      </c>
      <c r="M86" s="44">
        <v>300</v>
      </c>
      <c r="N86" s="85">
        <f t="shared" si="89"/>
        <v>260.57105448973419</v>
      </c>
      <c r="O86" s="193">
        <f>10^(-'Pre-DEA characterisation'!V87)</f>
        <v>2.2908676527677676E-7</v>
      </c>
      <c r="P86" s="66">
        <v>60</v>
      </c>
      <c r="Q86" s="30">
        <v>1565.5719999999999</v>
      </c>
      <c r="R86" s="86">
        <f t="shared" si="47"/>
        <v>1188.2691479999999</v>
      </c>
      <c r="S86" s="86">
        <f t="shared" si="48"/>
        <v>3496.9491153865538</v>
      </c>
      <c r="T86" s="86">
        <f t="shared" si="49"/>
        <v>512.81663431540755</v>
      </c>
      <c r="U86" s="67">
        <f t="shared" si="50"/>
        <v>37509.01555354739</v>
      </c>
      <c r="V86" s="199">
        <f t="shared" si="81"/>
        <v>10229.731514603833</v>
      </c>
      <c r="W86" s="66">
        <v>120</v>
      </c>
      <c r="X86" s="30">
        <v>1813.8689999999999</v>
      </c>
      <c r="Y86" s="86">
        <f t="shared" si="51"/>
        <v>1376.7265709999999</v>
      </c>
      <c r="Z86" s="86">
        <f t="shared" si="52"/>
        <v>4051.5591713297717</v>
      </c>
      <c r="AA86" s="86">
        <f t="shared" si="53"/>
        <v>594.14846182037877</v>
      </c>
      <c r="AB86" s="67">
        <f t="shared" si="54"/>
        <v>43457.88027193732</v>
      </c>
      <c r="AC86" s="199">
        <f t="shared" si="90"/>
        <v>11852.149165073815</v>
      </c>
      <c r="AD86" s="66">
        <v>180</v>
      </c>
      <c r="AE86" s="30">
        <v>2034.452</v>
      </c>
      <c r="AF86" s="86">
        <f t="shared" si="55"/>
        <v>1544.1490679999999</v>
      </c>
      <c r="AG86" s="86">
        <f t="shared" si="56"/>
        <v>4544.265688001833</v>
      </c>
      <c r="AH86" s="86">
        <f t="shared" si="57"/>
        <v>666.4023291910238</v>
      </c>
      <c r="AI86" s="67">
        <f t="shared" si="58"/>
        <v>48742.754540158865</v>
      </c>
      <c r="AJ86" s="199">
        <f t="shared" si="91"/>
        <v>13293.478510952416</v>
      </c>
      <c r="AK86" s="3">
        <v>240</v>
      </c>
      <c r="AL86" s="30">
        <v>65.325999999999993</v>
      </c>
      <c r="AM86" s="86">
        <f t="shared" si="59"/>
        <v>49.582433999999992</v>
      </c>
      <c r="AN86" s="86">
        <f t="shared" si="60"/>
        <v>145.91580451856703</v>
      </c>
      <c r="AO86" s="86">
        <f t="shared" si="61"/>
        <v>21.398095682145765</v>
      </c>
      <c r="AP86" s="67">
        <f t="shared" si="62"/>
        <v>1565.1237694919409</v>
      </c>
      <c r="AQ86" s="199">
        <f t="shared" si="92"/>
        <v>426.85193713416572</v>
      </c>
      <c r="AR86" s="199">
        <f>(((AL86*$N86*10^-3)*$E$3*$E$4)/($E$5*$E$6*$H86))*1000*(12/44)+'post-DEA dissolved CO2'!N84</f>
        <v>7665.5545197783022</v>
      </c>
      <c r="AS86" s="87">
        <f t="shared" si="63"/>
        <v>10229.731514603833</v>
      </c>
      <c r="AT86" s="87">
        <f t="shared" si="64"/>
        <v>11852.149165073815</v>
      </c>
      <c r="AU86" s="87">
        <f t="shared" si="65"/>
        <v>13293.478510952416</v>
      </c>
      <c r="AV86" s="87">
        <f t="shared" si="66"/>
        <v>426.85193713416572</v>
      </c>
      <c r="AW86" s="71">
        <f t="shared" si="67"/>
        <v>0.38503991728994524</v>
      </c>
      <c r="AX86" s="72">
        <f t="shared" si="68"/>
        <v>-46.612182310883995</v>
      </c>
      <c r="AY86" s="88">
        <f t="shared" si="69"/>
        <v>-2.7967309386530395</v>
      </c>
      <c r="AZ86" s="88"/>
      <c r="BA86" s="3">
        <v>40</v>
      </c>
      <c r="BB86" s="3" t="s">
        <v>81</v>
      </c>
      <c r="BC86" s="111">
        <v>5.9994328712188389</v>
      </c>
      <c r="BD86" s="206">
        <f t="shared" si="82"/>
        <v>7665.5545197783022</v>
      </c>
      <c r="BE86" s="216">
        <f t="shared" si="83"/>
        <v>5.5684417354650927E-2</v>
      </c>
      <c r="BF86" s="74">
        <f t="shared" si="70"/>
        <v>183709.05184212033</v>
      </c>
      <c r="BG86" s="74">
        <f t="shared" si="71"/>
        <v>212844.98838495775</v>
      </c>
      <c r="BH86" s="74">
        <f t="shared" si="72"/>
        <v>238728.87860686408</v>
      </c>
      <c r="BI86" s="74">
        <f t="shared" si="73"/>
        <v>7665.5545197783022</v>
      </c>
      <c r="BJ86" s="222">
        <v>426.85193713416572</v>
      </c>
      <c r="BK86" s="207">
        <f t="shared" si="74"/>
        <v>0.38503991728994524</v>
      </c>
      <c r="BL86" s="208">
        <f t="shared" si="75"/>
        <v>-837.07766957519971</v>
      </c>
      <c r="BM86" s="209">
        <f t="shared" si="84"/>
        <v>-50.224660174511982</v>
      </c>
      <c r="BN86" s="227">
        <v>-2.7967309386530395</v>
      </c>
      <c r="BO86" s="234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</row>
    <row r="87" spans="1:382">
      <c r="A87" s="3">
        <f>'Exptl Setup'!A164</f>
        <v>157</v>
      </c>
      <c r="B87" s="3" t="str">
        <f>'Exptl Setup'!C164</f>
        <v>a</v>
      </c>
      <c r="C87" s="3">
        <f>'Exptl Setup'!D164</f>
        <v>40</v>
      </c>
      <c r="D87" s="3" t="str">
        <f>'Exptl Setup'!E164</f>
        <v>+</v>
      </c>
      <c r="E87" s="75">
        <f>'Exptl Setup'!K164</f>
        <v>15.995488502489355</v>
      </c>
      <c r="F87" s="63">
        <f>'Exptl Setup'!F164</f>
        <v>32.006</v>
      </c>
      <c r="G87" s="64">
        <f>'Exptl Setup'!$C$5</f>
        <v>1.2793390913194711</v>
      </c>
      <c r="H87" s="7">
        <f t="shared" si="85"/>
        <v>25.017604962723365</v>
      </c>
      <c r="I87" s="8">
        <f t="shared" si="86"/>
        <v>9.4406056463107042</v>
      </c>
      <c r="J87" s="8">
        <f t="shared" si="87"/>
        <v>6.9883950372766357</v>
      </c>
      <c r="K87" s="8">
        <f>'Exptl Setup'!H164+'Exptl Setup'!I164+'Exptl Setup'!J164+5</f>
        <v>23.003024686832862</v>
      </c>
      <c r="L87" s="8">
        <f t="shared" si="88"/>
        <v>29.991419724109498</v>
      </c>
      <c r="M87" s="44">
        <v>300</v>
      </c>
      <c r="N87" s="85">
        <f t="shared" si="89"/>
        <v>260.56797462957979</v>
      </c>
      <c r="O87" s="193">
        <f>10^(-'Pre-DEA characterisation'!V88)</f>
        <v>3.9355007545577686E-9</v>
      </c>
      <c r="P87" s="66">
        <v>60</v>
      </c>
      <c r="Q87" s="30">
        <v>1529.9390000000001</v>
      </c>
      <c r="R87" s="86">
        <f t="shared" si="47"/>
        <v>1161.2237010000001</v>
      </c>
      <c r="S87" s="86">
        <f t="shared" si="48"/>
        <v>134029.3662905567</v>
      </c>
      <c r="T87" s="86">
        <f t="shared" si="49"/>
        <v>4418.3840863133037</v>
      </c>
      <c r="U87" s="67">
        <f t="shared" si="50"/>
        <v>323113.87330402079</v>
      </c>
      <c r="V87" s="199">
        <f t="shared" si="81"/>
        <v>88121.965446551112</v>
      </c>
      <c r="W87" s="66">
        <v>120</v>
      </c>
      <c r="X87" s="30">
        <v>1671.3389999999999</v>
      </c>
      <c r="Y87" s="86">
        <f t="shared" si="51"/>
        <v>1268.5463009999999</v>
      </c>
      <c r="Z87" s="86">
        <f t="shared" si="52"/>
        <v>146416.62643196408</v>
      </c>
      <c r="AA87" s="86">
        <f t="shared" si="53"/>
        <v>4826.7399160586074</v>
      </c>
      <c r="AB87" s="67">
        <f t="shared" si="54"/>
        <v>352976.69900176983</v>
      </c>
      <c r="AC87" s="199">
        <f t="shared" si="90"/>
        <v>96266.372455028133</v>
      </c>
      <c r="AD87" s="66">
        <v>180</v>
      </c>
      <c r="AE87" s="30">
        <v>1679.8230000000001</v>
      </c>
      <c r="AF87" s="86">
        <f t="shared" si="55"/>
        <v>1274.9856570000002</v>
      </c>
      <c r="AG87" s="86">
        <f t="shared" si="56"/>
        <v>147159.86204044856</v>
      </c>
      <c r="AH87" s="86">
        <f t="shared" si="57"/>
        <v>4851.2412658433259</v>
      </c>
      <c r="AI87" s="67">
        <f t="shared" si="58"/>
        <v>354768.46854363475</v>
      </c>
      <c r="AJ87" s="199">
        <f t="shared" si="91"/>
        <v>96755.036875536753</v>
      </c>
      <c r="AK87" s="3">
        <v>240</v>
      </c>
      <c r="AL87" s="30">
        <v>1823.7670000000001</v>
      </c>
      <c r="AM87" s="86">
        <f t="shared" si="59"/>
        <v>1384.239153</v>
      </c>
      <c r="AN87" s="86">
        <f t="shared" si="60"/>
        <v>159769.98773913842</v>
      </c>
      <c r="AO87" s="86">
        <f t="shared" si="61"/>
        <v>5266.9440349865936</v>
      </c>
      <c r="AP87" s="67">
        <f t="shared" si="62"/>
        <v>385168.57167119341</v>
      </c>
      <c r="AQ87" s="199">
        <f t="shared" si="92"/>
        <v>105045.97409214365</v>
      </c>
      <c r="AR87" s="199">
        <f>(((AL87*$N87*10^-3)*$E$3*$E$4)/($E$5*$E$6*$H87))*1000*(12/44)+'post-DEA dissolved CO2'!N85</f>
        <v>68055.073512942967</v>
      </c>
      <c r="AS87" s="87">
        <f t="shared" si="63"/>
        <v>88121.965446551112</v>
      </c>
      <c r="AT87" s="87">
        <f t="shared" si="64"/>
        <v>96266.372455028133</v>
      </c>
      <c r="AU87" s="87">
        <f t="shared" si="65"/>
        <v>96755.036875536753</v>
      </c>
      <c r="AV87" s="87">
        <f t="shared" si="66"/>
        <v>105045.97409214365</v>
      </c>
      <c r="AW87" s="71">
        <f t="shared" si="67"/>
        <v>0.91660924990845938</v>
      </c>
      <c r="AX87" s="72">
        <f t="shared" si="68"/>
        <v>85.434483928810366</v>
      </c>
      <c r="AY87" s="88">
        <f t="shared" si="69"/>
        <v>5.126069035728622</v>
      </c>
      <c r="AZ87" s="88"/>
      <c r="BA87" s="3">
        <v>40</v>
      </c>
      <c r="BB87" s="3" t="s">
        <v>81</v>
      </c>
      <c r="BC87" s="111">
        <v>15.995488502489355</v>
      </c>
      <c r="BD87" s="75">
        <f t="shared" si="82"/>
        <v>68055.073512942967</v>
      </c>
      <c r="BE87" s="160">
        <f t="shared" si="83"/>
        <v>0.64785989278605571</v>
      </c>
      <c r="BF87" s="3">
        <f t="shared" si="70"/>
        <v>57090.687086299113</v>
      </c>
      <c r="BG87" s="3">
        <f t="shared" si="71"/>
        <v>62367.121737617032</v>
      </c>
      <c r="BH87" s="3">
        <f t="shared" si="72"/>
        <v>62683.707816696107</v>
      </c>
      <c r="BI87" s="3">
        <f t="shared" si="73"/>
        <v>68055.073512942967</v>
      </c>
      <c r="BJ87" s="222">
        <v>105045.97409214365</v>
      </c>
      <c r="BK87" s="71">
        <f t="shared" si="74"/>
        <v>0.9166092499084596</v>
      </c>
      <c r="BL87" s="72">
        <f t="shared" si="75"/>
        <v>55.349575598351059</v>
      </c>
      <c r="BM87" s="88">
        <f t="shared" si="84"/>
        <v>3.3209745359010636</v>
      </c>
      <c r="BN87" s="227">
        <v>5.126069035728622</v>
      </c>
      <c r="BO87" s="234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</row>
    <row r="88" spans="1:382">
      <c r="A88" s="3">
        <f>'Exptl Setup'!A165</f>
        <v>158</v>
      </c>
      <c r="B88" s="3" t="str">
        <f>'Exptl Setup'!C165</f>
        <v>b</v>
      </c>
      <c r="C88" s="3">
        <f>'Exptl Setup'!D165</f>
        <v>40</v>
      </c>
      <c r="D88" s="3" t="str">
        <f>'Exptl Setup'!E165</f>
        <v>+</v>
      </c>
      <c r="E88" s="75">
        <f>'Exptl Setup'!K165</f>
        <v>15.999987655426267</v>
      </c>
      <c r="F88" s="63">
        <f>'Exptl Setup'!F165</f>
        <v>31.997</v>
      </c>
      <c r="G88" s="64">
        <f>'Exptl Setup'!$C$5</f>
        <v>1.2793390913194711</v>
      </c>
      <c r="H88" s="7">
        <f t="shared" si="85"/>
        <v>25.010570080368041</v>
      </c>
      <c r="I88" s="8">
        <f t="shared" si="86"/>
        <v>9.4379509737237886</v>
      </c>
      <c r="J88" s="8">
        <f t="shared" si="87"/>
        <v>6.9864299196319593</v>
      </c>
      <c r="K88" s="8">
        <f>'Exptl Setup'!H165+'Exptl Setup'!I165+'Exptl Setup'!J165+5</f>
        <v>23.003024686832862</v>
      </c>
      <c r="L88" s="8">
        <f t="shared" si="88"/>
        <v>29.989454606464822</v>
      </c>
      <c r="M88" s="44">
        <v>300</v>
      </c>
      <c r="N88" s="85">
        <f t="shared" si="89"/>
        <v>260.57259441981137</v>
      </c>
      <c r="O88" s="193">
        <f>10^(-'Pre-DEA characterisation'!V89)</f>
        <v>3.9355007545577686E-9</v>
      </c>
      <c r="P88" s="66">
        <v>60</v>
      </c>
      <c r="Q88" s="30">
        <v>1439.444</v>
      </c>
      <c r="R88" s="86">
        <f t="shared" si="47"/>
        <v>1092.537996</v>
      </c>
      <c r="S88" s="86">
        <f t="shared" si="48"/>
        <v>126101.60740444167</v>
      </c>
      <c r="T88" s="86">
        <f t="shared" si="49"/>
        <v>4156.7980886597825</v>
      </c>
      <c r="U88" s="67">
        <f t="shared" si="50"/>
        <v>304069.74414119002</v>
      </c>
      <c r="V88" s="199">
        <f t="shared" si="81"/>
        <v>82928.11203850637</v>
      </c>
      <c r="W88" s="66">
        <v>120</v>
      </c>
      <c r="X88" s="30">
        <v>1531.9190000000001</v>
      </c>
      <c r="Y88" s="86">
        <f t="shared" si="51"/>
        <v>1162.726521</v>
      </c>
      <c r="Z88" s="86">
        <f t="shared" si="52"/>
        <v>134202.82297429067</v>
      </c>
      <c r="AA88" s="86">
        <f t="shared" si="53"/>
        <v>4423.8455759179269</v>
      </c>
      <c r="AB88" s="67">
        <f t="shared" si="54"/>
        <v>323604.26551851106</v>
      </c>
      <c r="AC88" s="199">
        <f t="shared" si="90"/>
        <v>88255.708777775741</v>
      </c>
      <c r="AD88" s="66">
        <v>180</v>
      </c>
      <c r="AE88" s="30">
        <v>1609.4059999999999</v>
      </c>
      <c r="AF88" s="86">
        <f t="shared" si="55"/>
        <v>1221.5391540000001</v>
      </c>
      <c r="AG88" s="86">
        <f t="shared" si="56"/>
        <v>140991.0240109048</v>
      </c>
      <c r="AH88" s="86">
        <f t="shared" si="57"/>
        <v>4647.6110113888317</v>
      </c>
      <c r="AI88" s="67">
        <f t="shared" si="58"/>
        <v>339972.70518290123</v>
      </c>
      <c r="AJ88" s="199">
        <f t="shared" si="91"/>
        <v>92719.82868624579</v>
      </c>
      <c r="AK88" s="3">
        <v>240</v>
      </c>
      <c r="AL88" s="30">
        <v>1680.671</v>
      </c>
      <c r="AM88" s="86">
        <f t="shared" si="59"/>
        <v>1275.629289</v>
      </c>
      <c r="AN88" s="86">
        <f t="shared" si="60"/>
        <v>147234.1505595427</v>
      </c>
      <c r="AO88" s="86">
        <f t="shared" si="61"/>
        <v>4853.4086775629521</v>
      </c>
      <c r="AP88" s="67">
        <f t="shared" si="62"/>
        <v>355026.80267903308</v>
      </c>
      <c r="AQ88" s="199">
        <f t="shared" si="92"/>
        <v>96825.491639736298</v>
      </c>
      <c r="AR88" s="199">
        <f>(((AL88*$N88*10^-3)*$E$3*$E$4)/($E$5*$E$6*$H88))*1000*(12/44)+'post-DEA dissolved CO2'!N86</f>
        <v>73928.247176467528</v>
      </c>
      <c r="AS88" s="87">
        <f t="shared" si="63"/>
        <v>82928.11203850637</v>
      </c>
      <c r="AT88" s="87">
        <f t="shared" si="64"/>
        <v>88255.708777775741</v>
      </c>
      <c r="AU88" s="87">
        <f t="shared" si="65"/>
        <v>92719.82868624579</v>
      </c>
      <c r="AV88" s="87">
        <f t="shared" si="66"/>
        <v>96825.491639736298</v>
      </c>
      <c r="AW88" s="71">
        <f t="shared" si="67"/>
        <v>0.99638904607683876</v>
      </c>
      <c r="AX88" s="72">
        <f t="shared" si="68"/>
        <v>76.927097853599719</v>
      </c>
      <c r="AY88" s="88">
        <f t="shared" si="69"/>
        <v>4.6156258712159834</v>
      </c>
      <c r="AZ88" s="88"/>
      <c r="BA88" s="3">
        <v>40</v>
      </c>
      <c r="BB88" s="3" t="s">
        <v>81</v>
      </c>
      <c r="BC88" s="111">
        <v>15.999987655426267</v>
      </c>
      <c r="BD88" s="75">
        <f t="shared" si="82"/>
        <v>73928.247176467528</v>
      </c>
      <c r="BE88" s="160">
        <f t="shared" si="83"/>
        <v>0.76352049366850883</v>
      </c>
      <c r="BF88" s="3">
        <f t="shared" si="70"/>
        <v>63317.31304263779</v>
      </c>
      <c r="BG88" s="3">
        <f t="shared" si="71"/>
        <v>67385.042335071485</v>
      </c>
      <c r="BH88" s="3">
        <f t="shared" si="72"/>
        <v>70793.489371381947</v>
      </c>
      <c r="BI88" s="3">
        <f t="shared" si="73"/>
        <v>73928.247176467528</v>
      </c>
      <c r="BJ88" s="222">
        <v>96825.491639736298</v>
      </c>
      <c r="BK88" s="71">
        <f t="shared" si="74"/>
        <v>0.99638904607683898</v>
      </c>
      <c r="BL88" s="72">
        <f t="shared" si="75"/>
        <v>58.73541572966613</v>
      </c>
      <c r="BM88" s="88">
        <f t="shared" si="84"/>
        <v>3.524124943779968</v>
      </c>
      <c r="BN88" s="227">
        <v>4.6156258712159834</v>
      </c>
      <c r="BO88" s="234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</row>
    <row r="89" spans="1:382">
      <c r="A89" s="3">
        <f>'Exptl Setup'!A166</f>
        <v>159</v>
      </c>
      <c r="B89" s="3" t="str">
        <f>'Exptl Setup'!C166</f>
        <v>c</v>
      </c>
      <c r="C89" s="3">
        <f>'Exptl Setup'!D166</f>
        <v>40</v>
      </c>
      <c r="D89" s="3" t="str">
        <f>'Exptl Setup'!E166</f>
        <v>+</v>
      </c>
      <c r="E89" s="75">
        <f>'Exptl Setup'!K166</f>
        <v>16.000987810929029</v>
      </c>
      <c r="F89" s="63">
        <f>'Exptl Setup'!F166</f>
        <v>31.995000000000001</v>
      </c>
      <c r="G89" s="64">
        <f>'Exptl Setup'!$C$5</f>
        <v>1.2793390913194711</v>
      </c>
      <c r="H89" s="7">
        <f t="shared" si="85"/>
        <v>25.009006773177969</v>
      </c>
      <c r="I89" s="8">
        <f t="shared" si="86"/>
        <v>9.4373610464822519</v>
      </c>
      <c r="J89" s="8">
        <f t="shared" si="87"/>
        <v>6.9859932268220319</v>
      </c>
      <c r="K89" s="8">
        <f>'Exptl Setup'!H166+'Exptl Setup'!I166+'Exptl Setup'!J166+5</f>
        <v>23.003024686832862</v>
      </c>
      <c r="L89" s="8">
        <f t="shared" si="88"/>
        <v>29.989017913654894</v>
      </c>
      <c r="M89" s="44">
        <v>300</v>
      </c>
      <c r="N89" s="85">
        <f t="shared" si="89"/>
        <v>260.57362103986287</v>
      </c>
      <c r="O89" s="193">
        <f>10^(-'Pre-DEA characterisation'!V90)</f>
        <v>3.9355007545577686E-9</v>
      </c>
      <c r="P89" s="66">
        <v>60</v>
      </c>
      <c r="Q89" s="30">
        <v>1381.1880000000001</v>
      </c>
      <c r="R89" s="86">
        <f t="shared" si="47"/>
        <v>1048.321692</v>
      </c>
      <c r="S89" s="86">
        <f t="shared" si="48"/>
        <v>120998.1263096904</v>
      </c>
      <c r="T89" s="86">
        <f t="shared" si="49"/>
        <v>3988.5161359167892</v>
      </c>
      <c r="U89" s="67">
        <f t="shared" si="50"/>
        <v>291778.15860195085</v>
      </c>
      <c r="V89" s="199">
        <f t="shared" si="81"/>
        <v>79575.861436895691</v>
      </c>
      <c r="W89" s="66">
        <v>120</v>
      </c>
      <c r="X89" s="30">
        <v>1595.8309999999999</v>
      </c>
      <c r="Y89" s="86">
        <f t="shared" si="51"/>
        <v>1211.235729</v>
      </c>
      <c r="Z89" s="86">
        <f t="shared" si="52"/>
        <v>139801.79447469825</v>
      </c>
      <c r="AA89" s="86">
        <f t="shared" si="53"/>
        <v>4608.3499811004913</v>
      </c>
      <c r="AB89" s="67">
        <f t="shared" si="54"/>
        <v>337121.83324783435</v>
      </c>
      <c r="AC89" s="199">
        <f t="shared" si="90"/>
        <v>91942.318158500275</v>
      </c>
      <c r="AD89" s="66">
        <v>180</v>
      </c>
      <c r="AE89" s="30">
        <v>1553.412</v>
      </c>
      <c r="AF89" s="86">
        <f t="shared" si="55"/>
        <v>1179.039708</v>
      </c>
      <c r="AG89" s="86">
        <f t="shared" si="56"/>
        <v>136085.70403666177</v>
      </c>
      <c r="AH89" s="86">
        <f t="shared" si="57"/>
        <v>4485.8548059545637</v>
      </c>
      <c r="AI89" s="67">
        <f t="shared" si="58"/>
        <v>328160.7521280041</v>
      </c>
      <c r="AJ89" s="199">
        <f t="shared" si="91"/>
        <v>89498.386944001119</v>
      </c>
      <c r="AK89" s="3">
        <v>240</v>
      </c>
      <c r="AL89" s="30">
        <v>1662.0060000000001</v>
      </c>
      <c r="AM89" s="86">
        <f t="shared" si="59"/>
        <v>1261.4625540000002</v>
      </c>
      <c r="AN89" s="86">
        <f t="shared" si="60"/>
        <v>145599.0146999998</v>
      </c>
      <c r="AO89" s="86">
        <f t="shared" si="61"/>
        <v>4799.446381658775</v>
      </c>
      <c r="AP89" s="67">
        <f t="shared" si="62"/>
        <v>351101.40709692962</v>
      </c>
      <c r="AQ89" s="199">
        <f t="shared" si="92"/>
        <v>95754.929208253525</v>
      </c>
      <c r="AR89" s="199">
        <f>(((AL89*$N89*10^-3)*$E$3*$E$4)/($E$5*$E$6*$H89))*1000*(12/44)+'post-DEA dissolved CO2'!N87</f>
        <v>74700.698123336726</v>
      </c>
      <c r="AS89" s="87">
        <f t="shared" si="63"/>
        <v>79575.861436895691</v>
      </c>
      <c r="AT89" s="87">
        <f t="shared" si="64"/>
        <v>91942.318158500275</v>
      </c>
      <c r="AU89" s="87">
        <f t="shared" si="65"/>
        <v>89498.386944001119</v>
      </c>
      <c r="AV89" s="87">
        <f t="shared" si="66"/>
        <v>95754.929208253525</v>
      </c>
      <c r="AW89" s="71">
        <f t="shared" si="67"/>
        <v>0.74182457077310915</v>
      </c>
      <c r="AX89" s="72">
        <f t="shared" si="68"/>
        <v>76.822120165957244</v>
      </c>
      <c r="AY89" s="88">
        <f t="shared" si="69"/>
        <v>4.6093272099574349</v>
      </c>
      <c r="AZ89" s="88"/>
      <c r="BA89" s="3">
        <v>40</v>
      </c>
      <c r="BB89" s="3" t="s">
        <v>81</v>
      </c>
      <c r="BC89" s="111">
        <v>16.000987810929029</v>
      </c>
      <c r="BD89" s="75">
        <f t="shared" si="82"/>
        <v>74700.698123336726</v>
      </c>
      <c r="BE89" s="160">
        <f t="shared" si="83"/>
        <v>0.78012378831039808</v>
      </c>
      <c r="BF89" s="3">
        <f t="shared" si="70"/>
        <v>62079.022482214386</v>
      </c>
      <c r="BG89" s="3">
        <f t="shared" si="71"/>
        <v>71726.389547849132</v>
      </c>
      <c r="BH89" s="3">
        <f t="shared" si="72"/>
        <v>69819.820670424029</v>
      </c>
      <c r="BI89" s="3">
        <f t="shared" si="73"/>
        <v>74700.698123336726</v>
      </c>
      <c r="BJ89" s="222">
        <v>95754.929208253525</v>
      </c>
      <c r="BK89" s="71">
        <f t="shared" si="74"/>
        <v>0.74182457077310993</v>
      </c>
      <c r="BL89" s="72">
        <f t="shared" si="75"/>
        <v>59.930763409903193</v>
      </c>
      <c r="BM89" s="88">
        <f t="shared" si="84"/>
        <v>3.5958458045941915</v>
      </c>
      <c r="BN89" s="227">
        <v>4.6093272099574349</v>
      </c>
      <c r="BO89" s="234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</row>
    <row r="90" spans="1:382">
      <c r="A90" s="3">
        <f>'Exptl Setup'!A170</f>
        <v>163</v>
      </c>
      <c r="B90" s="3" t="str">
        <f>'Exptl Setup'!C170</f>
        <v>a</v>
      </c>
      <c r="C90" s="3">
        <f>'Exptl Setup'!D170</f>
        <v>40</v>
      </c>
      <c r="D90" s="3" t="str">
        <f>'Exptl Setup'!E170</f>
        <v>+</v>
      </c>
      <c r="E90" s="75">
        <f>'Exptl Setup'!K170</f>
        <v>19.991862113818897</v>
      </c>
      <c r="F90" s="63">
        <f>'Exptl Setup'!F170</f>
        <v>32.01</v>
      </c>
      <c r="G90" s="64">
        <f>'Exptl Setup'!$C$5</f>
        <v>1.2793390913194711</v>
      </c>
      <c r="H90" s="7">
        <f t="shared" si="85"/>
        <v>25.020731577103508</v>
      </c>
      <c r="I90" s="8">
        <f t="shared" si="86"/>
        <v>9.4417855007937774</v>
      </c>
      <c r="J90" s="8">
        <f t="shared" si="87"/>
        <v>6.9892684228964903</v>
      </c>
      <c r="K90" s="8">
        <f>'Exptl Setup'!H170+'Exptl Setup'!I170+'Exptl Setup'!J170+5</f>
        <v>23.003024686832859</v>
      </c>
      <c r="L90" s="8">
        <f t="shared" si="88"/>
        <v>29.992293109729349</v>
      </c>
      <c r="M90" s="44">
        <v>300</v>
      </c>
      <c r="N90" s="85">
        <f t="shared" si="89"/>
        <v>260.5659213894769</v>
      </c>
      <c r="O90" s="193">
        <f>10^(-'Pre-DEA characterisation'!V91)</f>
        <v>1.9275249131909321E-9</v>
      </c>
      <c r="P90" s="66">
        <v>60</v>
      </c>
      <c r="Q90" s="30">
        <v>87.102000000000004</v>
      </c>
      <c r="R90" s="86">
        <f t="shared" si="47"/>
        <v>66.11041800000001</v>
      </c>
      <c r="S90" s="86">
        <f t="shared" si="48"/>
        <v>15700.125852779875</v>
      </c>
      <c r="T90" s="86">
        <f t="shared" si="49"/>
        <v>493.57858932107968</v>
      </c>
      <c r="U90" s="67">
        <f t="shared" si="50"/>
        <v>36090.606345435386</v>
      </c>
      <c r="V90" s="199">
        <f t="shared" si="81"/>
        <v>9842.8926396641964</v>
      </c>
      <c r="W90" s="66">
        <v>120</v>
      </c>
      <c r="X90" s="30">
        <v>62.780999999999999</v>
      </c>
      <c r="Y90" s="86">
        <f t="shared" si="51"/>
        <v>47.650779</v>
      </c>
      <c r="Z90" s="86">
        <f t="shared" si="52"/>
        <v>11316.268296518716</v>
      </c>
      <c r="AA90" s="86">
        <f t="shared" si="53"/>
        <v>355.7594247682797</v>
      </c>
      <c r="AB90" s="67">
        <f t="shared" si="54"/>
        <v>26013.229971444725</v>
      </c>
      <c r="AC90" s="199">
        <f t="shared" si="90"/>
        <v>7094.5172649394699</v>
      </c>
      <c r="AD90" s="66">
        <v>180</v>
      </c>
      <c r="AE90" s="30">
        <v>60.518999999999998</v>
      </c>
      <c r="AF90" s="86">
        <f t="shared" si="55"/>
        <v>45.933920999999998</v>
      </c>
      <c r="AG90" s="86">
        <f t="shared" si="56"/>
        <v>10908.543047052708</v>
      </c>
      <c r="AH90" s="86">
        <f t="shared" si="57"/>
        <v>342.94140946387472</v>
      </c>
      <c r="AI90" s="67">
        <f t="shared" si="58"/>
        <v>25075.973059394775</v>
      </c>
      <c r="AJ90" s="199">
        <f t="shared" si="91"/>
        <v>6838.9017434713023</v>
      </c>
      <c r="AK90" s="3">
        <v>240</v>
      </c>
      <c r="AL90" s="30">
        <v>63.064</v>
      </c>
      <c r="AM90" s="86">
        <f t="shared" si="59"/>
        <v>47.865575999999997</v>
      </c>
      <c r="AN90" s="86">
        <f t="shared" si="60"/>
        <v>11367.279015174276</v>
      </c>
      <c r="AO90" s="86">
        <f t="shared" si="61"/>
        <v>357.36309334968843</v>
      </c>
      <c r="AP90" s="67">
        <f t="shared" si="62"/>
        <v>26130.490672642838</v>
      </c>
      <c r="AQ90" s="199">
        <f t="shared" si="92"/>
        <v>7126.4974561753197</v>
      </c>
      <c r="AR90" s="199">
        <f>(((AL90*$N90*10^-3)*$E$3*$E$4)/($E$5*$E$6*$H90))*1000*(12/44)+'post-DEA dissolved CO2'!N88</f>
        <v>19398.655841092794</v>
      </c>
      <c r="AS90" s="87">
        <f t="shared" si="63"/>
        <v>9842.8926396641964</v>
      </c>
      <c r="AT90" s="87">
        <f t="shared" si="64"/>
        <v>7094.5172649394699</v>
      </c>
      <c r="AU90" s="87">
        <f t="shared" si="65"/>
        <v>6838.9017434713023</v>
      </c>
      <c r="AV90" s="87">
        <f t="shared" si="66"/>
        <v>7126.4974561753197</v>
      </c>
      <c r="AW90" s="71">
        <f t="shared" si="67"/>
        <v>0.58609828107039452</v>
      </c>
      <c r="AX90" s="72">
        <f t="shared" si="68"/>
        <v>-14.008001786557996</v>
      </c>
      <c r="AY90" s="88">
        <f t="shared" si="69"/>
        <v>-0.84048010719347976</v>
      </c>
      <c r="AZ90" s="88"/>
      <c r="BA90" s="3">
        <v>40</v>
      </c>
      <c r="BB90" s="3" t="s">
        <v>81</v>
      </c>
      <c r="BC90" s="111">
        <v>19.991862113818897</v>
      </c>
      <c r="BD90" s="75">
        <f t="shared" si="82"/>
        <v>19398.655841092794</v>
      </c>
      <c r="BE90" s="160">
        <f t="shared" si="83"/>
        <v>0.36737068354390989</v>
      </c>
      <c r="BF90" s="3">
        <f t="shared" si="70"/>
        <v>26792.809226672347</v>
      </c>
      <c r="BG90" s="3">
        <f t="shared" si="71"/>
        <v>19311.604280725081</v>
      </c>
      <c r="BH90" s="3">
        <f t="shared" si="72"/>
        <v>18615.807003157028</v>
      </c>
      <c r="BI90" s="3">
        <f t="shared" si="73"/>
        <v>19398.655841092794</v>
      </c>
      <c r="BJ90" s="222">
        <v>7126.4974561753197</v>
      </c>
      <c r="BK90" s="71">
        <f t="shared" si="74"/>
        <v>0.58609828107039419</v>
      </c>
      <c r="BL90" s="72">
        <f t="shared" si="75"/>
        <v>-38.130429057177857</v>
      </c>
      <c r="BM90" s="88">
        <f t="shared" si="84"/>
        <v>-2.2878257434306715</v>
      </c>
      <c r="BN90" s="227">
        <v>-0.84048010719347976</v>
      </c>
      <c r="BO90" s="234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</row>
    <row r="91" spans="1:382">
      <c r="A91" s="3">
        <f>'Exptl Setup'!A171</f>
        <v>164</v>
      </c>
      <c r="B91" s="3" t="str">
        <f>'Exptl Setup'!C171</f>
        <v>b</v>
      </c>
      <c r="C91" s="3">
        <f>'Exptl Setup'!D171</f>
        <v>40</v>
      </c>
      <c r="D91" s="3" t="str">
        <f>'Exptl Setup'!E171</f>
        <v>+</v>
      </c>
      <c r="E91" s="75">
        <f>'Exptl Setup'!K171</f>
        <v>19.994360628111693</v>
      </c>
      <c r="F91" s="63">
        <f>'Exptl Setup'!F171</f>
        <v>32.006</v>
      </c>
      <c r="G91" s="64">
        <f>'Exptl Setup'!$C$5</f>
        <v>1.2793390913194711</v>
      </c>
      <c r="H91" s="7">
        <f t="shared" si="85"/>
        <v>25.017604962723365</v>
      </c>
      <c r="I91" s="8">
        <f t="shared" si="86"/>
        <v>9.4406056463107042</v>
      </c>
      <c r="J91" s="8">
        <f t="shared" si="87"/>
        <v>6.9883950372766357</v>
      </c>
      <c r="K91" s="8">
        <f>'Exptl Setup'!H171+'Exptl Setup'!I171+'Exptl Setup'!J171+5</f>
        <v>23.003024686832859</v>
      </c>
      <c r="L91" s="8">
        <f t="shared" si="88"/>
        <v>29.991419724109495</v>
      </c>
      <c r="M91" s="44">
        <v>300</v>
      </c>
      <c r="N91" s="85">
        <f t="shared" si="89"/>
        <v>260.56797462957979</v>
      </c>
      <c r="O91" s="193">
        <f>10^(-'Pre-DEA characterisation'!V92)</f>
        <v>1.9275249131909321E-9</v>
      </c>
      <c r="P91" s="66">
        <v>60</v>
      </c>
      <c r="Q91" s="30">
        <v>88.516000000000005</v>
      </c>
      <c r="R91" s="86">
        <f t="shared" si="47"/>
        <v>67.183644000000001</v>
      </c>
      <c r="S91" s="86">
        <f t="shared" si="48"/>
        <v>15954.999196168435</v>
      </c>
      <c r="T91" s="86">
        <f t="shared" si="49"/>
        <v>501.57751243242905</v>
      </c>
      <c r="U91" s="67">
        <f t="shared" si="50"/>
        <v>36680.073447273811</v>
      </c>
      <c r="V91" s="199">
        <f t="shared" si="81"/>
        <v>10003.656394711039</v>
      </c>
      <c r="W91" s="66">
        <v>120</v>
      </c>
      <c r="X91" s="30">
        <v>99.262</v>
      </c>
      <c r="Y91" s="86">
        <f t="shared" si="51"/>
        <v>75.339858000000007</v>
      </c>
      <c r="Z91" s="86">
        <f t="shared" si="52"/>
        <v>17891.964505965829</v>
      </c>
      <c r="AA91" s="86">
        <f t="shared" si="53"/>
        <v>562.46991548497192</v>
      </c>
      <c r="AB91" s="67">
        <f t="shared" si="54"/>
        <v>41133.09967150903</v>
      </c>
      <c r="AC91" s="199">
        <f t="shared" si="90"/>
        <v>11218.118092229735</v>
      </c>
      <c r="AD91" s="66">
        <v>180</v>
      </c>
      <c r="AE91" s="30">
        <v>128.95599999999999</v>
      </c>
      <c r="AF91" s="86">
        <f t="shared" si="55"/>
        <v>97.877603999999991</v>
      </c>
      <c r="AG91" s="86">
        <f t="shared" si="56"/>
        <v>23244.304717125677</v>
      </c>
      <c r="AH91" s="86">
        <f t="shared" si="57"/>
        <v>730.73150270274652</v>
      </c>
      <c r="AI91" s="67">
        <f t="shared" si="58"/>
        <v>53437.972247578298</v>
      </c>
      <c r="AJ91" s="199">
        <f t="shared" si="91"/>
        <v>14573.992431157718</v>
      </c>
      <c r="AK91" s="3">
        <v>240</v>
      </c>
      <c r="AL91" s="30">
        <v>60.802</v>
      </c>
      <c r="AM91" s="86">
        <f t="shared" si="59"/>
        <v>46.148718000000002</v>
      </c>
      <c r="AN91" s="86">
        <f t="shared" si="60"/>
        <v>10959.55376570827</v>
      </c>
      <c r="AO91" s="86">
        <f t="shared" si="61"/>
        <v>344.5356309697292</v>
      </c>
      <c r="AP91" s="67">
        <f t="shared" si="62"/>
        <v>25195.691465284719</v>
      </c>
      <c r="AQ91" s="199">
        <f t="shared" si="92"/>
        <v>6871.5522178049232</v>
      </c>
      <c r="AR91" s="199">
        <f>(((AL91*$N91*10^-3)*$E$3*$E$4)/($E$5*$E$6*$H91))*1000*(12/44)+'post-DEA dissolved CO2'!N89</f>
        <v>32225.679477254183</v>
      </c>
      <c r="AS91" s="87">
        <f t="shared" si="63"/>
        <v>10003.656394711039</v>
      </c>
      <c r="AT91" s="87">
        <f t="shared" si="64"/>
        <v>11218.118092229735</v>
      </c>
      <c r="AU91" s="87">
        <f t="shared" si="65"/>
        <v>14573.992431157718</v>
      </c>
      <c r="AV91" s="87">
        <f t="shared" si="66"/>
        <v>6871.5522178049232</v>
      </c>
      <c r="AW91" s="71">
        <f t="shared" si="67"/>
        <v>5.9984168602000114E-2</v>
      </c>
      <c r="AX91" s="72">
        <f t="shared" si="68"/>
        <v>-10.067396986317274</v>
      </c>
      <c r="AY91" s="88">
        <f t="shared" si="69"/>
        <v>-0.60404381917903638</v>
      </c>
      <c r="AZ91" s="88"/>
      <c r="BA91" s="3">
        <v>40</v>
      </c>
      <c r="BB91" s="3" t="s">
        <v>81</v>
      </c>
      <c r="BC91" s="111">
        <v>19.994360628111693</v>
      </c>
      <c r="BD91" s="75">
        <f t="shared" si="82"/>
        <v>32225.679477254183</v>
      </c>
      <c r="BE91" s="160">
        <f t="shared" si="83"/>
        <v>0.21323219026785964</v>
      </c>
      <c r="BF91" s="3">
        <f t="shared" si="70"/>
        <v>46914.381839555135</v>
      </c>
      <c r="BG91" s="3">
        <f t="shared" si="71"/>
        <v>52609.871324482832</v>
      </c>
      <c r="BH91" s="3">
        <f t="shared" si="72"/>
        <v>68347.993859886017</v>
      </c>
      <c r="BI91" s="3">
        <f t="shared" si="73"/>
        <v>32225.67947725418</v>
      </c>
      <c r="BJ91" s="222">
        <v>6871.5522178049232</v>
      </c>
      <c r="BK91" s="71">
        <f t="shared" si="74"/>
        <v>5.9984168602000155E-2</v>
      </c>
      <c r="BL91" s="72">
        <f t="shared" si="75"/>
        <v>-47.213307585832808</v>
      </c>
      <c r="BM91" s="88">
        <f t="shared" si="84"/>
        <v>-2.8327984551499683</v>
      </c>
      <c r="BN91" s="227">
        <v>-0.60404381917903638</v>
      </c>
      <c r="BO91" s="234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</row>
    <row r="92" spans="1:382">
      <c r="A92" s="3">
        <f>'Exptl Setup'!A172</f>
        <v>165</v>
      </c>
      <c r="B92" s="3" t="str">
        <f>'Exptl Setup'!C172</f>
        <v>c</v>
      </c>
      <c r="C92" s="3">
        <f>'Exptl Setup'!D172</f>
        <v>40</v>
      </c>
      <c r="D92" s="3" t="str">
        <f>'Exptl Setup'!E172</f>
        <v>+</v>
      </c>
      <c r="E92" s="75">
        <f>'Exptl Setup'!K172</f>
        <v>19.998109570729465</v>
      </c>
      <c r="F92" s="63">
        <f>'Exptl Setup'!F172</f>
        <v>32</v>
      </c>
      <c r="G92" s="64">
        <f>'Exptl Setup'!$C$5</f>
        <v>1.2793390913194711</v>
      </c>
      <c r="H92" s="7">
        <f t="shared" si="85"/>
        <v>25.01291504115315</v>
      </c>
      <c r="I92" s="8">
        <f t="shared" si="86"/>
        <v>9.4388358645860944</v>
      </c>
      <c r="J92" s="8">
        <f t="shared" si="87"/>
        <v>6.9870849588468502</v>
      </c>
      <c r="K92" s="8">
        <f>'Exptl Setup'!H172+'Exptl Setup'!I172+'Exptl Setup'!J172+5</f>
        <v>23.003024686832859</v>
      </c>
      <c r="L92" s="8">
        <f t="shared" si="88"/>
        <v>29.990109645679709</v>
      </c>
      <c r="M92" s="44">
        <v>300</v>
      </c>
      <c r="N92" s="85">
        <f t="shared" si="89"/>
        <v>260.57105448973419</v>
      </c>
      <c r="O92" s="193">
        <f>10^(-'Pre-DEA characterisation'!V93)</f>
        <v>1.9275249131909321E-9</v>
      </c>
      <c r="P92" s="66">
        <v>60</v>
      </c>
      <c r="Q92" s="30">
        <v>157.51900000000001</v>
      </c>
      <c r="R92" s="86">
        <f t="shared" si="47"/>
        <v>119.556921</v>
      </c>
      <c r="S92" s="86">
        <f t="shared" si="48"/>
        <v>28392.782303552533</v>
      </c>
      <c r="T92" s="86">
        <f t="shared" si="49"/>
        <v>892.5475463616234</v>
      </c>
      <c r="U92" s="67">
        <f t="shared" si="50"/>
        <v>65283.724353932936</v>
      </c>
      <c r="V92" s="199">
        <f t="shared" si="81"/>
        <v>17804.652096527163</v>
      </c>
      <c r="W92" s="66">
        <v>120</v>
      </c>
      <c r="X92" s="30">
        <v>135.178</v>
      </c>
      <c r="Y92" s="86">
        <f t="shared" si="51"/>
        <v>102.60010199999999</v>
      </c>
      <c r="Z92" s="86">
        <f t="shared" si="52"/>
        <v>24365.819527991061</v>
      </c>
      <c r="AA92" s="86">
        <f t="shared" si="53"/>
        <v>765.95707325510909</v>
      </c>
      <c r="AB92" s="67">
        <f t="shared" si="54"/>
        <v>56024.500477503971</v>
      </c>
      <c r="AC92" s="199">
        <f t="shared" si="90"/>
        <v>15279.409221137445</v>
      </c>
      <c r="AD92" s="66">
        <v>180</v>
      </c>
      <c r="AE92" s="30">
        <v>213.79599999999999</v>
      </c>
      <c r="AF92" s="86">
        <f t="shared" si="55"/>
        <v>162.271164</v>
      </c>
      <c r="AG92" s="86">
        <f t="shared" si="56"/>
        <v>38536.705320439549</v>
      </c>
      <c r="AH92" s="86">
        <f t="shared" si="57"/>
        <v>1211.4290671089179</v>
      </c>
      <c r="AI92" s="67">
        <f t="shared" si="58"/>
        <v>88607.718002104171</v>
      </c>
      <c r="AJ92" s="199">
        <f t="shared" si="91"/>
        <v>24165.741273301133</v>
      </c>
      <c r="AK92" s="3">
        <v>240</v>
      </c>
      <c r="AL92" s="30">
        <v>116.51300000000001</v>
      </c>
      <c r="AM92" s="86">
        <f t="shared" si="59"/>
        <v>88.433367000000004</v>
      </c>
      <c r="AN92" s="86">
        <f t="shared" si="60"/>
        <v>21001.455345284161</v>
      </c>
      <c r="AO92" s="86">
        <f t="shared" si="61"/>
        <v>660.19586379568057</v>
      </c>
      <c r="AP92" s="67">
        <f t="shared" si="62"/>
        <v>48288.794213077701</v>
      </c>
      <c r="AQ92" s="199">
        <f t="shared" si="92"/>
        <v>13169.671149021191</v>
      </c>
      <c r="AR92" s="199">
        <f>(((AL92*$N92*10^-3)*$E$3*$E$4)/($E$5*$E$6*$H92))*1000*(12/44)+'post-DEA dissolved CO2'!N90</f>
        <v>26338.195503047915</v>
      </c>
      <c r="AS92" s="87">
        <f t="shared" si="63"/>
        <v>17804.652096527163</v>
      </c>
      <c r="AT92" s="87">
        <f t="shared" si="64"/>
        <v>15279.409221137445</v>
      </c>
      <c r="AU92" s="87">
        <f t="shared" si="65"/>
        <v>24165.741273301133</v>
      </c>
      <c r="AV92" s="87">
        <f t="shared" si="66"/>
        <v>13169.671149021191</v>
      </c>
      <c r="AW92" s="71">
        <f t="shared" si="67"/>
        <v>1.8474975489660674E-2</v>
      </c>
      <c r="AX92" s="72">
        <f t="shared" si="68"/>
        <v>-8.3643513172570447</v>
      </c>
      <c r="AY92" s="88">
        <f t="shared" si="69"/>
        <v>-0.50186107903542265</v>
      </c>
      <c r="AZ92" s="88"/>
      <c r="BA92" s="3">
        <v>40</v>
      </c>
      <c r="BB92" s="3" t="s">
        <v>81</v>
      </c>
      <c r="BC92" s="111">
        <v>19.998109570729465</v>
      </c>
      <c r="BD92" s="75">
        <f t="shared" si="82"/>
        <v>26338.195503047915</v>
      </c>
      <c r="BE92" s="160">
        <f t="shared" si="83"/>
        <v>0.50002177056879871</v>
      </c>
      <c r="BF92" s="3">
        <f t="shared" si="70"/>
        <v>35607.753790946983</v>
      </c>
      <c r="BG92" s="3">
        <f t="shared" si="71"/>
        <v>30557.487934488101</v>
      </c>
      <c r="BH92" s="3">
        <f t="shared" si="72"/>
        <v>48329.378230494738</v>
      </c>
      <c r="BI92" s="3">
        <f t="shared" si="73"/>
        <v>26338.195503047915</v>
      </c>
      <c r="BJ92" s="222">
        <v>13169.671149021191</v>
      </c>
      <c r="BK92" s="71">
        <f t="shared" si="74"/>
        <v>1.8474975489660712E-2</v>
      </c>
      <c r="BL92" s="72">
        <f t="shared" si="75"/>
        <v>-16.727974279484283</v>
      </c>
      <c r="BM92" s="88">
        <f t="shared" si="84"/>
        <v>-1.0036784567690571</v>
      </c>
      <c r="BN92" s="227">
        <v>-0.50186107903542265</v>
      </c>
      <c r="BO92" s="234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</row>
    <row r="93" spans="1:382">
      <c r="A93" s="3">
        <f>'Exptl Setup'!A176</f>
        <v>169</v>
      </c>
      <c r="B93" s="3" t="str">
        <f>'Exptl Setup'!C176</f>
        <v>a</v>
      </c>
      <c r="C93" s="3">
        <f>'Exptl Setup'!D176</f>
        <v>40</v>
      </c>
      <c r="D93" s="3" t="str">
        <f>'Exptl Setup'!E176</f>
        <v>-</v>
      </c>
      <c r="E93" s="75">
        <f>'Exptl Setup'!K176</f>
        <v>0</v>
      </c>
      <c r="F93" s="63">
        <f>'Exptl Setup'!F176</f>
        <v>32.006</v>
      </c>
      <c r="G93" s="64">
        <f>'Exptl Setup'!$C$5</f>
        <v>1.2793390913194711</v>
      </c>
      <c r="H93" s="7">
        <f t="shared" si="85"/>
        <v>25.017604962723365</v>
      </c>
      <c r="I93" s="8">
        <f t="shared" si="86"/>
        <v>9.4406056463107042</v>
      </c>
      <c r="J93" s="8">
        <f t="shared" si="87"/>
        <v>6.9883950372766357</v>
      </c>
      <c r="K93" s="8">
        <f>'Exptl Setup'!H176+'Exptl Setup'!I176+'Exptl Setup'!J176+5</f>
        <v>23.003024686832859</v>
      </c>
      <c r="L93" s="8">
        <f t="shared" si="88"/>
        <v>29.991419724109495</v>
      </c>
      <c r="M93" s="44">
        <v>300</v>
      </c>
      <c r="N93" s="85">
        <f t="shared" si="89"/>
        <v>260.56797462957979</v>
      </c>
      <c r="O93" s="193">
        <f>10^(-'Pre-DEA characterisation'!V94)</f>
        <v>2.5409727055492993E-5</v>
      </c>
      <c r="P93" s="66">
        <v>60</v>
      </c>
      <c r="Q93" s="30">
        <v>365.09300000000002</v>
      </c>
      <c r="R93" s="86">
        <f t="shared" si="47"/>
        <v>277.10558700000001</v>
      </c>
      <c r="S93" s="86">
        <f t="shared" si="48"/>
        <v>281.95854010527245</v>
      </c>
      <c r="T93" s="86">
        <f t="shared" si="49"/>
        <v>103.58788048253157</v>
      </c>
      <c r="U93" s="67">
        <f t="shared" si="50"/>
        <v>7575.3218000548841</v>
      </c>
      <c r="V93" s="199">
        <f t="shared" si="81"/>
        <v>2065.9968545604229</v>
      </c>
      <c r="W93" s="66">
        <v>120</v>
      </c>
      <c r="X93" s="30">
        <v>354.06400000000002</v>
      </c>
      <c r="Y93" s="86">
        <f t="shared" si="51"/>
        <v>268.734576</v>
      </c>
      <c r="Z93" s="86">
        <f t="shared" si="52"/>
        <v>273.44092750020735</v>
      </c>
      <c r="AA93" s="86">
        <f t="shared" si="53"/>
        <v>100.45862099565606</v>
      </c>
      <c r="AB93" s="67">
        <f t="shared" si="54"/>
        <v>7346.4808632721879</v>
      </c>
      <c r="AC93" s="199">
        <f t="shared" si="90"/>
        <v>2003.5856899833241</v>
      </c>
      <c r="AD93" s="66">
        <v>180</v>
      </c>
      <c r="AE93" s="30">
        <v>421.37</v>
      </c>
      <c r="AF93" s="86">
        <f t="shared" si="55"/>
        <v>319.81983000000002</v>
      </c>
      <c r="AG93" s="86">
        <f t="shared" si="56"/>
        <v>325.42083809922036</v>
      </c>
      <c r="AH93" s="86">
        <f t="shared" si="57"/>
        <v>119.55536041207124</v>
      </c>
      <c r="AI93" s="67">
        <f t="shared" si="58"/>
        <v>8743.0143741159809</v>
      </c>
      <c r="AJ93" s="199">
        <f t="shared" si="91"/>
        <v>2384.4584656679949</v>
      </c>
      <c r="AK93" s="3">
        <v>240</v>
      </c>
      <c r="AL93" s="30">
        <v>489.524</v>
      </c>
      <c r="AM93" s="86">
        <f t="shared" si="59"/>
        <v>371.54871600000001</v>
      </c>
      <c r="AN93" s="86">
        <f t="shared" si="60"/>
        <v>378.05565263232489</v>
      </c>
      <c r="AO93" s="86">
        <f t="shared" si="61"/>
        <v>138.89270296973862</v>
      </c>
      <c r="AP93" s="67">
        <f t="shared" si="62"/>
        <v>10157.143053550921</v>
      </c>
      <c r="AQ93" s="199">
        <f t="shared" si="92"/>
        <v>2770.1299236957057</v>
      </c>
      <c r="AR93" s="199">
        <f>(((AL93*$N93*10^-3)*$E$3*$E$4)/($E$5*$E$6*$H93))*1000*(12/44)+'post-DEA dissolved CO2'!N91</f>
        <v>6445.4477095970942</v>
      </c>
      <c r="AS93" s="87">
        <f t="shared" si="63"/>
        <v>2065.9968545604229</v>
      </c>
      <c r="AT93" s="87">
        <f t="shared" si="64"/>
        <v>2003.5856899833241</v>
      </c>
      <c r="AU93" s="87">
        <f t="shared" si="65"/>
        <v>2384.4584656679949</v>
      </c>
      <c r="AV93" s="87">
        <f t="shared" si="66"/>
        <v>2770.1299236957057</v>
      </c>
      <c r="AW93" s="71">
        <f t="shared" si="67"/>
        <v>0.83863081734772904</v>
      </c>
      <c r="AX93" s="72">
        <f t="shared" si="68"/>
        <v>4.155453305150866</v>
      </c>
      <c r="AY93" s="88">
        <f t="shared" si="69"/>
        <v>0.24932719830905198</v>
      </c>
      <c r="AZ93" s="88"/>
      <c r="BA93" s="3">
        <v>40</v>
      </c>
      <c r="BB93" s="3" t="s">
        <v>82</v>
      </c>
      <c r="BC93" s="111">
        <v>0</v>
      </c>
      <c r="BD93" s="75">
        <f t="shared" si="82"/>
        <v>6445.4477095970942</v>
      </c>
      <c r="BE93" s="160">
        <f t="shared" si="83"/>
        <v>0.42978083889673924</v>
      </c>
      <c r="BF93" s="3">
        <f t="shared" si="70"/>
        <v>4807.0939129438648</v>
      </c>
      <c r="BG93" s="3">
        <f t="shared" si="71"/>
        <v>4661.8776563575766</v>
      </c>
      <c r="BH93" s="3">
        <f t="shared" si="72"/>
        <v>5548.0799744096876</v>
      </c>
      <c r="BI93" s="3">
        <f t="shared" si="73"/>
        <v>6445.4477095970942</v>
      </c>
      <c r="BJ93" s="222">
        <v>2770.1299236957057</v>
      </c>
      <c r="BK93" s="71">
        <f t="shared" si="74"/>
        <v>0.83863081734772882</v>
      </c>
      <c r="BL93" s="72">
        <f t="shared" si="75"/>
        <v>9.6687728466863323</v>
      </c>
      <c r="BM93" s="88">
        <f t="shared" si="84"/>
        <v>0.58012637080118001</v>
      </c>
      <c r="BN93" s="227">
        <v>0.24932719830905198</v>
      </c>
      <c r="BO93" s="234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</row>
    <row r="94" spans="1:382">
      <c r="A94" s="3">
        <f>'Exptl Setup'!A177</f>
        <v>170</v>
      </c>
      <c r="B94" s="3" t="str">
        <f>'Exptl Setup'!C177</f>
        <v>b</v>
      </c>
      <c r="C94" s="3">
        <f>'Exptl Setup'!D177</f>
        <v>40</v>
      </c>
      <c r="D94" s="3" t="str">
        <f>'Exptl Setup'!E177</f>
        <v>-</v>
      </c>
      <c r="E94" s="75">
        <f>'Exptl Setup'!K177</f>
        <v>0</v>
      </c>
      <c r="F94" s="63">
        <f>'Exptl Setup'!F177</f>
        <v>31.998999999999999</v>
      </c>
      <c r="G94" s="64">
        <f>'Exptl Setup'!$C$5</f>
        <v>1.2793390913194711</v>
      </c>
      <c r="H94" s="7">
        <f t="shared" si="85"/>
        <v>25.012133387558112</v>
      </c>
      <c r="I94" s="8">
        <f t="shared" si="86"/>
        <v>9.4385409009653252</v>
      </c>
      <c r="J94" s="8">
        <f t="shared" si="87"/>
        <v>6.9868666124418866</v>
      </c>
      <c r="K94" s="8">
        <f>'Exptl Setup'!H177+'Exptl Setup'!I177+'Exptl Setup'!J177+5</f>
        <v>23.003024686832859</v>
      </c>
      <c r="L94" s="8">
        <f t="shared" si="88"/>
        <v>29.989891299274746</v>
      </c>
      <c r="M94" s="44">
        <v>300</v>
      </c>
      <c r="N94" s="85">
        <f t="shared" si="89"/>
        <v>260.57156779975992</v>
      </c>
      <c r="O94" s="193">
        <f>10^(-'Pre-DEA characterisation'!V95)</f>
        <v>2.5409727055492993E-5</v>
      </c>
      <c r="P94" s="66">
        <v>60</v>
      </c>
      <c r="Q94" s="30">
        <v>345.29700000000003</v>
      </c>
      <c r="R94" s="86">
        <f t="shared" si="47"/>
        <v>262.080423</v>
      </c>
      <c r="S94" s="86">
        <f t="shared" si="48"/>
        <v>266.67024024763629</v>
      </c>
      <c r="T94" s="86">
        <f t="shared" si="49"/>
        <v>97.971992164331795</v>
      </c>
      <c r="U94" s="67">
        <f t="shared" si="50"/>
        <v>7166.2024476433926</v>
      </c>
      <c r="V94" s="199">
        <f t="shared" si="81"/>
        <v>1954.4188493572888</v>
      </c>
      <c r="W94" s="66">
        <v>120</v>
      </c>
      <c r="X94" s="30">
        <v>307.40199999999999</v>
      </c>
      <c r="Y94" s="86">
        <f t="shared" si="51"/>
        <v>233.318118</v>
      </c>
      <c r="Z94" s="86">
        <f t="shared" si="52"/>
        <v>237.40422069292197</v>
      </c>
      <c r="AA94" s="86">
        <f t="shared" si="53"/>
        <v>87.219947857351556</v>
      </c>
      <c r="AB94" s="67">
        <f t="shared" si="54"/>
        <v>6379.7396583534583</v>
      </c>
      <c r="AC94" s="199">
        <f t="shared" si="90"/>
        <v>1739.9289977327614</v>
      </c>
      <c r="AD94" s="66">
        <v>180</v>
      </c>
      <c r="AE94" s="30">
        <v>378.66699999999997</v>
      </c>
      <c r="AF94" s="86">
        <f t="shared" si="55"/>
        <v>287.408253</v>
      </c>
      <c r="AG94" s="86">
        <f t="shared" si="56"/>
        <v>292.44163680498724</v>
      </c>
      <c r="AH94" s="86">
        <f t="shared" si="57"/>
        <v>107.44014676319523</v>
      </c>
      <c r="AI94" s="67">
        <f t="shared" si="58"/>
        <v>7858.7545858834001</v>
      </c>
      <c r="AJ94" s="199">
        <f t="shared" si="91"/>
        <v>2143.2967052409276</v>
      </c>
      <c r="AK94" s="3">
        <v>240</v>
      </c>
      <c r="AL94" s="30">
        <v>442.29700000000003</v>
      </c>
      <c r="AM94" s="86">
        <f t="shared" si="59"/>
        <v>335.70342300000004</v>
      </c>
      <c r="AN94" s="86">
        <f t="shared" si="60"/>
        <v>341.58260063310365</v>
      </c>
      <c r="AO94" s="86">
        <f t="shared" si="61"/>
        <v>125.49404778584076</v>
      </c>
      <c r="AP94" s="67">
        <f t="shared" si="62"/>
        <v>9179.3147463931909</v>
      </c>
      <c r="AQ94" s="199">
        <f t="shared" si="92"/>
        <v>2503.4494762890522</v>
      </c>
      <c r="AR94" s="199">
        <f>(((AL94*$N94*10^-3)*$E$3*$E$4)/($E$5*$E$6*$H94))*1000*(12/44)+'post-DEA dissolved CO2'!N92</f>
        <v>6256.3703083779519</v>
      </c>
      <c r="AS94" s="87">
        <f t="shared" si="63"/>
        <v>1954.4188493572888</v>
      </c>
      <c r="AT94" s="87">
        <f t="shared" si="64"/>
        <v>1739.9289977327614</v>
      </c>
      <c r="AU94" s="87">
        <f t="shared" si="65"/>
        <v>2143.2967052409276</v>
      </c>
      <c r="AV94" s="87">
        <f t="shared" si="66"/>
        <v>2503.4494762890522</v>
      </c>
      <c r="AW94" s="71">
        <f t="shared" si="67"/>
        <v>0.66816101293194197</v>
      </c>
      <c r="AX94" s="72">
        <f t="shared" si="68"/>
        <v>3.4174326471724275</v>
      </c>
      <c r="AY94" s="88">
        <f t="shared" si="69"/>
        <v>0.20504595883034565</v>
      </c>
      <c r="AZ94" s="88"/>
      <c r="BA94" s="3">
        <v>40</v>
      </c>
      <c r="BB94" s="3" t="s">
        <v>82</v>
      </c>
      <c r="BC94" s="111">
        <v>0</v>
      </c>
      <c r="BD94" s="75">
        <f t="shared" si="82"/>
        <v>6256.3703083779519</v>
      </c>
      <c r="BE94" s="160">
        <f t="shared" si="83"/>
        <v>0.40014406962718696</v>
      </c>
      <c r="BF94" s="3">
        <f t="shared" si="70"/>
        <v>4884.2879295405155</v>
      </c>
      <c r="BG94" s="3">
        <f t="shared" si="71"/>
        <v>4348.2563651483033</v>
      </c>
      <c r="BH94" s="3">
        <f t="shared" si="72"/>
        <v>5356.3125582189205</v>
      </c>
      <c r="BI94" s="3">
        <f t="shared" si="73"/>
        <v>6256.3703083779519</v>
      </c>
      <c r="BJ94" s="222">
        <v>2503.4494762890522</v>
      </c>
      <c r="BK94" s="71">
        <f t="shared" si="74"/>
        <v>0.6681610129319423</v>
      </c>
      <c r="BL94" s="72">
        <f t="shared" si="75"/>
        <v>8.5405055493048785</v>
      </c>
      <c r="BM94" s="88">
        <f t="shared" si="84"/>
        <v>0.51243033295829277</v>
      </c>
      <c r="BN94" s="227">
        <v>0.20504595883034565</v>
      </c>
      <c r="BO94" s="23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</row>
    <row r="95" spans="1:382">
      <c r="A95" s="3">
        <f>'Exptl Setup'!A178</f>
        <v>171</v>
      </c>
      <c r="B95" s="3" t="str">
        <f>'Exptl Setup'!C178</f>
        <v>c</v>
      </c>
      <c r="C95" s="3">
        <f>'Exptl Setup'!D178</f>
        <v>40</v>
      </c>
      <c r="D95" s="3" t="str">
        <f>'Exptl Setup'!E178</f>
        <v>-</v>
      </c>
      <c r="E95" s="75">
        <f>'Exptl Setup'!K178</f>
        <v>0</v>
      </c>
      <c r="F95" s="63">
        <f>'Exptl Setup'!F178</f>
        <v>31.995999999999999</v>
      </c>
      <c r="G95" s="64">
        <f>'Exptl Setup'!$C$5</f>
        <v>1.2793390913194711</v>
      </c>
      <c r="H95" s="7">
        <f t="shared" si="85"/>
        <v>25.009788426773003</v>
      </c>
      <c r="I95" s="8">
        <f t="shared" si="86"/>
        <v>9.4376560101030211</v>
      </c>
      <c r="J95" s="8">
        <f t="shared" si="87"/>
        <v>6.9862115732269956</v>
      </c>
      <c r="K95" s="8">
        <f>'Exptl Setup'!H178+'Exptl Setup'!I178+'Exptl Setup'!J178+5</f>
        <v>23.003024686832859</v>
      </c>
      <c r="L95" s="8">
        <f t="shared" si="88"/>
        <v>29.989236260059855</v>
      </c>
      <c r="M95" s="44">
        <v>300</v>
      </c>
      <c r="N95" s="85">
        <f t="shared" si="89"/>
        <v>260.57310772983715</v>
      </c>
      <c r="O95" s="193">
        <f>10^(-'Pre-DEA characterisation'!V96)</f>
        <v>2.5409727055492993E-5</v>
      </c>
      <c r="P95" s="66">
        <v>60</v>
      </c>
      <c r="Q95" s="30">
        <v>293.262</v>
      </c>
      <c r="R95" s="86">
        <f t="shared" si="47"/>
        <v>222.585858</v>
      </c>
      <c r="S95" s="86">
        <f t="shared" si="48"/>
        <v>226.48400650889616</v>
      </c>
      <c r="T95" s="86">
        <f t="shared" si="49"/>
        <v>83.208273099387725</v>
      </c>
      <c r="U95" s="67">
        <f t="shared" si="50"/>
        <v>6086.8746883760523</v>
      </c>
      <c r="V95" s="199">
        <f t="shared" si="81"/>
        <v>1660.0567331934687</v>
      </c>
      <c r="W95" s="66">
        <v>120</v>
      </c>
      <c r="X95" s="30">
        <v>354.62900000000002</v>
      </c>
      <c r="Y95" s="86">
        <f t="shared" si="51"/>
        <v>269.163411</v>
      </c>
      <c r="Z95" s="86">
        <f t="shared" si="52"/>
        <v>273.87727269214326</v>
      </c>
      <c r="AA95" s="86">
        <f t="shared" si="53"/>
        <v>100.62015085814994</v>
      </c>
      <c r="AB95" s="67">
        <f t="shared" si="54"/>
        <v>7360.5932028838088</v>
      </c>
      <c r="AC95" s="199">
        <f t="shared" si="90"/>
        <v>2007.4345098774027</v>
      </c>
      <c r="AD95" s="66">
        <v>180</v>
      </c>
      <c r="AE95" s="30">
        <v>409.209</v>
      </c>
      <c r="AF95" s="86">
        <f t="shared" si="55"/>
        <v>310.589631</v>
      </c>
      <c r="AG95" s="86">
        <f t="shared" si="56"/>
        <v>316.02899052553306</v>
      </c>
      <c r="AH95" s="86">
        <f t="shared" si="57"/>
        <v>116.10632890291737</v>
      </c>
      <c r="AI95" s="67">
        <f t="shared" si="58"/>
        <v>8493.4423974319088</v>
      </c>
      <c r="AJ95" s="199">
        <f t="shared" si="91"/>
        <v>2316.3933811177935</v>
      </c>
      <c r="AK95" s="3">
        <v>240</v>
      </c>
      <c r="AL95" s="30">
        <v>444.84199999999998</v>
      </c>
      <c r="AM95" s="86">
        <f t="shared" si="59"/>
        <v>337.63507799999996</v>
      </c>
      <c r="AN95" s="86">
        <f t="shared" si="60"/>
        <v>343.54808472775323</v>
      </c>
      <c r="AO95" s="86">
        <f t="shared" si="61"/>
        <v>126.21660706834787</v>
      </c>
      <c r="AP95" s="67">
        <f t="shared" si="62"/>
        <v>9233.0322719158303</v>
      </c>
      <c r="AQ95" s="199">
        <f t="shared" si="92"/>
        <v>2518.0997105224992</v>
      </c>
      <c r="AR95" s="199">
        <f>(((AL95*$N95*10^-3)*$E$3*$E$4)/($E$5*$E$6*$H95))*1000*(12/44)+'post-DEA dissolved CO2'!N93</f>
        <v>6379.3646292837129</v>
      </c>
      <c r="AS95" s="87">
        <f t="shared" si="63"/>
        <v>1660.0567331934687</v>
      </c>
      <c r="AT95" s="87">
        <f t="shared" si="64"/>
        <v>2007.4345098774027</v>
      </c>
      <c r="AU95" s="87">
        <f t="shared" si="65"/>
        <v>2316.3933811177935</v>
      </c>
      <c r="AV95" s="87">
        <f t="shared" si="66"/>
        <v>2518.0997105224992</v>
      </c>
      <c r="AW95" s="71">
        <f t="shared" si="67"/>
        <v>0.98684097445352792</v>
      </c>
      <c r="AX95" s="72">
        <f t="shared" si="68"/>
        <v>4.8051463387124711</v>
      </c>
      <c r="AY95" s="88">
        <f t="shared" si="69"/>
        <v>0.28830878032274826</v>
      </c>
      <c r="AZ95" s="88"/>
      <c r="BA95" s="3">
        <v>40</v>
      </c>
      <c r="BB95" s="3" t="s">
        <v>82</v>
      </c>
      <c r="BC95" s="111">
        <v>0</v>
      </c>
      <c r="BD95" s="75">
        <f t="shared" si="82"/>
        <v>6379.3646292837129</v>
      </c>
      <c r="BE95" s="160">
        <f t="shared" si="83"/>
        <v>0.39472578491021859</v>
      </c>
      <c r="BF95" s="3">
        <f t="shared" si="70"/>
        <v>4205.5948626995651</v>
      </c>
      <c r="BG95" s="3">
        <f t="shared" si="71"/>
        <v>5085.6432151601111</v>
      </c>
      <c r="BH95" s="3">
        <f t="shared" si="72"/>
        <v>5868.3609474477662</v>
      </c>
      <c r="BI95" s="3">
        <f t="shared" si="73"/>
        <v>6379.3646292837129</v>
      </c>
      <c r="BJ95" s="222">
        <v>2518.0997105224992</v>
      </c>
      <c r="BK95" s="71">
        <f t="shared" si="74"/>
        <v>0.9868409744535277</v>
      </c>
      <c r="BL95" s="72">
        <f t="shared" si="75"/>
        <v>12.173378386733498</v>
      </c>
      <c r="BM95" s="88">
        <f t="shared" si="84"/>
        <v>0.73040270320400991</v>
      </c>
      <c r="BN95" s="227">
        <v>0.28830878032274826</v>
      </c>
      <c r="BO95" s="234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</row>
    <row r="96" spans="1:382">
      <c r="A96" s="3">
        <f>'Exptl Setup'!A182</f>
        <v>175</v>
      </c>
      <c r="B96" s="3" t="str">
        <f>'Exptl Setup'!C182</f>
        <v>a</v>
      </c>
      <c r="C96" s="3">
        <f>'Exptl Setup'!D182</f>
        <v>40</v>
      </c>
      <c r="D96" s="3" t="str">
        <f>'Exptl Setup'!E182</f>
        <v>-</v>
      </c>
      <c r="E96" s="75">
        <f>'Exptl Setup'!K182</f>
        <v>5.9969965913536027</v>
      </c>
      <c r="F96" s="63">
        <f>'Exptl Setup'!F182</f>
        <v>32.012999999999998</v>
      </c>
      <c r="G96" s="64">
        <f>'Exptl Setup'!$C$5</f>
        <v>1.2793390913194711</v>
      </c>
      <c r="H96" s="7">
        <f t="shared" si="85"/>
        <v>25.023076537888617</v>
      </c>
      <c r="I96" s="8">
        <f t="shared" si="86"/>
        <v>9.4426703916560815</v>
      </c>
      <c r="J96" s="8">
        <f t="shared" si="87"/>
        <v>6.9899234621113813</v>
      </c>
      <c r="K96" s="8">
        <f>'Exptl Setup'!H182+'Exptl Setup'!I182+'Exptl Setup'!J182+5</f>
        <v>23.003024686832859</v>
      </c>
      <c r="L96" s="8">
        <f t="shared" si="88"/>
        <v>29.99294814894424</v>
      </c>
      <c r="M96" s="44">
        <v>300</v>
      </c>
      <c r="N96" s="85">
        <f t="shared" si="89"/>
        <v>260.56438145939967</v>
      </c>
      <c r="O96" s="193">
        <f>10^(-'Pre-DEA characterisation'!V97)</f>
        <v>2.089296130854039E-7</v>
      </c>
      <c r="P96" s="66">
        <v>60</v>
      </c>
      <c r="Q96" s="30">
        <v>1407.771</v>
      </c>
      <c r="R96" s="86">
        <f t="shared" si="47"/>
        <v>1068.4981889999999</v>
      </c>
      <c r="S96" s="86">
        <f t="shared" si="48"/>
        <v>3344.8075260536525</v>
      </c>
      <c r="T96" s="86">
        <f t="shared" si="49"/>
        <v>467.1356185486062</v>
      </c>
      <c r="U96" s="67">
        <f t="shared" si="50"/>
        <v>34153.887901157359</v>
      </c>
      <c r="V96" s="199">
        <f t="shared" si="81"/>
        <v>9314.6967003156442</v>
      </c>
      <c r="W96" s="66">
        <v>120</v>
      </c>
      <c r="X96" s="30">
        <v>1638.251</v>
      </c>
      <c r="Y96" s="86">
        <f t="shared" si="51"/>
        <v>1243.432509</v>
      </c>
      <c r="Z96" s="86">
        <f t="shared" si="52"/>
        <v>3892.4187771767733</v>
      </c>
      <c r="AA96" s="86">
        <f t="shared" si="53"/>
        <v>543.6149730480829</v>
      </c>
      <c r="AB96" s="67">
        <f t="shared" si="54"/>
        <v>39745.555923483967</v>
      </c>
      <c r="AC96" s="199">
        <f t="shared" si="90"/>
        <v>10839.697070041082</v>
      </c>
      <c r="AD96" s="66">
        <v>180</v>
      </c>
      <c r="AE96" s="30">
        <v>1792.942</v>
      </c>
      <c r="AF96" s="86">
        <f t="shared" si="55"/>
        <v>1360.8429780000001</v>
      </c>
      <c r="AG96" s="86">
        <f t="shared" si="56"/>
        <v>4259.9583990419533</v>
      </c>
      <c r="AH96" s="86">
        <f t="shared" si="57"/>
        <v>594.9455346017038</v>
      </c>
      <c r="AI96" s="67">
        <f t="shared" si="58"/>
        <v>43498.509403359552</v>
      </c>
      <c r="AJ96" s="199">
        <f t="shared" si="91"/>
        <v>11863.229837279878</v>
      </c>
      <c r="AK96" s="3">
        <v>240</v>
      </c>
      <c r="AL96" s="30">
        <v>2053.116</v>
      </c>
      <c r="AM96" s="86">
        <f t="shared" si="59"/>
        <v>1558.3150439999999</v>
      </c>
      <c r="AN96" s="86">
        <f t="shared" si="60"/>
        <v>4878.1214051583474</v>
      </c>
      <c r="AO96" s="86">
        <f t="shared" si="61"/>
        <v>681.27814297356622</v>
      </c>
      <c r="AP96" s="67">
        <f t="shared" si="62"/>
        <v>49810.582624640374</v>
      </c>
      <c r="AQ96" s="199">
        <f t="shared" si="92"/>
        <v>13584.704352174647</v>
      </c>
      <c r="AR96" s="199">
        <f>(((AL96*$N96*10^-3)*$E$3*$E$4)/($E$5*$E$6*$H96))*1000*(12/44)+'post-DEA dissolved CO2'!N94</f>
        <v>19671.06767955171</v>
      </c>
      <c r="AS96" s="87">
        <f t="shared" si="63"/>
        <v>9314.6967003156442</v>
      </c>
      <c r="AT96" s="87">
        <f t="shared" si="64"/>
        <v>10839.697070041082</v>
      </c>
      <c r="AU96" s="87">
        <f t="shared" si="65"/>
        <v>11863.229837279878</v>
      </c>
      <c r="AV96" s="87">
        <f t="shared" si="66"/>
        <v>13584.704352174647</v>
      </c>
      <c r="AW96" s="71">
        <f t="shared" si="67"/>
        <v>0.99154609896815027</v>
      </c>
      <c r="AX96" s="72">
        <f t="shared" si="68"/>
        <v>23.055926204693009</v>
      </c>
      <c r="AY96" s="88">
        <f t="shared" si="69"/>
        <v>1.3833555722815805</v>
      </c>
      <c r="AZ96" s="88"/>
      <c r="BA96" s="3">
        <v>40</v>
      </c>
      <c r="BB96" s="3" t="s">
        <v>82</v>
      </c>
      <c r="BC96" s="111">
        <v>5.9969965913536027</v>
      </c>
      <c r="BD96" s="75">
        <f t="shared" si="82"/>
        <v>19671.06767955171</v>
      </c>
      <c r="BE96" s="160">
        <f t="shared" si="83"/>
        <v>0.69059313777340592</v>
      </c>
      <c r="BF96" s="3">
        <f t="shared" si="70"/>
        <v>13487.965910503932</v>
      </c>
      <c r="BG96" s="3">
        <f t="shared" si="71"/>
        <v>15696.213120492592</v>
      </c>
      <c r="BH96" s="3">
        <f t="shared" si="72"/>
        <v>17178.319894010274</v>
      </c>
      <c r="BI96" s="3">
        <f t="shared" si="73"/>
        <v>19671.06767955171</v>
      </c>
      <c r="BJ96" s="222">
        <v>13584.704352174647</v>
      </c>
      <c r="BK96" s="71">
        <f t="shared" si="74"/>
        <v>0.99154609896815049</v>
      </c>
      <c r="BL96" s="72">
        <f t="shared" si="75"/>
        <v>33.385686801101699</v>
      </c>
      <c r="BM96" s="88">
        <f t="shared" si="84"/>
        <v>2.003141208066102</v>
      </c>
      <c r="BN96" s="227">
        <v>1.3833555722815805</v>
      </c>
      <c r="BO96" s="234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</row>
    <row r="97" spans="1:382">
      <c r="A97" s="3">
        <f>'Exptl Setup'!A183</f>
        <v>176</v>
      </c>
      <c r="B97" s="3" t="str">
        <f>'Exptl Setup'!C183</f>
        <v>b</v>
      </c>
      <c r="C97" s="3">
        <f>'Exptl Setup'!D183</f>
        <v>40</v>
      </c>
      <c r="D97" s="3" t="str">
        <f>'Exptl Setup'!E183</f>
        <v>-</v>
      </c>
      <c r="E97" s="75">
        <f>'Exptl Setup'!K183</f>
        <v>6.0007455343044693</v>
      </c>
      <c r="F97" s="63">
        <f>'Exptl Setup'!F183</f>
        <v>31.992999999999999</v>
      </c>
      <c r="G97" s="64">
        <f>'Exptl Setup'!$C$5</f>
        <v>1.2793390913194711</v>
      </c>
      <c r="H97" s="7">
        <f t="shared" si="85"/>
        <v>25.007443465987894</v>
      </c>
      <c r="I97" s="8">
        <f t="shared" si="86"/>
        <v>9.4367711192407153</v>
      </c>
      <c r="J97" s="8">
        <f t="shared" si="87"/>
        <v>6.9855565340121046</v>
      </c>
      <c r="K97" s="8">
        <f>'Exptl Setup'!H183+'Exptl Setup'!I183+'Exptl Setup'!J183+5</f>
        <v>23.003024686832859</v>
      </c>
      <c r="L97" s="8">
        <f t="shared" si="88"/>
        <v>29.988581220844964</v>
      </c>
      <c r="M97" s="44">
        <v>300</v>
      </c>
      <c r="N97" s="85">
        <f t="shared" si="89"/>
        <v>260.57464765991432</v>
      </c>
      <c r="O97" s="193">
        <f>10^(-'Pre-DEA characterisation'!V98)</f>
        <v>2.089296130854039E-7</v>
      </c>
      <c r="P97" s="66">
        <v>60</v>
      </c>
      <c r="Q97" s="30">
        <v>2523.41</v>
      </c>
      <c r="R97" s="86">
        <f t="shared" ref="R97:R128" si="93">Q97*$E$2</f>
        <v>1915.26819</v>
      </c>
      <c r="S97" s="86">
        <f t="shared" ref="S97:S128" si="94">(R97/$O97^2)*($O97^2+$O97*$J$3+$J$3*$J$4)</f>
        <v>5995.5211176526918</v>
      </c>
      <c r="T97" s="86">
        <f t="shared" ref="T97:T128" si="95">(Q97*$N97*10^-3)+(S97*$L97*10^-3)</f>
        <v>837.33384364952326</v>
      </c>
      <c r="U97" s="67">
        <f t="shared" ref="U97:U128" si="96">((T97*$E$3*$E$4)/($E$5*$E$6*$H97))*1000</f>
        <v>61258.621447927311</v>
      </c>
      <c r="V97" s="199">
        <f t="shared" si="81"/>
        <v>16706.896758525629</v>
      </c>
      <c r="W97" s="66">
        <v>120</v>
      </c>
      <c r="X97" s="30">
        <v>2700.7249999999999</v>
      </c>
      <c r="Y97" s="86">
        <f t="shared" ref="Y97:Y128" si="97">X97*$E$2</f>
        <v>2049.8502749999998</v>
      </c>
      <c r="Z97" s="86">
        <f t="shared" ref="Z97:Z128" si="98">(Y97/$O97^2)*($O97^2+$O97*$J$3+$J$3*$J$4)</f>
        <v>6416.8144576079849</v>
      </c>
      <c r="AA97" s="86">
        <f t="shared" ref="AA97:AA128" si="99">(X97*$N97*10^-3)+(Z97*$L97*10^-3)</f>
        <v>896.17162684239133</v>
      </c>
      <c r="AB97" s="67">
        <f t="shared" ref="AB97:AB128" si="100">((AA97*$E$3*$E$4)/($E$5*$E$6*$H97))*1000</f>
        <v>65563.142893922704</v>
      </c>
      <c r="AC97" s="199">
        <f t="shared" si="90"/>
        <v>17880.857152888013</v>
      </c>
      <c r="AD97" s="66">
        <v>180</v>
      </c>
      <c r="AE97" s="30">
        <v>2795.462</v>
      </c>
      <c r="AF97" s="86">
        <f t="shared" ref="AF97:AF128" si="101">AE97*$E$2</f>
        <v>2121.755658</v>
      </c>
      <c r="AG97" s="86">
        <f t="shared" ref="AG97:AG128" si="102">(AF97/$O97^2)*($O97^2+$O97*$J$3+$J$3*$J$4)</f>
        <v>6641.90577615038</v>
      </c>
      <c r="AH97" s="86">
        <f t="shared" ref="AH97:AH128" si="103">(AE97*$N97*10^-3)+(AG97*$L97*10^-3)</f>
        <v>927.60785652596439</v>
      </c>
      <c r="AI97" s="67">
        <f t="shared" ref="AI97:AI128" si="104">((AH97*$E$3*$E$4)/($E$5*$E$6*$H97))*1000</f>
        <v>67862.990330570858</v>
      </c>
      <c r="AJ97" s="199">
        <f t="shared" si="91"/>
        <v>18508.088271973873</v>
      </c>
      <c r="AK97" s="3">
        <v>240</v>
      </c>
      <c r="AL97" s="30">
        <v>2995.6840000000002</v>
      </c>
      <c r="AM97" s="86">
        <f t="shared" ref="AM97:AM128" si="105">AL97*$E$2</f>
        <v>2273.7241560000002</v>
      </c>
      <c r="AN97" s="86">
        <f t="shared" ref="AN97:AN128" si="106">(AM97/$O97^2)*($O97^2+$O97*$J$3+$J$3*$J$4)</f>
        <v>7117.6252308639059</v>
      </c>
      <c r="AO97" s="86">
        <f t="shared" ref="AO97:AO128" si="107">(AL97*$N97*10^-3)+(AN97*$L97*10^-3)</f>
        <v>994.04678513574049</v>
      </c>
      <c r="AP97" s="67">
        <f t="shared" ref="AP97:AP128" si="108">((AO97*$E$3*$E$4)/($E$5*$E$6*$H97))*1000</f>
        <v>72723.605016074551</v>
      </c>
      <c r="AQ97" s="199">
        <f t="shared" si="92"/>
        <v>19833.710458929421</v>
      </c>
      <c r="AR97" s="199">
        <f>(((AL97*$N97*10^-3)*$E$3*$E$4)/($E$5*$E$6*$H97))*1000*(12/44)+'post-DEA dissolved CO2'!N95</f>
        <v>25263.793550573195</v>
      </c>
      <c r="AS97" s="87">
        <f t="shared" ref="AS97:AS128" si="109">V97</f>
        <v>16706.896758525629</v>
      </c>
      <c r="AT97" s="87">
        <f t="shared" ref="AT97:AT128" si="110">AC97</f>
        <v>17880.857152888013</v>
      </c>
      <c r="AU97" s="87">
        <f t="shared" ref="AU97:AU128" si="111">AJ97</f>
        <v>18508.088271973873</v>
      </c>
      <c r="AV97" s="87">
        <f t="shared" ref="AV97:AV128" si="112">AQ97</f>
        <v>19833.710458929421</v>
      </c>
      <c r="AW97" s="71">
        <f t="shared" ref="AW97:AW128" si="113">RSQ($AS$8:$AV$8,AS97:AV97)</f>
        <v>0.98364417374419211</v>
      </c>
      <c r="AX97" s="72">
        <f t="shared" ref="AX97:AX128" si="114">SLOPE(AS97:AV97,AS$8:AV$8)</f>
        <v>16.679453700495397</v>
      </c>
      <c r="AY97" s="88">
        <f t="shared" ref="AY97:AY127" si="115">AX97*60/1000</f>
        <v>1.0007672220297239</v>
      </c>
      <c r="AZ97" s="88"/>
      <c r="BA97" s="3">
        <v>40</v>
      </c>
      <c r="BB97" s="3" t="s">
        <v>82</v>
      </c>
      <c r="BC97" s="111">
        <v>6.0007455343044693</v>
      </c>
      <c r="BD97" s="75">
        <f t="shared" si="82"/>
        <v>25263.793550573195</v>
      </c>
      <c r="BE97" s="160">
        <f t="shared" si="83"/>
        <v>0.78506461902588764</v>
      </c>
      <c r="BF97" s="3">
        <f t="shared" ref="BF97:BF128" si="116">IF($BD97&gt;$AV97,(AS97/$BE97),(AS97*$BE97))</f>
        <v>21280.91924363581</v>
      </c>
      <c r="BG97" s="3">
        <f t="shared" ref="BG97:BG128" si="117">IF($BD97&gt;$AV97,(AT97/$BE97),(AT97*$BE97))</f>
        <v>22776.287097327957</v>
      </c>
      <c r="BH97" s="3">
        <f t="shared" ref="BH97:BH128" si="118">IF($BD97&gt;$AV97,(AU97/$BE97),(AU97*$BE97))</f>
        <v>23575.241863451709</v>
      </c>
      <c r="BI97" s="3">
        <f t="shared" ref="BI97:BI128" si="119">IF($BD97&gt;$AV97,(AV97/$BE97),(AV97*$BE97))</f>
        <v>25263.793550573195</v>
      </c>
      <c r="BJ97" s="222">
        <v>19833.710458929421</v>
      </c>
      <c r="BK97" s="71">
        <f t="shared" ref="BK97:BK128" si="120">RSQ($BF$8:$BI$8,BF97:BI97)</f>
        <v>0.98364417374419189</v>
      </c>
      <c r="BL97" s="72">
        <f t="shared" ref="BL97:BL128" si="121">SLOPE(BF97:BI97,BF$8:BI$8)</f>
        <v>21.245962811559846</v>
      </c>
      <c r="BM97" s="88">
        <f t="shared" si="84"/>
        <v>1.2747577686935909</v>
      </c>
      <c r="BN97" s="227">
        <v>1.0007672220297239</v>
      </c>
      <c r="BO97" s="234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</row>
    <row r="98" spans="1:382">
      <c r="A98" s="3">
        <f>'Exptl Setup'!A184</f>
        <v>177</v>
      </c>
      <c r="B98" s="3" t="str">
        <f>'Exptl Setup'!C184</f>
        <v>c</v>
      </c>
      <c r="C98" s="3">
        <f>'Exptl Setup'!D184</f>
        <v>40</v>
      </c>
      <c r="D98" s="3" t="str">
        <f>'Exptl Setup'!E184</f>
        <v>-</v>
      </c>
      <c r="E98" s="75">
        <f>'Exptl Setup'!K184</f>
        <v>5.9992453948002522</v>
      </c>
      <c r="F98" s="63">
        <f>'Exptl Setup'!F184</f>
        <v>32.000999999999998</v>
      </c>
      <c r="G98" s="64">
        <f>'Exptl Setup'!$C$5</f>
        <v>1.2793390913194711</v>
      </c>
      <c r="H98" s="7">
        <f t="shared" si="85"/>
        <v>25.013696694748184</v>
      </c>
      <c r="I98" s="8">
        <f t="shared" si="86"/>
        <v>9.4391308282068618</v>
      </c>
      <c r="J98" s="8">
        <f t="shared" si="87"/>
        <v>6.9873033052518139</v>
      </c>
      <c r="K98" s="8">
        <f>'Exptl Setup'!H184+'Exptl Setup'!I184+'Exptl Setup'!J184+5</f>
        <v>23.003024686832859</v>
      </c>
      <c r="L98" s="8">
        <f t="shared" si="88"/>
        <v>29.990327992084673</v>
      </c>
      <c r="M98" s="44">
        <v>300</v>
      </c>
      <c r="N98" s="85">
        <f t="shared" si="89"/>
        <v>260.57054117970847</v>
      </c>
      <c r="O98" s="193">
        <f>10^(-'Pre-DEA characterisation'!V99)</f>
        <v>2.089296130854039E-7</v>
      </c>
      <c r="P98" s="66">
        <v>60</v>
      </c>
      <c r="Q98" s="30">
        <v>1371.855</v>
      </c>
      <c r="R98" s="86">
        <f t="shared" si="93"/>
        <v>1041.2379450000001</v>
      </c>
      <c r="S98" s="86">
        <f t="shared" si="94"/>
        <v>3259.4725482016138</v>
      </c>
      <c r="T98" s="86">
        <f t="shared" si="95"/>
        <v>455.21765057185138</v>
      </c>
      <c r="U98" s="67">
        <f t="shared" si="96"/>
        <v>33295.004926236361</v>
      </c>
      <c r="V98" s="199">
        <f t="shared" si="81"/>
        <v>9080.4558889735526</v>
      </c>
      <c r="W98" s="66">
        <v>120</v>
      </c>
      <c r="X98" s="30">
        <v>1698.77</v>
      </c>
      <c r="Y98" s="86">
        <f t="shared" si="97"/>
        <v>1289.36643</v>
      </c>
      <c r="Z98" s="86">
        <f t="shared" si="98"/>
        <v>4036.2094978758364</v>
      </c>
      <c r="AA98" s="86">
        <f t="shared" si="99"/>
        <v>563.69666492591705</v>
      </c>
      <c r="AB98" s="67">
        <f t="shared" si="100"/>
        <v>41229.252011723205</v>
      </c>
      <c r="AC98" s="199">
        <f t="shared" si="90"/>
        <v>11244.341457742692</v>
      </c>
      <c r="AD98" s="66">
        <v>180</v>
      </c>
      <c r="AE98" s="30">
        <v>1914.828</v>
      </c>
      <c r="AF98" s="86">
        <f t="shared" si="101"/>
        <v>1453.354452</v>
      </c>
      <c r="AG98" s="86">
        <f t="shared" si="102"/>
        <v>4549.5546544844756</v>
      </c>
      <c r="AH98" s="86">
        <f t="shared" si="103"/>
        <v>635.39040453196367</v>
      </c>
      <c r="AI98" s="67">
        <f t="shared" si="104"/>
        <v>46472.992913168891</v>
      </c>
      <c r="AJ98" s="199">
        <f t="shared" si="91"/>
        <v>12674.452612682426</v>
      </c>
      <c r="AK98" s="3">
        <v>240</v>
      </c>
      <c r="AL98" s="30">
        <v>2162.8420000000001</v>
      </c>
      <c r="AM98" s="86">
        <f t="shared" si="105"/>
        <v>1641.597078</v>
      </c>
      <c r="AN98" s="86">
        <f t="shared" si="106"/>
        <v>5138.8259875114172</v>
      </c>
      <c r="AO98" s="86">
        <f t="shared" si="107"/>
        <v>717.68798728591889</v>
      </c>
      <c r="AP98" s="67">
        <f t="shared" si="108"/>
        <v>52492.30789308704</v>
      </c>
      <c r="AQ98" s="199">
        <f t="shared" si="92"/>
        <v>14316.083970841921</v>
      </c>
      <c r="AR98" s="199">
        <f>(((AL98*$N98*10^-3)*$E$3*$E$4)/($E$5*$E$6*$H98))*1000*(12/44)+'post-DEA dissolved CO2'!N96</f>
        <v>19583.066532641562</v>
      </c>
      <c r="AS98" s="87">
        <f t="shared" si="109"/>
        <v>9080.4558889735526</v>
      </c>
      <c r="AT98" s="87">
        <f t="shared" si="110"/>
        <v>11244.341457742692</v>
      </c>
      <c r="AU98" s="87">
        <f t="shared" si="111"/>
        <v>12674.452612682426</v>
      </c>
      <c r="AV98" s="87">
        <f t="shared" si="112"/>
        <v>14316.083970841921</v>
      </c>
      <c r="AW98" s="71">
        <f t="shared" si="113"/>
        <v>0.99237218545752914</v>
      </c>
      <c r="AX98" s="72">
        <f t="shared" si="114"/>
        <v>28.561659000908062</v>
      </c>
      <c r="AY98" s="88">
        <f t="shared" si="115"/>
        <v>1.7136995400544839</v>
      </c>
      <c r="AZ98" s="88"/>
      <c r="BA98" s="3">
        <v>40</v>
      </c>
      <c r="BB98" s="3" t="s">
        <v>82</v>
      </c>
      <c r="BC98" s="111">
        <v>5.9992453948002522</v>
      </c>
      <c r="BD98" s="75">
        <f t="shared" si="82"/>
        <v>19583.066532641562</v>
      </c>
      <c r="BE98" s="160">
        <f t="shared" si="83"/>
        <v>0.73104403475214164</v>
      </c>
      <c r="BF98" s="3">
        <f t="shared" si="116"/>
        <v>12421.216038035594</v>
      </c>
      <c r="BG98" s="3">
        <f t="shared" si="117"/>
        <v>15381.209507516265</v>
      </c>
      <c r="BH98" s="3">
        <f t="shared" si="118"/>
        <v>17337.468073287353</v>
      </c>
      <c r="BI98" s="3">
        <f t="shared" si="119"/>
        <v>19583.066532641562</v>
      </c>
      <c r="BJ98" s="222">
        <v>14316.083970841921</v>
      </c>
      <c r="BK98" s="71">
        <f t="shared" si="120"/>
        <v>0.99237218545752937</v>
      </c>
      <c r="BL98" s="72">
        <f t="shared" si="121"/>
        <v>39.069683415981658</v>
      </c>
      <c r="BM98" s="88">
        <f t="shared" si="84"/>
        <v>2.3441810049588994</v>
      </c>
      <c r="BN98" s="227">
        <v>1.7136995400544839</v>
      </c>
      <c r="BO98" s="234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</row>
    <row r="99" spans="1:382">
      <c r="A99" s="3">
        <f>'Exptl Setup'!A188</f>
        <v>181</v>
      </c>
      <c r="B99" s="3" t="str">
        <f>'Exptl Setup'!C188</f>
        <v>a</v>
      </c>
      <c r="C99" s="3">
        <f>'Exptl Setup'!D188</f>
        <v>40</v>
      </c>
      <c r="D99" s="3" t="str">
        <f>'Exptl Setup'!E188</f>
        <v>-</v>
      </c>
      <c r="E99" s="75">
        <f>'Exptl Setup'!K188</f>
        <v>15.996987938964294</v>
      </c>
      <c r="F99" s="63">
        <f>'Exptl Setup'!F188</f>
        <v>32.003</v>
      </c>
      <c r="G99" s="64">
        <f>'Exptl Setup'!$C$5</f>
        <v>1.2793390913194711</v>
      </c>
      <c r="H99" s="7">
        <f t="shared" si="85"/>
        <v>25.015260001938255</v>
      </c>
      <c r="I99" s="8">
        <f t="shared" si="86"/>
        <v>9.4397207554483984</v>
      </c>
      <c r="J99" s="8">
        <f t="shared" si="87"/>
        <v>6.9877399980617447</v>
      </c>
      <c r="K99" s="8">
        <f>'Exptl Setup'!H188+'Exptl Setup'!I188+'Exptl Setup'!J188+5</f>
        <v>23.003024686832862</v>
      </c>
      <c r="L99" s="8">
        <f t="shared" si="88"/>
        <v>29.990764684894607</v>
      </c>
      <c r="M99" s="44">
        <v>300</v>
      </c>
      <c r="N99" s="85">
        <f t="shared" si="89"/>
        <v>260.56951455965702</v>
      </c>
      <c r="O99" s="193">
        <f>10^(-'Pre-DEA characterisation'!V100)</f>
        <v>4.8417236758409652E-9</v>
      </c>
      <c r="P99" s="66">
        <v>60</v>
      </c>
      <c r="Q99" s="30">
        <v>1389.954</v>
      </c>
      <c r="R99" s="86">
        <f t="shared" si="93"/>
        <v>1054.9750859999999</v>
      </c>
      <c r="S99" s="86">
        <f t="shared" si="94"/>
        <v>98956.356826821662</v>
      </c>
      <c r="T99" s="86">
        <f t="shared" si="95"/>
        <v>3329.9564507079263</v>
      </c>
      <c r="U99" s="67">
        <f t="shared" si="96"/>
        <v>243540.6173475488</v>
      </c>
      <c r="V99" s="199">
        <f t="shared" si="81"/>
        <v>66420.16836751331</v>
      </c>
      <c r="W99" s="66">
        <v>120</v>
      </c>
      <c r="X99" s="30">
        <v>1577.1669999999999</v>
      </c>
      <c r="Y99" s="86">
        <f t="shared" si="97"/>
        <v>1197.069753</v>
      </c>
      <c r="Z99" s="86">
        <f t="shared" si="98"/>
        <v>112284.79534393789</v>
      </c>
      <c r="AA99" s="86">
        <f t="shared" si="99"/>
        <v>3778.4685144211016</v>
      </c>
      <c r="AB99" s="67">
        <f t="shared" si="100"/>
        <v>276343.1198731623</v>
      </c>
      <c r="AC99" s="199">
        <f t="shared" si="90"/>
        <v>75366.305419953351</v>
      </c>
      <c r="AD99" s="66">
        <v>180</v>
      </c>
      <c r="AE99" s="30">
        <v>1630.8979999999999</v>
      </c>
      <c r="AF99" s="86">
        <f t="shared" si="101"/>
        <v>1237.851582</v>
      </c>
      <c r="AG99" s="86">
        <f t="shared" si="102"/>
        <v>116110.11906591858</v>
      </c>
      <c r="AH99" s="86">
        <f t="shared" si="103"/>
        <v>3907.1935585973742</v>
      </c>
      <c r="AI99" s="67">
        <f t="shared" si="104"/>
        <v>285757.59035974031</v>
      </c>
      <c r="AJ99" s="199">
        <f t="shared" si="91"/>
        <v>77933.888279929175</v>
      </c>
      <c r="AK99" s="3">
        <v>240</v>
      </c>
      <c r="AL99" s="30">
        <v>1704.992</v>
      </c>
      <c r="AM99" s="86">
        <f t="shared" si="105"/>
        <v>1294.0889279999999</v>
      </c>
      <c r="AN99" s="86">
        <f t="shared" si="106"/>
        <v>121385.16579604527</v>
      </c>
      <c r="AO99" s="86">
        <f t="shared" si="107"/>
        <v>4084.7028813942102</v>
      </c>
      <c r="AP99" s="67">
        <f t="shared" si="108"/>
        <v>298739.96136032691</v>
      </c>
      <c r="AQ99" s="199">
        <f t="shared" si="92"/>
        <v>81474.534916452787</v>
      </c>
      <c r="AR99" s="199">
        <f>(((AL99*$N99*10^-3)*$E$3*$E$4)/($E$5*$E$6*$H99))*1000*(12/44)+'post-DEA dissolved CO2'!N97</f>
        <v>97534.421501873192</v>
      </c>
      <c r="AS99" s="87">
        <f t="shared" si="109"/>
        <v>66420.16836751331</v>
      </c>
      <c r="AT99" s="87">
        <f t="shared" si="110"/>
        <v>75366.305419953351</v>
      </c>
      <c r="AU99" s="87">
        <f t="shared" si="111"/>
        <v>77933.888279929175</v>
      </c>
      <c r="AV99" s="87">
        <f t="shared" si="112"/>
        <v>81474.534916452787</v>
      </c>
      <c r="AW99" s="71">
        <f t="shared" si="113"/>
        <v>0.91924383809899024</v>
      </c>
      <c r="AX99" s="72">
        <f t="shared" si="114"/>
        <v>79.551137511323745</v>
      </c>
      <c r="AY99" s="88">
        <f t="shared" si="115"/>
        <v>4.7730682506794242</v>
      </c>
      <c r="AZ99" s="88"/>
      <c r="BA99" s="3">
        <v>40</v>
      </c>
      <c r="BB99" s="3" t="s">
        <v>82</v>
      </c>
      <c r="BC99" s="111">
        <v>15.996987938964294</v>
      </c>
      <c r="BD99" s="75">
        <f t="shared" si="82"/>
        <v>97534.421501873192</v>
      </c>
      <c r="BE99" s="160">
        <f t="shared" si="83"/>
        <v>0.83534134577184149</v>
      </c>
      <c r="BF99" s="3">
        <f t="shared" si="116"/>
        <v>79512.607275702583</v>
      </c>
      <c r="BG99" s="3">
        <f t="shared" si="117"/>
        <v>90222.165826493525</v>
      </c>
      <c r="BH99" s="3">
        <f t="shared" si="118"/>
        <v>93295.858841896013</v>
      </c>
      <c r="BI99" s="3">
        <f t="shared" si="119"/>
        <v>97534.421501873192</v>
      </c>
      <c r="BJ99" s="222">
        <v>81474.534916452787</v>
      </c>
      <c r="BK99" s="71">
        <f t="shared" si="120"/>
        <v>0.91924383809899024</v>
      </c>
      <c r="BL99" s="72">
        <f t="shared" si="121"/>
        <v>95.23189282319052</v>
      </c>
      <c r="BM99" s="88">
        <f t="shared" si="84"/>
        <v>5.7139135693914316</v>
      </c>
      <c r="BN99" s="227">
        <v>4.7730682506794242</v>
      </c>
      <c r="BO99" s="234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</row>
    <row r="100" spans="1:382">
      <c r="A100" s="3">
        <f>'Exptl Setup'!A189</f>
        <v>182</v>
      </c>
      <c r="B100" s="3" t="str">
        <f>'Exptl Setup'!C189</f>
        <v>b</v>
      </c>
      <c r="C100" s="3">
        <f>'Exptl Setup'!D189</f>
        <v>40</v>
      </c>
      <c r="D100" s="3" t="str">
        <f>'Exptl Setup'!E189</f>
        <v>-</v>
      </c>
      <c r="E100" s="75">
        <f>'Exptl Setup'!K189</f>
        <v>16.000987810929029</v>
      </c>
      <c r="F100" s="63">
        <f>'Exptl Setup'!F189</f>
        <v>31.995000000000001</v>
      </c>
      <c r="G100" s="64">
        <f>'Exptl Setup'!$C$5</f>
        <v>1.2793390913194711</v>
      </c>
      <c r="H100" s="7">
        <f t="shared" si="85"/>
        <v>25.009006773177969</v>
      </c>
      <c r="I100" s="8">
        <f t="shared" si="86"/>
        <v>9.4373610464822519</v>
      </c>
      <c r="J100" s="8">
        <f t="shared" si="87"/>
        <v>6.9859932268220319</v>
      </c>
      <c r="K100" s="8">
        <f>'Exptl Setup'!H189+'Exptl Setup'!I189+'Exptl Setup'!J189+5</f>
        <v>23.003024686832862</v>
      </c>
      <c r="L100" s="8">
        <f t="shared" si="88"/>
        <v>29.989017913654894</v>
      </c>
      <c r="M100" s="44">
        <v>300</v>
      </c>
      <c r="N100" s="85">
        <f t="shared" si="89"/>
        <v>260.57362103986287</v>
      </c>
      <c r="O100" s="193">
        <f>10^(-'Pre-DEA characterisation'!V101)</f>
        <v>4.8417236758409652E-9</v>
      </c>
      <c r="P100" s="66">
        <v>60</v>
      </c>
      <c r="Q100" s="30">
        <v>1305.115</v>
      </c>
      <c r="R100" s="86">
        <f t="shared" si="93"/>
        <v>990.58228500000007</v>
      </c>
      <c r="S100" s="86">
        <f t="shared" si="94"/>
        <v>92916.330785074446</v>
      </c>
      <c r="T100" s="86">
        <f t="shared" si="95"/>
        <v>3126.548049808122</v>
      </c>
      <c r="U100" s="67">
        <f t="shared" si="96"/>
        <v>228721.25915164314</v>
      </c>
      <c r="V100" s="199">
        <f t="shared" si="81"/>
        <v>62378.525223175406</v>
      </c>
      <c r="W100" s="66">
        <v>120</v>
      </c>
      <c r="X100" s="30">
        <v>1458.3910000000001</v>
      </c>
      <c r="Y100" s="86">
        <f t="shared" si="97"/>
        <v>1106.9187690000001</v>
      </c>
      <c r="Z100" s="86">
        <f t="shared" si="98"/>
        <v>103828.65921392025</v>
      </c>
      <c r="AA100" s="86">
        <f t="shared" si="99"/>
        <v>3493.7377448789703</v>
      </c>
      <c r="AB100" s="67">
        <f t="shared" si="100"/>
        <v>255582.86116964713</v>
      </c>
      <c r="AC100" s="199">
        <f t="shared" si="90"/>
        <v>69704.416682631025</v>
      </c>
      <c r="AD100" s="66">
        <v>180</v>
      </c>
      <c r="AE100" s="30">
        <v>1533.8989999999999</v>
      </c>
      <c r="AF100" s="86">
        <f t="shared" si="101"/>
        <v>1164.229341</v>
      </c>
      <c r="AG100" s="86">
        <f t="shared" si="102"/>
        <v>109204.37423130905</v>
      </c>
      <c r="AH100" s="86">
        <f t="shared" si="103"/>
        <v>3674.6255518116245</v>
      </c>
      <c r="AI100" s="67">
        <f t="shared" si="104"/>
        <v>268815.62980384589</v>
      </c>
      <c r="AJ100" s="199">
        <f t="shared" si="91"/>
        <v>73313.353582867057</v>
      </c>
      <c r="AK100" s="3">
        <v>240</v>
      </c>
      <c r="AL100" s="30">
        <v>1589.893</v>
      </c>
      <c r="AM100" s="86">
        <f t="shared" si="105"/>
        <v>1206.728787</v>
      </c>
      <c r="AN100" s="86">
        <f t="shared" si="106"/>
        <v>113190.80992929693</v>
      </c>
      <c r="AO100" s="86">
        <f t="shared" si="107"/>
        <v>3808.7654027067229</v>
      </c>
      <c r="AP100" s="67">
        <f t="shared" si="108"/>
        <v>278628.57210007042</v>
      </c>
      <c r="AQ100" s="199">
        <f t="shared" si="92"/>
        <v>75989.610572746475</v>
      </c>
      <c r="AR100" s="199">
        <f>(((AL100*$N100*10^-3)*$E$3*$E$4)/($E$5*$E$6*$H100))*1000*(12/44)+'post-DEA dissolved CO2'!N98</f>
        <v>80908.415961135819</v>
      </c>
      <c r="AS100" s="87">
        <f t="shared" si="109"/>
        <v>62378.525223175406</v>
      </c>
      <c r="AT100" s="87">
        <f t="shared" si="110"/>
        <v>69704.416682631025</v>
      </c>
      <c r="AU100" s="87">
        <f t="shared" si="111"/>
        <v>73313.353582867057</v>
      </c>
      <c r="AV100" s="87">
        <f t="shared" si="112"/>
        <v>75989.610572746475</v>
      </c>
      <c r="AW100" s="71">
        <f t="shared" si="113"/>
        <v>0.94459583196385055</v>
      </c>
      <c r="AX100" s="72">
        <f t="shared" si="114"/>
        <v>74.070321581582078</v>
      </c>
      <c r="AY100" s="88">
        <f t="shared" si="115"/>
        <v>4.4442192948949248</v>
      </c>
      <c r="AZ100" s="88"/>
      <c r="BA100" s="3">
        <v>40</v>
      </c>
      <c r="BB100" s="3" t="s">
        <v>82</v>
      </c>
      <c r="BC100" s="111">
        <v>16.000987810929029</v>
      </c>
      <c r="BD100" s="75">
        <f t="shared" si="82"/>
        <v>80908.415961135819</v>
      </c>
      <c r="BE100" s="160">
        <f t="shared" si="83"/>
        <v>0.93920526894566714</v>
      </c>
      <c r="BF100" s="3">
        <f t="shared" si="116"/>
        <v>66416.285433747922</v>
      </c>
      <c r="BG100" s="3">
        <f t="shared" si="117"/>
        <v>74216.381644536334</v>
      </c>
      <c r="BH100" s="3">
        <f t="shared" si="118"/>
        <v>78058.924930401161</v>
      </c>
      <c r="BI100" s="3">
        <f t="shared" si="119"/>
        <v>80908.415961135819</v>
      </c>
      <c r="BJ100" s="222">
        <v>75989.610572746475</v>
      </c>
      <c r="BK100" s="71">
        <f t="shared" si="120"/>
        <v>0.944595831963851</v>
      </c>
      <c r="BL100" s="72">
        <f t="shared" si="121"/>
        <v>78.864891446714211</v>
      </c>
      <c r="BM100" s="88">
        <f t="shared" si="84"/>
        <v>4.7318934868028526</v>
      </c>
      <c r="BN100" s="227">
        <v>4.4442192948949248</v>
      </c>
      <c r="BO100" s="234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</row>
    <row r="101" spans="1:382">
      <c r="A101" s="3">
        <f>'Exptl Setup'!A190</f>
        <v>183</v>
      </c>
      <c r="B101" s="3" t="str">
        <f>'Exptl Setup'!C190</f>
        <v>c</v>
      </c>
      <c r="C101" s="3">
        <f>'Exptl Setup'!D190</f>
        <v>40</v>
      </c>
      <c r="D101" s="3" t="str">
        <f>'Exptl Setup'!E190</f>
        <v>-</v>
      </c>
      <c r="E101" s="75">
        <f>'Exptl Setup'!K190</f>
        <v>16.002988497098379</v>
      </c>
      <c r="F101" s="63">
        <f>'Exptl Setup'!F190</f>
        <v>31.991</v>
      </c>
      <c r="G101" s="64">
        <f>'Exptl Setup'!$C$5</f>
        <v>1.2793390913194711</v>
      </c>
      <c r="H101" s="7">
        <f t="shared" si="85"/>
        <v>25.005880158797822</v>
      </c>
      <c r="I101" s="8">
        <f t="shared" si="86"/>
        <v>9.4361811919991787</v>
      </c>
      <c r="J101" s="8">
        <f t="shared" si="87"/>
        <v>6.9851198412021773</v>
      </c>
      <c r="K101" s="8">
        <f>'Exptl Setup'!H190+'Exptl Setup'!I190+'Exptl Setup'!J190+5</f>
        <v>23.003024686832862</v>
      </c>
      <c r="L101" s="8">
        <f t="shared" si="88"/>
        <v>29.98814452803504</v>
      </c>
      <c r="M101" s="44">
        <v>300</v>
      </c>
      <c r="N101" s="85">
        <f t="shared" si="89"/>
        <v>260.57567427996577</v>
      </c>
      <c r="O101" s="193">
        <f>10^(-'Pre-DEA characterisation'!V102)</f>
        <v>4.8417236758409652E-9</v>
      </c>
      <c r="P101" s="66">
        <v>60</v>
      </c>
      <c r="Q101" s="30">
        <v>1481.0150000000001</v>
      </c>
      <c r="R101" s="86">
        <f t="shared" si="93"/>
        <v>1124.0903850000002</v>
      </c>
      <c r="S101" s="86">
        <f t="shared" si="94"/>
        <v>105439.35181011409</v>
      </c>
      <c r="T101" s="86">
        <f t="shared" si="95"/>
        <v>3547.8470032677778</v>
      </c>
      <c r="U101" s="67">
        <f t="shared" si="96"/>
        <v>259573.65214810261</v>
      </c>
      <c r="V101" s="199">
        <f t="shared" si="81"/>
        <v>70792.814222209796</v>
      </c>
      <c r="W101" s="66">
        <v>120</v>
      </c>
      <c r="X101" s="30">
        <v>1598.6590000000001</v>
      </c>
      <c r="Y101" s="86">
        <f t="shared" si="97"/>
        <v>1213.3821810000002</v>
      </c>
      <c r="Z101" s="86">
        <f t="shared" si="98"/>
        <v>113814.89635513832</v>
      </c>
      <c r="AA101" s="86">
        <f t="shared" si="99"/>
        <v>3829.6692082099526</v>
      </c>
      <c r="AB101" s="67">
        <f t="shared" si="100"/>
        <v>280192.81045055832</v>
      </c>
      <c r="AC101" s="199">
        <f t="shared" si="90"/>
        <v>76416.221031970446</v>
      </c>
      <c r="AD101" s="66">
        <v>180</v>
      </c>
      <c r="AE101" s="30">
        <v>1686.327</v>
      </c>
      <c r="AF101" s="86">
        <f t="shared" si="101"/>
        <v>1279.9221930000001</v>
      </c>
      <c r="AG101" s="86">
        <f t="shared" si="102"/>
        <v>120056.33016538945</v>
      </c>
      <c r="AH101" s="86">
        <f t="shared" si="103"/>
        <v>4039.6823755867035</v>
      </c>
      <c r="AI101" s="67">
        <f t="shared" si="104"/>
        <v>295558.1530949744</v>
      </c>
      <c r="AJ101" s="199">
        <f t="shared" si="91"/>
        <v>80606.769025902118</v>
      </c>
      <c r="AK101" s="3">
        <v>240</v>
      </c>
      <c r="AL101" s="30">
        <v>1784.4580000000001</v>
      </c>
      <c r="AM101" s="86">
        <f t="shared" si="105"/>
        <v>1354.403622</v>
      </c>
      <c r="AN101" s="86">
        <f t="shared" si="106"/>
        <v>127042.66658499242</v>
      </c>
      <c r="AO101" s="86">
        <f t="shared" si="107"/>
        <v>4274.760193352</v>
      </c>
      <c r="AP101" s="67">
        <f t="shared" si="108"/>
        <v>312757.3185719921</v>
      </c>
      <c r="AQ101" s="199">
        <f t="shared" si="92"/>
        <v>85297.450519634207</v>
      </c>
      <c r="AR101" s="199">
        <f>(((AL101*$N101*10^-3)*$E$3*$E$4)/($E$5*$E$6*$H101))*1000*(12/44)+'post-DEA dissolved CO2'!N99</f>
        <v>82121.258874745618</v>
      </c>
      <c r="AS101" s="87">
        <f t="shared" si="109"/>
        <v>70792.814222209796</v>
      </c>
      <c r="AT101" s="87">
        <f t="shared" si="110"/>
        <v>76416.221031970446</v>
      </c>
      <c r="AU101" s="87">
        <f t="shared" si="111"/>
        <v>80606.769025902118</v>
      </c>
      <c r="AV101" s="87">
        <f t="shared" si="112"/>
        <v>85297.450519634207</v>
      </c>
      <c r="AW101" s="71">
        <f t="shared" si="113"/>
        <v>0.99645926246403804</v>
      </c>
      <c r="AX101" s="72">
        <f t="shared" si="114"/>
        <v>79.507428143674844</v>
      </c>
      <c r="AY101" s="88">
        <f t="shared" si="115"/>
        <v>4.7704456886204909</v>
      </c>
      <c r="AZ101" s="88"/>
      <c r="BA101" s="3">
        <v>40</v>
      </c>
      <c r="BB101" s="3" t="s">
        <v>82</v>
      </c>
      <c r="BC101" s="111">
        <v>16.002988497098379</v>
      </c>
      <c r="BD101" s="75">
        <f t="shared" si="82"/>
        <v>82121.258874745618</v>
      </c>
      <c r="BE101" s="160">
        <f t="shared" si="83"/>
        <v>0.96276334608433023</v>
      </c>
      <c r="BF101" s="3">
        <f t="shared" si="116"/>
        <v>68156.726699301071</v>
      </c>
      <c r="BG101" s="3">
        <f t="shared" si="117"/>
        <v>73570.73665585964</v>
      </c>
      <c r="BH101" s="3">
        <f t="shared" si="118"/>
        <v>77605.242664424266</v>
      </c>
      <c r="BI101" s="3">
        <f t="shared" si="119"/>
        <v>82121.258874745618</v>
      </c>
      <c r="BJ101" s="222">
        <v>85297.450519634207</v>
      </c>
      <c r="BK101" s="71">
        <f t="shared" si="120"/>
        <v>0.99645926246403804</v>
      </c>
      <c r="BL101" s="72">
        <f t="shared" si="121"/>
        <v>76.546837558163787</v>
      </c>
      <c r="BM101" s="88">
        <f t="shared" si="84"/>
        <v>4.5928102534898274</v>
      </c>
      <c r="BN101" s="227">
        <v>4.7704456886204909</v>
      </c>
      <c r="BO101" s="234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</row>
    <row r="102" spans="1:382">
      <c r="A102" s="3">
        <f>'Exptl Setup'!A194</f>
        <v>187</v>
      </c>
      <c r="B102" s="3" t="str">
        <f>'Exptl Setup'!C194</f>
        <v>a</v>
      </c>
      <c r="C102" s="3">
        <f>'Exptl Setup'!D194</f>
        <v>40</v>
      </c>
      <c r="D102" s="3" t="str">
        <f>'Exptl Setup'!E194</f>
        <v>-</v>
      </c>
      <c r="E102" s="75">
        <f>'Exptl Setup'!K194</f>
        <v>20.002485114348229</v>
      </c>
      <c r="F102" s="63">
        <f>'Exptl Setup'!F194</f>
        <v>31.992999999999999</v>
      </c>
      <c r="G102" s="64">
        <f>'Exptl Setup'!$C$5</f>
        <v>1.2793390913194711</v>
      </c>
      <c r="H102" s="7">
        <f t="shared" si="85"/>
        <v>25.007443465987894</v>
      </c>
      <c r="I102" s="8">
        <f t="shared" si="86"/>
        <v>9.4367711192407153</v>
      </c>
      <c r="J102" s="8">
        <f t="shared" si="87"/>
        <v>6.9855565340121046</v>
      </c>
      <c r="K102" s="8">
        <f>'Exptl Setup'!H194+'Exptl Setup'!I194+'Exptl Setup'!J194+5</f>
        <v>23.003024686832859</v>
      </c>
      <c r="L102" s="8">
        <f t="shared" si="88"/>
        <v>29.988581220844964</v>
      </c>
      <c r="M102" s="44">
        <v>300</v>
      </c>
      <c r="N102" s="85">
        <f t="shared" si="89"/>
        <v>260.57464765991432</v>
      </c>
      <c r="O102" s="193">
        <f>10^(-'Pre-DEA characterisation'!V103)</f>
        <v>1.5667510701081475E-9</v>
      </c>
      <c r="P102" s="66">
        <v>60</v>
      </c>
      <c r="Q102" s="30">
        <v>87.385000000000005</v>
      </c>
      <c r="R102" s="86">
        <f t="shared" si="93"/>
        <v>66.325215</v>
      </c>
      <c r="S102" s="86">
        <f t="shared" si="94"/>
        <v>19468.405965525933</v>
      </c>
      <c r="T102" s="86">
        <f t="shared" si="95"/>
        <v>606.60018912331873</v>
      </c>
      <c r="U102" s="67">
        <f t="shared" si="96"/>
        <v>44378.346387847756</v>
      </c>
      <c r="V102" s="199">
        <f t="shared" si="81"/>
        <v>12103.185378503933</v>
      </c>
      <c r="W102" s="66">
        <v>120</v>
      </c>
      <c r="X102" s="30">
        <v>86.819000000000003</v>
      </c>
      <c r="Y102" s="86">
        <f t="shared" si="97"/>
        <v>65.895621000000006</v>
      </c>
      <c r="Z102" s="86">
        <f t="shared" si="98"/>
        <v>19342.307461475037</v>
      </c>
      <c r="AA102" s="86">
        <f t="shared" si="99"/>
        <v>602.67118864218583</v>
      </c>
      <c r="AB102" s="67">
        <f t="shared" si="100"/>
        <v>44090.9041030675</v>
      </c>
      <c r="AC102" s="199">
        <f t="shared" si="90"/>
        <v>12024.792028109317</v>
      </c>
      <c r="AD102" s="66">
        <v>180</v>
      </c>
      <c r="AE102" s="30">
        <v>104.63500000000001</v>
      </c>
      <c r="AF102" s="86">
        <f t="shared" si="101"/>
        <v>79.417965000000009</v>
      </c>
      <c r="AG102" s="86">
        <f t="shared" si="102"/>
        <v>23311.514083684913</v>
      </c>
      <c r="AH102" s="86">
        <f t="shared" si="103"/>
        <v>726.34446173735148</v>
      </c>
      <c r="AI102" s="67">
        <f t="shared" si="104"/>
        <v>53138.734042369389</v>
      </c>
      <c r="AJ102" s="199">
        <f t="shared" si="91"/>
        <v>14492.382011555288</v>
      </c>
      <c r="AK102" s="3">
        <v>240</v>
      </c>
      <c r="AL102" s="30">
        <v>62.216000000000001</v>
      </c>
      <c r="AM102" s="86">
        <f t="shared" si="105"/>
        <v>47.221944000000001</v>
      </c>
      <c r="AN102" s="86">
        <f t="shared" si="106"/>
        <v>13861.032735036464</v>
      </c>
      <c r="AO102" s="86">
        <f t="shared" si="107"/>
        <v>431.88461825824106</v>
      </c>
      <c r="AP102" s="67">
        <f t="shared" si="108"/>
        <v>31596.305989201071</v>
      </c>
      <c r="AQ102" s="199">
        <f t="shared" si="92"/>
        <v>8617.1743606912023</v>
      </c>
      <c r="AR102" s="199">
        <f>(((AL102*$N102*10^-3)*$E$3*$E$4)/($E$5*$E$6*$H102))*1000*(12/44)+'post-DEA dissolved CO2'!N100</f>
        <v>27056.597819836577</v>
      </c>
      <c r="AS102" s="87">
        <f t="shared" si="109"/>
        <v>12103.185378503933</v>
      </c>
      <c r="AT102" s="87">
        <f t="shared" si="110"/>
        <v>12024.792028109317</v>
      </c>
      <c r="AU102" s="87">
        <f t="shared" si="111"/>
        <v>14492.382011555288</v>
      </c>
      <c r="AV102" s="87">
        <f t="shared" si="112"/>
        <v>8617.1743606912023</v>
      </c>
      <c r="AW102" s="71">
        <f t="shared" si="113"/>
        <v>0.18219770777933619</v>
      </c>
      <c r="AX102" s="72">
        <f t="shared" si="114"/>
        <v>-13.317405116653704</v>
      </c>
      <c r="AY102" s="88">
        <f t="shared" si="115"/>
        <v>-0.79904430699922224</v>
      </c>
      <c r="AZ102" s="88"/>
      <c r="BA102" s="3">
        <v>40</v>
      </c>
      <c r="BB102" s="3" t="s">
        <v>82</v>
      </c>
      <c r="BC102" s="111">
        <v>20.002485114348229</v>
      </c>
      <c r="BD102" s="75">
        <f t="shared" si="82"/>
        <v>27056.597819836577</v>
      </c>
      <c r="BE102" s="160">
        <f t="shared" si="83"/>
        <v>0.31848698857376334</v>
      </c>
      <c r="BF102" s="3">
        <f t="shared" si="116"/>
        <v>38002.134506982438</v>
      </c>
      <c r="BG102" s="3">
        <f t="shared" si="117"/>
        <v>37755.99148322604</v>
      </c>
      <c r="BH102" s="3">
        <f t="shared" si="118"/>
        <v>45503.843269875913</v>
      </c>
      <c r="BI102" s="3">
        <f t="shared" si="119"/>
        <v>27056.597819836577</v>
      </c>
      <c r="BJ102" s="222">
        <v>8617.1743606912023</v>
      </c>
      <c r="BK102" s="71">
        <f t="shared" si="120"/>
        <v>0.18219770777933628</v>
      </c>
      <c r="BL102" s="72">
        <f t="shared" si="121"/>
        <v>-41.814597124646184</v>
      </c>
      <c r="BM102" s="88">
        <f t="shared" si="84"/>
        <v>-2.508875827478771</v>
      </c>
      <c r="BN102" s="227">
        <v>-0.79904430699922224</v>
      </c>
      <c r="BO102" s="234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</row>
    <row r="103" spans="1:382">
      <c r="A103" s="3">
        <f>'Exptl Setup'!A195</f>
        <v>188</v>
      </c>
      <c r="B103" s="3" t="str">
        <f>'Exptl Setup'!C195</f>
        <v>b</v>
      </c>
      <c r="C103" s="3">
        <f>'Exptl Setup'!D195</f>
        <v>40</v>
      </c>
      <c r="D103" s="3" t="str">
        <f>'Exptl Setup'!E195</f>
        <v>-</v>
      </c>
      <c r="E103" s="75">
        <f>'Exptl Setup'!K195</f>
        <v>19.993735940992373</v>
      </c>
      <c r="F103" s="63">
        <f>'Exptl Setup'!F195</f>
        <v>32.006999999999998</v>
      </c>
      <c r="G103" s="64">
        <f>'Exptl Setup'!$C$5</f>
        <v>1.2793390913194711</v>
      </c>
      <c r="H103" s="7">
        <f t="shared" si="85"/>
        <v>25.018386616318399</v>
      </c>
      <c r="I103" s="8">
        <f t="shared" si="86"/>
        <v>9.4409006099314716</v>
      </c>
      <c r="J103" s="8">
        <f t="shared" si="87"/>
        <v>6.9886133836815993</v>
      </c>
      <c r="K103" s="8">
        <f>'Exptl Setup'!H195+'Exptl Setup'!I195+'Exptl Setup'!J195+5</f>
        <v>23.003024686832859</v>
      </c>
      <c r="L103" s="8">
        <f t="shared" si="88"/>
        <v>29.991638070514458</v>
      </c>
      <c r="M103" s="44">
        <v>300</v>
      </c>
      <c r="N103" s="85">
        <f t="shared" si="89"/>
        <v>260.56746131955407</v>
      </c>
      <c r="O103" s="193">
        <f>10^(-'Pre-DEA characterisation'!V104)</f>
        <v>1.5667510701081475E-9</v>
      </c>
      <c r="P103" s="66">
        <v>60</v>
      </c>
      <c r="Q103" s="30">
        <v>63.911999999999999</v>
      </c>
      <c r="R103" s="86">
        <f t="shared" si="93"/>
        <v>48.509208000000001</v>
      </c>
      <c r="S103" s="86">
        <f t="shared" si="94"/>
        <v>14238.882669436327</v>
      </c>
      <c r="T103" s="86">
        <f t="shared" si="95"/>
        <v>443.70080313811042</v>
      </c>
      <c r="U103" s="67">
        <f t="shared" si="96"/>
        <v>32446.569398541618</v>
      </c>
      <c r="V103" s="199">
        <f t="shared" si="81"/>
        <v>8849.0643814204414</v>
      </c>
      <c r="W103" s="66">
        <v>120</v>
      </c>
      <c r="X103" s="30">
        <v>120.755</v>
      </c>
      <c r="Y103" s="86">
        <f t="shared" si="97"/>
        <v>91.653044999999992</v>
      </c>
      <c r="Z103" s="86">
        <f t="shared" si="98"/>
        <v>26902.87077149492</v>
      </c>
      <c r="AA103" s="86">
        <f t="shared" si="99"/>
        <v>838.32598702814039</v>
      </c>
      <c r="AB103" s="67">
        <f t="shared" si="100"/>
        <v>61304.379267131233</v>
      </c>
      <c r="AC103" s="199">
        <f t="shared" si="90"/>
        <v>16719.376163763063</v>
      </c>
      <c r="AD103" s="66">
        <v>180</v>
      </c>
      <c r="AE103" s="30">
        <v>61.084000000000003</v>
      </c>
      <c r="AF103" s="86">
        <f t="shared" si="101"/>
        <v>46.362756000000005</v>
      </c>
      <c r="AG103" s="86">
        <f t="shared" si="102"/>
        <v>13608.835726934671</v>
      </c>
      <c r="AH103" s="86">
        <f t="shared" si="103"/>
        <v>424.06777849055482</v>
      </c>
      <c r="AI103" s="67">
        <f t="shared" si="104"/>
        <v>31010.862516280446</v>
      </c>
      <c r="AJ103" s="199">
        <f t="shared" si="91"/>
        <v>8457.5079589855759</v>
      </c>
      <c r="AK103" s="3">
        <v>240</v>
      </c>
      <c r="AL103" s="30">
        <v>63.347000000000001</v>
      </c>
      <c r="AM103" s="86">
        <f t="shared" si="105"/>
        <v>48.080373000000002</v>
      </c>
      <c r="AN103" s="86">
        <f t="shared" si="106"/>
        <v>14113.006954261846</v>
      </c>
      <c r="AO103" s="86">
        <f t="shared" si="107"/>
        <v>439.77836363108463</v>
      </c>
      <c r="AP103" s="67">
        <f t="shared" si="108"/>
        <v>32159.732627509948</v>
      </c>
      <c r="AQ103" s="199">
        <f t="shared" si="92"/>
        <v>8770.8361711390771</v>
      </c>
      <c r="AR103" s="199">
        <f>(((AL103*$N103*10^-3)*$E$3*$E$4)/($E$5*$E$6*$H103))*1000*(12/44)+'post-DEA dissolved CO2'!N101</f>
        <v>26978.06738737836</v>
      </c>
      <c r="AS103" s="87">
        <f t="shared" si="109"/>
        <v>8849.0643814204414</v>
      </c>
      <c r="AT103" s="87">
        <f t="shared" si="110"/>
        <v>16719.376163763063</v>
      </c>
      <c r="AU103" s="87">
        <f t="shared" si="111"/>
        <v>8457.5079589855759</v>
      </c>
      <c r="AV103" s="87">
        <f t="shared" si="112"/>
        <v>8770.8361711390771</v>
      </c>
      <c r="AW103" s="71">
        <f t="shared" si="113"/>
        <v>7.4563586293190917E-2</v>
      </c>
      <c r="AX103" s="72">
        <f t="shared" si="114"/>
        <v>-14.160921392702631</v>
      </c>
      <c r="AY103" s="88">
        <f t="shared" si="115"/>
        <v>-0.84965528356215791</v>
      </c>
      <c r="AZ103" s="88"/>
      <c r="BA103" s="3">
        <v>40</v>
      </c>
      <c r="BB103" s="3" t="s">
        <v>82</v>
      </c>
      <c r="BC103" s="111">
        <v>19.993735940992373</v>
      </c>
      <c r="BD103" s="75">
        <f t="shared" si="82"/>
        <v>26978.06738737836</v>
      </c>
      <c r="BE103" s="160">
        <f t="shared" si="83"/>
        <v>0.32510987704191507</v>
      </c>
      <c r="BF103" s="3">
        <f t="shared" si="116"/>
        <v>27218.68822299597</v>
      </c>
      <c r="BG103" s="3">
        <f t="shared" si="117"/>
        <v>51426.847796468217</v>
      </c>
      <c r="BH103" s="3">
        <f t="shared" si="118"/>
        <v>26014.306412152418</v>
      </c>
      <c r="BI103" s="3">
        <f t="shared" si="119"/>
        <v>26978.06738737836</v>
      </c>
      <c r="BJ103" s="222">
        <v>8770.8361711390771</v>
      </c>
      <c r="BK103" s="71">
        <f t="shared" si="120"/>
        <v>7.4563586293190945E-2</v>
      </c>
      <c r="BL103" s="72">
        <f t="shared" si="121"/>
        <v>-43.557339818614388</v>
      </c>
      <c r="BM103" s="88">
        <f t="shared" si="84"/>
        <v>-2.6134403891168629</v>
      </c>
      <c r="BN103" s="227">
        <v>-0.84965528356215791</v>
      </c>
      <c r="BO103" s="234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</row>
    <row r="104" spans="1:382" ht="15.75" thickBot="1">
      <c r="A104" s="132">
        <f>'Exptl Setup'!A196</f>
        <v>189</v>
      </c>
      <c r="B104" s="132" t="str">
        <f>'Exptl Setup'!C196</f>
        <v>c</v>
      </c>
      <c r="C104" s="132">
        <f>'Exptl Setup'!D196</f>
        <v>40</v>
      </c>
      <c r="D104" s="132" t="str">
        <f>'Exptl Setup'!E196</f>
        <v>-</v>
      </c>
      <c r="E104" s="148">
        <f>'Exptl Setup'!K196</f>
        <v>19.995610119464533</v>
      </c>
      <c r="F104" s="134">
        <f>'Exptl Setup'!F196</f>
        <v>32.003999999999998</v>
      </c>
      <c r="G104" s="135">
        <f>'Exptl Setup'!$C$5</f>
        <v>1.2793390913194711</v>
      </c>
      <c r="H104" s="136">
        <f t="shared" si="85"/>
        <v>25.016041655533289</v>
      </c>
      <c r="I104" s="137">
        <f t="shared" si="86"/>
        <v>9.4400157190691658</v>
      </c>
      <c r="J104" s="137">
        <f t="shared" si="87"/>
        <v>6.9879583444667084</v>
      </c>
      <c r="K104" s="137">
        <f>'Exptl Setup'!H196+'Exptl Setup'!I196+'Exptl Setup'!J196+5</f>
        <v>23.003024686832859</v>
      </c>
      <c r="L104" s="137">
        <f t="shared" si="88"/>
        <v>29.990983031299567</v>
      </c>
      <c r="M104" s="138">
        <v>300</v>
      </c>
      <c r="N104" s="137">
        <f t="shared" si="89"/>
        <v>260.56900124963124</v>
      </c>
      <c r="O104" s="195">
        <f>10^(-'Pre-DEA characterisation'!V105)</f>
        <v>1.5667510701081475E-9</v>
      </c>
      <c r="P104" s="140">
        <v>60</v>
      </c>
      <c r="Q104" s="132">
        <v>91.343999999999994</v>
      </c>
      <c r="R104" s="149">
        <f t="shared" si="93"/>
        <v>69.330095999999998</v>
      </c>
      <c r="S104" s="149">
        <f t="shared" si="94"/>
        <v>20350.42712725297</v>
      </c>
      <c r="T104" s="149">
        <f t="shared" si="95"/>
        <v>634.13072950328853</v>
      </c>
      <c r="U104" s="141">
        <f t="shared" si="96"/>
        <v>46376.511551442913</v>
      </c>
      <c r="V104" s="199">
        <f t="shared" si="81"/>
        <v>12648.139514029886</v>
      </c>
      <c r="W104" s="140">
        <v>120</v>
      </c>
      <c r="X104" s="132">
        <v>96.433999999999997</v>
      </c>
      <c r="Y104" s="149">
        <f t="shared" si="97"/>
        <v>73.193405999999996</v>
      </c>
      <c r="Z104" s="149">
        <f t="shared" si="98"/>
        <v>21484.422508205385</v>
      </c>
      <c r="AA104" s="149">
        <f t="shared" si="99"/>
        <v>669.46666194736508</v>
      </c>
      <c r="AB104" s="141">
        <f t="shared" si="100"/>
        <v>48960.769343928929</v>
      </c>
      <c r="AC104" s="199">
        <f t="shared" si="90"/>
        <v>13352.937093798799</v>
      </c>
      <c r="AD104" s="140">
        <v>180</v>
      </c>
      <c r="AE104" s="132">
        <v>111.423</v>
      </c>
      <c r="AF104" s="149">
        <f t="shared" si="101"/>
        <v>84.570057000000006</v>
      </c>
      <c r="AG104" s="149">
        <f t="shared" si="102"/>
        <v>24823.804976790023</v>
      </c>
      <c r="AH104" s="149">
        <f t="shared" si="103"/>
        <v>773.52369365743698</v>
      </c>
      <c r="AI104" s="141">
        <f t="shared" si="104"/>
        <v>56570.875444434481</v>
      </c>
      <c r="AJ104" s="199">
        <f t="shared" si="91"/>
        <v>15428.420575754861</v>
      </c>
      <c r="AK104" s="132">
        <v>240</v>
      </c>
      <c r="AL104" s="132">
        <v>62.497999999999998</v>
      </c>
      <c r="AM104" s="149">
        <f t="shared" si="105"/>
        <v>47.435981999999996</v>
      </c>
      <c r="AN104" s="149">
        <f t="shared" si="106"/>
        <v>13923.859198185497</v>
      </c>
      <c r="AO104" s="149">
        <f t="shared" si="107"/>
        <v>433.87526638308509</v>
      </c>
      <c r="AP104" s="141">
        <f t="shared" si="108"/>
        <v>31731.030160077054</v>
      </c>
      <c r="AQ104" s="199">
        <f t="shared" si="92"/>
        <v>8653.9173163846499</v>
      </c>
      <c r="AR104" s="199">
        <f>(((AL104*$N104*10^-3)*$E$3*$E$4)/($E$5*$E$6*$H104))*1000*(12/44)+'post-DEA dissolved CO2'!N102</f>
        <v>34614.789106041913</v>
      </c>
      <c r="AS104" s="87">
        <f t="shared" si="109"/>
        <v>12648.139514029886</v>
      </c>
      <c r="AT104" s="87">
        <f t="shared" si="110"/>
        <v>13352.937093798799</v>
      </c>
      <c r="AU104" s="87">
        <f t="shared" si="111"/>
        <v>15428.420575754861</v>
      </c>
      <c r="AV104" s="87">
        <f t="shared" si="112"/>
        <v>8653.9173163846499</v>
      </c>
      <c r="AW104" s="145">
        <f t="shared" si="113"/>
        <v>0.20350280189829267</v>
      </c>
      <c r="AX104" s="146">
        <f t="shared" si="114"/>
        <v>-16.511971851632747</v>
      </c>
      <c r="AY104" s="150">
        <f t="shared" si="115"/>
        <v>-0.99071831109796482</v>
      </c>
      <c r="AZ104" s="211"/>
      <c r="BA104" s="132">
        <v>40</v>
      </c>
      <c r="BB104" s="132" t="s">
        <v>82</v>
      </c>
      <c r="BC104" s="133">
        <v>19.995610119464533</v>
      </c>
      <c r="BD104" s="148">
        <f t="shared" si="82"/>
        <v>34614.789106041913</v>
      </c>
      <c r="BE104" s="161">
        <f t="shared" si="83"/>
        <v>0.25000635681683619</v>
      </c>
      <c r="BF104" s="132">
        <f t="shared" si="116"/>
        <v>50591.271658329773</v>
      </c>
      <c r="BG104" s="132">
        <f t="shared" si="117"/>
        <v>53410.390294922174</v>
      </c>
      <c r="BH104" s="132">
        <f t="shared" si="118"/>
        <v>61712.113132620405</v>
      </c>
      <c r="BI104" s="132">
        <f t="shared" si="119"/>
        <v>34614.789106041921</v>
      </c>
      <c r="BJ104" s="222">
        <v>8653.9173163846499</v>
      </c>
      <c r="BK104" s="145">
        <f t="shared" si="120"/>
        <v>0.20350280189829256</v>
      </c>
      <c r="BL104" s="146">
        <f t="shared" si="121"/>
        <v>-66.046208031942214</v>
      </c>
      <c r="BM104" s="150">
        <f t="shared" si="84"/>
        <v>-3.9627724819165326</v>
      </c>
      <c r="BN104" s="227">
        <v>-0.99071831109796482</v>
      </c>
      <c r="BO104" s="234"/>
      <c r="BR104" s="231"/>
      <c r="BS104" s="231"/>
      <c r="BT104" s="231"/>
      <c r="BU104" s="231"/>
      <c r="BV104" s="231"/>
      <c r="BW104" s="231"/>
      <c r="BX104" s="231"/>
      <c r="BY104" s="231"/>
      <c r="BZ104" s="231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</row>
    <row r="105" spans="1:382">
      <c r="A105" s="3">
        <f>'Exptl Setup'!A200</f>
        <v>193</v>
      </c>
      <c r="B105" s="3" t="str">
        <f>'Exptl Setup'!C200</f>
        <v>a</v>
      </c>
      <c r="C105" s="3">
        <f>'Exptl Setup'!D200</f>
        <v>48</v>
      </c>
      <c r="D105" s="3" t="str">
        <f>'Exptl Setup'!E200</f>
        <v>+</v>
      </c>
      <c r="E105" s="75">
        <f>'Exptl Setup'!K200</f>
        <v>0</v>
      </c>
      <c r="F105" s="63">
        <f>'Exptl Setup'!F200</f>
        <v>31.995000000000001</v>
      </c>
      <c r="G105" s="64">
        <f>'Exptl Setup'!$C$5</f>
        <v>1.2793390913194711</v>
      </c>
      <c r="H105" s="7">
        <f t="shared" si="85"/>
        <v>25.009006773177969</v>
      </c>
      <c r="I105" s="8">
        <f t="shared" si="86"/>
        <v>9.4373610464822519</v>
      </c>
      <c r="J105" s="8">
        <f t="shared" si="87"/>
        <v>6.9859932268220319</v>
      </c>
      <c r="K105" s="8">
        <f>'Exptl Setup'!H200+'Exptl Setup'!I200+'Exptl Setup'!J200+5</f>
        <v>23.003024686832859</v>
      </c>
      <c r="L105" s="8">
        <f t="shared" si="88"/>
        <v>29.989017913654891</v>
      </c>
      <c r="M105" s="44">
        <v>300</v>
      </c>
      <c r="N105" s="85">
        <f t="shared" si="89"/>
        <v>260.57362103986287</v>
      </c>
      <c r="O105" s="193">
        <f>10^(-'Pre-DEA characterisation'!V106)</f>
        <v>3.8904514499428046E-5</v>
      </c>
      <c r="P105" s="66">
        <v>60</v>
      </c>
      <c r="Q105" s="30">
        <v>324.80200000000002</v>
      </c>
      <c r="R105" s="86">
        <f t="shared" si="93"/>
        <v>246.52471800000001</v>
      </c>
      <c r="S105" s="86">
        <f t="shared" si="94"/>
        <v>249.34453552428488</v>
      </c>
      <c r="T105" s="86">
        <f t="shared" si="95"/>
        <v>92.112431003499296</v>
      </c>
      <c r="U105" s="67">
        <f t="shared" si="96"/>
        <v>6738.4447214659549</v>
      </c>
      <c r="V105" s="199">
        <f t="shared" si="81"/>
        <v>1837.7576513088968</v>
      </c>
      <c r="W105" s="66">
        <v>120</v>
      </c>
      <c r="X105" s="30">
        <v>403.30799999999999</v>
      </c>
      <c r="Y105" s="86">
        <f t="shared" si="97"/>
        <v>306.110772</v>
      </c>
      <c r="Z105" s="86">
        <f t="shared" si="98"/>
        <v>309.6121511974319</v>
      </c>
      <c r="AA105" s="86">
        <f t="shared" si="99"/>
        <v>114.37639030289003</v>
      </c>
      <c r="AB105" s="67">
        <f t="shared" si="100"/>
        <v>8367.1549550956915</v>
      </c>
      <c r="AC105" s="199">
        <f t="shared" si="90"/>
        <v>2281.9513513897341</v>
      </c>
      <c r="AD105" s="66">
        <v>180</v>
      </c>
      <c r="AE105" s="30">
        <v>533.78200000000004</v>
      </c>
      <c r="AF105" s="86">
        <f t="shared" si="101"/>
        <v>405.14053800000005</v>
      </c>
      <c r="AG105" s="86">
        <f t="shared" si="102"/>
        <v>409.77464689633638</v>
      </c>
      <c r="AH105" s="86">
        <f t="shared" si="103"/>
        <v>151.37824781223594</v>
      </c>
      <c r="AI105" s="67">
        <f t="shared" si="104"/>
        <v>11074.009705339067</v>
      </c>
      <c r="AJ105" s="199">
        <f t="shared" si="91"/>
        <v>3020.1844650924731</v>
      </c>
      <c r="AK105" s="3">
        <v>240</v>
      </c>
      <c r="AL105" s="30">
        <v>621.96199999999999</v>
      </c>
      <c r="AM105" s="86">
        <f t="shared" si="105"/>
        <v>472.06915800000002</v>
      </c>
      <c r="AN105" s="86">
        <f t="shared" si="106"/>
        <v>477.46881485876094</v>
      </c>
      <c r="AO105" s="86">
        <f t="shared" si="107"/>
        <v>176.38571133120612</v>
      </c>
      <c r="AP105" s="67">
        <f t="shared" si="108"/>
        <v>12903.41979375868</v>
      </c>
      <c r="AQ105" s="199">
        <f t="shared" si="92"/>
        <v>3519.1144892069128</v>
      </c>
      <c r="AR105" s="199">
        <f>(((AL105*$N105*10^-3)*$E$3*$E$4)/($E$5*$E$6*$H105))*1000*(12/44)+'post-DEA dissolved CO2'!N103</f>
        <v>7290.6170533965023</v>
      </c>
      <c r="AS105" s="87">
        <f t="shared" si="109"/>
        <v>1837.7576513088968</v>
      </c>
      <c r="AT105" s="87">
        <f t="shared" si="110"/>
        <v>2281.9513513897341</v>
      </c>
      <c r="AU105" s="87">
        <f t="shared" si="111"/>
        <v>3020.1844650924731</v>
      </c>
      <c r="AV105" s="87">
        <f t="shared" si="112"/>
        <v>3519.1144892069128</v>
      </c>
      <c r="AW105" s="71">
        <f t="shared" si="113"/>
        <v>0.99112378070770391</v>
      </c>
      <c r="AX105" s="72">
        <f t="shared" si="114"/>
        <v>9.6371727123279793</v>
      </c>
      <c r="AY105" s="88">
        <f t="shared" si="115"/>
        <v>0.57823036273967876</v>
      </c>
      <c r="AZ105" s="88"/>
      <c r="BA105" s="3">
        <v>48</v>
      </c>
      <c r="BB105" s="3" t="s">
        <v>81</v>
      </c>
      <c r="BC105" s="111">
        <v>0</v>
      </c>
      <c r="BD105" s="75">
        <f t="shared" si="82"/>
        <v>7290.6170533965023</v>
      </c>
      <c r="BE105" s="160">
        <f t="shared" si="83"/>
        <v>0.48269089755131933</v>
      </c>
      <c r="BF105" s="3">
        <f t="shared" si="116"/>
        <v>3807.3178106979071</v>
      </c>
      <c r="BG105" s="3">
        <f t="shared" si="117"/>
        <v>4727.562427561872</v>
      </c>
      <c r="BH105" s="3">
        <f t="shared" si="118"/>
        <v>6256.9741431085704</v>
      </c>
      <c r="BI105" s="3">
        <f t="shared" si="119"/>
        <v>7290.6170533965023</v>
      </c>
      <c r="BJ105" s="222">
        <v>3519.1144892069128</v>
      </c>
      <c r="BK105" s="71">
        <f t="shared" si="120"/>
        <v>0.99112378070770368</v>
      </c>
      <c r="BL105" s="72">
        <f t="shared" si="121"/>
        <v>19.96551573940414</v>
      </c>
      <c r="BM105" s="88">
        <f t="shared" si="84"/>
        <v>1.1979309443642483</v>
      </c>
      <c r="BN105" s="227">
        <v>0.57823036273967876</v>
      </c>
      <c r="BO105" s="234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</row>
    <row r="106" spans="1:382">
      <c r="A106" s="3">
        <f>'Exptl Setup'!A201</f>
        <v>194</v>
      </c>
      <c r="B106" s="3" t="str">
        <f>'Exptl Setup'!C201</f>
        <v>b</v>
      </c>
      <c r="C106" s="3">
        <f>'Exptl Setup'!D201</f>
        <v>48</v>
      </c>
      <c r="D106" s="3" t="str">
        <f>'Exptl Setup'!E201</f>
        <v>+</v>
      </c>
      <c r="E106" s="75">
        <f>'Exptl Setup'!K201</f>
        <v>0</v>
      </c>
      <c r="F106" s="63">
        <f>'Exptl Setup'!F201</f>
        <v>32.002000000000002</v>
      </c>
      <c r="G106" s="64">
        <f>'Exptl Setup'!$C$5</f>
        <v>1.2793390913194711</v>
      </c>
      <c r="H106" s="7">
        <f t="shared" ref="H106:H128" si="122">F106/G106</f>
        <v>25.014478348343221</v>
      </c>
      <c r="I106" s="8">
        <f t="shared" ref="I106:I128" si="123">H106/$E$1</f>
        <v>9.439425791827631</v>
      </c>
      <c r="J106" s="8">
        <f t="shared" ref="J106:J128" si="124">F106-H106</f>
        <v>6.9875216516567811</v>
      </c>
      <c r="K106" s="8">
        <f>'Exptl Setup'!H201+'Exptl Setup'!I201+'Exptl Setup'!J201+5</f>
        <v>23.003024686832859</v>
      </c>
      <c r="L106" s="8">
        <f t="shared" ref="L106:L128" si="125">J106+K106</f>
        <v>29.99054633848964</v>
      </c>
      <c r="M106" s="44">
        <v>300</v>
      </c>
      <c r="N106" s="85">
        <f t="shared" ref="N106:N128" si="126">M106-(I106+L106)</f>
        <v>260.57002786968275</v>
      </c>
      <c r="O106" s="193">
        <f>10^(-'Pre-DEA characterisation'!V107)</f>
        <v>3.8904514499428046E-5</v>
      </c>
      <c r="P106" s="66">
        <v>60</v>
      </c>
      <c r="Q106" s="30">
        <v>314.298</v>
      </c>
      <c r="R106" s="86">
        <f t="shared" si="93"/>
        <v>238.55218200000002</v>
      </c>
      <c r="S106" s="86">
        <f t="shared" si="94"/>
        <v>241.28080746489152</v>
      </c>
      <c r="T106" s="86">
        <f t="shared" si="95"/>
        <v>89.132781856249565</v>
      </c>
      <c r="U106" s="67">
        <f t="shared" si="96"/>
        <v>6519.0435238464352</v>
      </c>
      <c r="V106" s="199">
        <f t="shared" si="81"/>
        <v>1777.9209610490279</v>
      </c>
      <c r="W106" s="66">
        <v>120</v>
      </c>
      <c r="X106" s="30">
        <v>394.73899999999998</v>
      </c>
      <c r="Y106" s="86">
        <f t="shared" si="97"/>
        <v>299.60690099999999</v>
      </c>
      <c r="Z106" s="86">
        <f t="shared" si="98"/>
        <v>303.03388713222421</v>
      </c>
      <c r="AA106" s="86">
        <f t="shared" si="99"/>
        <v>111.94530406542231</v>
      </c>
      <c r="AB106" s="67">
        <f t="shared" si="100"/>
        <v>8187.5186019625271</v>
      </c>
      <c r="AC106" s="199">
        <f t="shared" si="90"/>
        <v>2232.9596187170532</v>
      </c>
      <c r="AD106" s="66">
        <v>180</v>
      </c>
      <c r="AE106" s="30">
        <v>453.61799999999999</v>
      </c>
      <c r="AF106" s="86">
        <f t="shared" si="101"/>
        <v>344.29606200000001</v>
      </c>
      <c r="AG106" s="86">
        <f t="shared" si="102"/>
        <v>348.23421504625912</v>
      </c>
      <c r="AH106" s="86">
        <f t="shared" si="103"/>
        <v>128.64298926518214</v>
      </c>
      <c r="AI106" s="67">
        <f t="shared" si="104"/>
        <v>9408.7632921627646</v>
      </c>
      <c r="AJ106" s="199">
        <f t="shared" si="91"/>
        <v>2566.0263524080265</v>
      </c>
      <c r="AK106" s="3">
        <v>240</v>
      </c>
      <c r="AL106" s="30">
        <v>542.62699999999995</v>
      </c>
      <c r="AM106" s="86">
        <f t="shared" si="105"/>
        <v>411.85389299999997</v>
      </c>
      <c r="AN106" s="86">
        <f t="shared" si="106"/>
        <v>416.56479109714883</v>
      </c>
      <c r="AO106" s="86">
        <f t="shared" si="107"/>
        <v>153.88533818322463</v>
      </c>
      <c r="AP106" s="67">
        <f t="shared" si="108"/>
        <v>11254.95240254224</v>
      </c>
      <c r="AQ106" s="199">
        <f t="shared" si="92"/>
        <v>3069.5324734206106</v>
      </c>
      <c r="AR106" s="199">
        <f>(((AL106*$N106*10^-3)*$E$3*$E$4)/($E$5*$E$6*$H106))*1000*(12/44)+'post-DEA dissolved CO2'!N104</f>
        <v>6451.7899660894163</v>
      </c>
      <c r="AS106" s="87">
        <f t="shared" si="109"/>
        <v>1777.9209610490279</v>
      </c>
      <c r="AT106" s="87">
        <f t="shared" si="110"/>
        <v>2232.9596187170532</v>
      </c>
      <c r="AU106" s="87">
        <f t="shared" si="111"/>
        <v>2566.0263524080265</v>
      </c>
      <c r="AV106" s="87">
        <f t="shared" si="112"/>
        <v>3069.5324734206106</v>
      </c>
      <c r="AW106" s="71">
        <f t="shared" si="113"/>
        <v>0.99453765548188167</v>
      </c>
      <c r="AX106" s="72">
        <f t="shared" si="114"/>
        <v>7.0131687846762025</v>
      </c>
      <c r="AY106" s="88">
        <f t="shared" si="115"/>
        <v>0.42079012708057217</v>
      </c>
      <c r="AZ106" s="88"/>
      <c r="BA106" s="3">
        <v>48</v>
      </c>
      <c r="BB106" s="3" t="s">
        <v>81</v>
      </c>
      <c r="BC106" s="111">
        <v>0</v>
      </c>
      <c r="BD106" s="75">
        <f t="shared" si="82"/>
        <v>6451.7899660894163</v>
      </c>
      <c r="BE106" s="160">
        <f t="shared" si="83"/>
        <v>0.47576447614600936</v>
      </c>
      <c r="BF106" s="3">
        <f t="shared" si="116"/>
        <v>3736.9771182819341</v>
      </c>
      <c r="BG106" s="3">
        <f t="shared" si="117"/>
        <v>4693.4139278439334</v>
      </c>
      <c r="BH106" s="3">
        <f t="shared" si="118"/>
        <v>5393.4803480798928</v>
      </c>
      <c r="BI106" s="3">
        <f t="shared" si="119"/>
        <v>6451.7899660894163</v>
      </c>
      <c r="BJ106" s="222">
        <v>3069.5324734206106</v>
      </c>
      <c r="BK106" s="71">
        <f t="shared" si="120"/>
        <v>0.99453765548188144</v>
      </c>
      <c r="BL106" s="72">
        <f t="shared" si="121"/>
        <v>14.740841606097341</v>
      </c>
      <c r="BM106" s="88">
        <f t="shared" si="84"/>
        <v>0.88445049636584039</v>
      </c>
      <c r="BN106" s="227">
        <v>0.42079012708057217</v>
      </c>
      <c r="BO106" s="234"/>
      <c r="BR106" s="231"/>
      <c r="BS106" s="231"/>
      <c r="BT106" s="231"/>
      <c r="BU106" s="231"/>
      <c r="BV106" s="231"/>
      <c r="BW106" s="231"/>
      <c r="BX106" s="231"/>
      <c r="BY106" s="231"/>
      <c r="BZ106" s="231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</row>
    <row r="107" spans="1:382">
      <c r="A107" s="3">
        <f>'Exptl Setup'!A202</f>
        <v>195</v>
      </c>
      <c r="B107" s="3" t="str">
        <f>'Exptl Setup'!C202</f>
        <v>c</v>
      </c>
      <c r="C107" s="3">
        <f>'Exptl Setup'!D202</f>
        <v>48</v>
      </c>
      <c r="D107" s="3" t="str">
        <f>'Exptl Setup'!E202</f>
        <v>+</v>
      </c>
      <c r="E107" s="75">
        <f>'Exptl Setup'!K202</f>
        <v>0</v>
      </c>
      <c r="F107" s="63">
        <f>'Exptl Setup'!F202</f>
        <v>32.003</v>
      </c>
      <c r="G107" s="64">
        <f>'Exptl Setup'!$C$5</f>
        <v>1.2793390913194711</v>
      </c>
      <c r="H107" s="7">
        <f t="shared" si="122"/>
        <v>25.015260001938255</v>
      </c>
      <c r="I107" s="8">
        <f t="shared" si="123"/>
        <v>9.4397207554483984</v>
      </c>
      <c r="J107" s="8">
        <f t="shared" si="124"/>
        <v>6.9877399980617447</v>
      </c>
      <c r="K107" s="8">
        <f>'Exptl Setup'!H202+'Exptl Setup'!I202+'Exptl Setup'!J202+5</f>
        <v>23.003024686832859</v>
      </c>
      <c r="L107" s="8">
        <f t="shared" si="125"/>
        <v>29.990764684894604</v>
      </c>
      <c r="M107" s="44">
        <v>300</v>
      </c>
      <c r="N107" s="85">
        <f t="shared" si="126"/>
        <v>260.56951455965702</v>
      </c>
      <c r="O107" s="193">
        <f>10^(-'Pre-DEA characterisation'!V108)</f>
        <v>3.8904514499428046E-5</v>
      </c>
      <c r="P107" s="66">
        <v>60</v>
      </c>
      <c r="Q107" s="30">
        <v>302.68799999999999</v>
      </c>
      <c r="R107" s="86">
        <f t="shared" si="93"/>
        <v>229.74019200000001</v>
      </c>
      <c r="S107" s="86">
        <f t="shared" si="94"/>
        <v>232.36802349977751</v>
      </c>
      <c r="T107" s="86">
        <f t="shared" si="95"/>
        <v>85.840159936109345</v>
      </c>
      <c r="U107" s="67">
        <f t="shared" si="96"/>
        <v>6278.0297140546736</v>
      </c>
      <c r="V107" s="199">
        <f t="shared" si="81"/>
        <v>1712.1899220149107</v>
      </c>
      <c r="W107" s="66">
        <v>120</v>
      </c>
      <c r="X107" s="30">
        <v>381.19400000000002</v>
      </c>
      <c r="Y107" s="86">
        <f t="shared" si="97"/>
        <v>289.32624600000003</v>
      </c>
      <c r="Z107" s="86">
        <f t="shared" si="98"/>
        <v>292.63563917292458</v>
      </c>
      <c r="AA107" s="86">
        <f t="shared" si="99"/>
        <v>108.10390212590281</v>
      </c>
      <c r="AB107" s="67">
        <f t="shared" si="100"/>
        <v>7906.3169297076756</v>
      </c>
      <c r="AC107" s="199">
        <f t="shared" si="90"/>
        <v>2156.2682535566387</v>
      </c>
      <c r="AD107" s="66">
        <v>180</v>
      </c>
      <c r="AE107" s="30">
        <v>471.30900000000003</v>
      </c>
      <c r="AF107" s="86">
        <f t="shared" si="101"/>
        <v>357.72353100000004</v>
      </c>
      <c r="AG107" s="86">
        <f t="shared" si="102"/>
        <v>361.81527112953489</v>
      </c>
      <c r="AH107" s="86">
        <f t="shared" si="103"/>
        <v>133.65987399344462</v>
      </c>
      <c r="AI107" s="67">
        <f t="shared" si="104"/>
        <v>9775.3855669910736</v>
      </c>
      <c r="AJ107" s="199">
        <f t="shared" si="91"/>
        <v>2666.01424554302</v>
      </c>
      <c r="AK107" s="3">
        <v>240</v>
      </c>
      <c r="AL107" s="30">
        <v>535.44000000000005</v>
      </c>
      <c r="AM107" s="86">
        <f t="shared" si="105"/>
        <v>406.39896000000005</v>
      </c>
      <c r="AN107" s="86">
        <f t="shared" si="106"/>
        <v>411.0474630732665</v>
      </c>
      <c r="AO107" s="86">
        <f t="shared" si="107"/>
        <v>151.846968615176</v>
      </c>
      <c r="AP107" s="67">
        <f t="shared" si="108"/>
        <v>11105.521956910858</v>
      </c>
      <c r="AQ107" s="199">
        <f t="shared" si="92"/>
        <v>3028.7787155211427</v>
      </c>
      <c r="AR107" s="199">
        <f>(((AL107*$N107*10^-3)*$E$3*$E$4)/($E$5*$E$6*$H107))*1000*(12/44)+'post-DEA dissolved CO2'!N105</f>
        <v>6219.8157779848989</v>
      </c>
      <c r="AS107" s="87">
        <f t="shared" si="109"/>
        <v>1712.1899220149107</v>
      </c>
      <c r="AT107" s="87">
        <f t="shared" si="110"/>
        <v>2156.2682535566387</v>
      </c>
      <c r="AU107" s="87">
        <f t="shared" si="111"/>
        <v>2666.01424554302</v>
      </c>
      <c r="AV107" s="87">
        <f t="shared" si="112"/>
        <v>3028.7787155211427</v>
      </c>
      <c r="AW107" s="71">
        <f t="shared" si="113"/>
        <v>0.99607927286545683</v>
      </c>
      <c r="AX107" s="72">
        <f t="shared" si="114"/>
        <v>7.4325206208417951</v>
      </c>
      <c r="AY107" s="88">
        <f t="shared" si="115"/>
        <v>0.44595123725050767</v>
      </c>
      <c r="AZ107" s="88"/>
      <c r="BA107" s="3">
        <v>48</v>
      </c>
      <c r="BB107" s="3" t="s">
        <v>81</v>
      </c>
      <c r="BC107" s="111">
        <v>0</v>
      </c>
      <c r="BD107" s="75">
        <f t="shared" si="82"/>
        <v>6219.8157779848989</v>
      </c>
      <c r="BE107" s="160">
        <f t="shared" si="83"/>
        <v>0.48695633819920126</v>
      </c>
      <c r="BF107" s="3">
        <f t="shared" si="116"/>
        <v>3516.1056294014147</v>
      </c>
      <c r="BG107" s="3">
        <f t="shared" si="117"/>
        <v>4428.0525468272372</v>
      </c>
      <c r="BH107" s="3">
        <f t="shared" si="118"/>
        <v>5474.8527463511982</v>
      </c>
      <c r="BI107" s="3">
        <f t="shared" si="119"/>
        <v>6219.8157779848989</v>
      </c>
      <c r="BJ107" s="222">
        <v>3028.7787155211427</v>
      </c>
      <c r="BK107" s="71">
        <f t="shared" si="120"/>
        <v>0.99607927286545683</v>
      </c>
      <c r="BL107" s="72">
        <f t="shared" si="121"/>
        <v>15.263217742124022</v>
      </c>
      <c r="BM107" s="88">
        <f t="shared" si="84"/>
        <v>0.91579306452744125</v>
      </c>
      <c r="BN107" s="227">
        <v>0.44595123725050767</v>
      </c>
      <c r="BO107" s="234"/>
      <c r="BR107" s="231"/>
      <c r="BS107" s="231"/>
      <c r="BT107" s="231"/>
      <c r="BU107" s="231"/>
      <c r="BV107" s="231"/>
      <c r="BW107" s="231"/>
      <c r="BX107" s="231"/>
      <c r="BY107" s="231"/>
      <c r="BZ107" s="231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</row>
    <row r="108" spans="1:382">
      <c r="A108" s="3">
        <f>'Exptl Setup'!A206</f>
        <v>199</v>
      </c>
      <c r="B108" s="3" t="str">
        <f>'Exptl Setup'!C206</f>
        <v>a</v>
      </c>
      <c r="C108" s="3">
        <f>'Exptl Setup'!D206</f>
        <v>48</v>
      </c>
      <c r="D108" s="3" t="str">
        <f>'Exptl Setup'!E206</f>
        <v>+</v>
      </c>
      <c r="E108" s="75">
        <f>'Exptl Setup'!K206</f>
        <v>5.9990579300982079</v>
      </c>
      <c r="F108" s="63">
        <f>'Exptl Setup'!F206</f>
        <v>32.002000000000002</v>
      </c>
      <c r="G108" s="64">
        <f>'Exptl Setup'!$C$5</f>
        <v>1.2793390913194711</v>
      </c>
      <c r="H108" s="7">
        <f t="shared" si="122"/>
        <v>25.014478348343221</v>
      </c>
      <c r="I108" s="8">
        <f t="shared" si="123"/>
        <v>9.439425791827631</v>
      </c>
      <c r="J108" s="8">
        <f t="shared" si="124"/>
        <v>6.9875216516567811</v>
      </c>
      <c r="K108" s="8">
        <f>'Exptl Setup'!H206+'Exptl Setup'!I206+'Exptl Setup'!J206+5</f>
        <v>23.003024686832859</v>
      </c>
      <c r="L108" s="8">
        <f t="shared" si="125"/>
        <v>29.99054633848964</v>
      </c>
      <c r="M108" s="44">
        <v>300</v>
      </c>
      <c r="N108" s="85">
        <f t="shared" si="126"/>
        <v>260.57002786968275</v>
      </c>
      <c r="O108" s="193">
        <f>10^(-'Pre-DEA characterisation'!V109)</f>
        <v>1.9054607179632409E-7</v>
      </c>
      <c r="P108" s="66">
        <v>60</v>
      </c>
      <c r="Q108" s="30">
        <v>1497.961</v>
      </c>
      <c r="R108" s="86">
        <f t="shared" si="93"/>
        <v>1136.952399</v>
      </c>
      <c r="S108" s="86">
        <f t="shared" si="94"/>
        <v>3792.8368426589191</v>
      </c>
      <c r="T108" s="86">
        <f t="shared" si="95"/>
        <v>504.07298860179088</v>
      </c>
      <c r="U108" s="67">
        <f t="shared" si="96"/>
        <v>36867.173709332841</v>
      </c>
      <c r="V108" s="199">
        <f t="shared" si="81"/>
        <v>10054.683738908956</v>
      </c>
      <c r="W108" s="66">
        <v>120</v>
      </c>
      <c r="X108" s="30">
        <v>1684.2729999999999</v>
      </c>
      <c r="Y108" s="86">
        <f t="shared" si="97"/>
        <v>1278.3632069999999</v>
      </c>
      <c r="Z108" s="86">
        <f t="shared" si="98"/>
        <v>4264.578775746274</v>
      </c>
      <c r="AA108" s="86">
        <f t="shared" si="99"/>
        <v>566.76810993831225</v>
      </c>
      <c r="AB108" s="67">
        <f t="shared" si="100"/>
        <v>41452.604750683866</v>
      </c>
      <c r="AC108" s="199">
        <f t="shared" si="90"/>
        <v>11305.255841095599</v>
      </c>
      <c r="AD108" s="66">
        <v>180</v>
      </c>
      <c r="AE108" s="30">
        <v>1873.0730000000001</v>
      </c>
      <c r="AF108" s="86">
        <f t="shared" si="101"/>
        <v>1421.662407</v>
      </c>
      <c r="AG108" s="86">
        <f t="shared" si="102"/>
        <v>4742.620324153746</v>
      </c>
      <c r="AH108" s="86">
        <f t="shared" si="103"/>
        <v>630.30045840934599</v>
      </c>
      <c r="AI108" s="67">
        <f t="shared" si="104"/>
        <v>46099.269381019396</v>
      </c>
      <c r="AJ108" s="199">
        <f t="shared" si="91"/>
        <v>12572.528013005289</v>
      </c>
      <c r="AK108" s="3">
        <v>240</v>
      </c>
      <c r="AL108" s="30">
        <v>2060.2139999999999</v>
      </c>
      <c r="AM108" s="86">
        <f t="shared" si="105"/>
        <v>1563.7024260000001</v>
      </c>
      <c r="AN108" s="86">
        <f t="shared" si="106"/>
        <v>5216.461285014565</v>
      </c>
      <c r="AO108" s="86">
        <f t="shared" si="107"/>
        <v>693.27454328867702</v>
      </c>
      <c r="AP108" s="67">
        <f t="shared" si="108"/>
        <v>50705.103414841535</v>
      </c>
      <c r="AQ108" s="199">
        <f t="shared" si="92"/>
        <v>13828.664567684056</v>
      </c>
      <c r="AR108" s="199">
        <f>(((AL108*$N108*10^-3)*$E$3*$E$4)/($E$5*$E$6*$H108))*1000*(12/44)+'post-DEA dissolved CO2'!N106</f>
        <v>17999.407565663714</v>
      </c>
      <c r="AS108" s="87">
        <f t="shared" si="109"/>
        <v>10054.683738908956</v>
      </c>
      <c r="AT108" s="87">
        <f t="shared" si="110"/>
        <v>11305.255841095599</v>
      </c>
      <c r="AU108" s="87">
        <f t="shared" si="111"/>
        <v>12572.528013005289</v>
      </c>
      <c r="AV108" s="87">
        <f t="shared" si="112"/>
        <v>13828.664567684056</v>
      </c>
      <c r="AW108" s="71">
        <f t="shared" si="113"/>
        <v>0.99999413435867435</v>
      </c>
      <c r="AX108" s="72">
        <f t="shared" si="114"/>
        <v>20.98202443039165</v>
      </c>
      <c r="AY108" s="88">
        <f t="shared" si="115"/>
        <v>1.2589214658234988</v>
      </c>
      <c r="AZ108" s="88"/>
      <c r="BA108" s="3">
        <v>48</v>
      </c>
      <c r="BB108" s="3" t="s">
        <v>81</v>
      </c>
      <c r="BC108" s="111">
        <v>5.9990579300982079</v>
      </c>
      <c r="BD108" s="75">
        <f t="shared" si="82"/>
        <v>17999.407565663714</v>
      </c>
      <c r="BE108" s="160">
        <f t="shared" si="83"/>
        <v>0.76828442920888629</v>
      </c>
      <c r="BF108" s="3">
        <f t="shared" si="116"/>
        <v>13087.189270856903</v>
      </c>
      <c r="BG108" s="3">
        <f t="shared" si="117"/>
        <v>14714.935525553716</v>
      </c>
      <c r="BH108" s="3">
        <f t="shared" si="118"/>
        <v>16364.418612455031</v>
      </c>
      <c r="BI108" s="3">
        <f t="shared" si="119"/>
        <v>17999.407565663714</v>
      </c>
      <c r="BJ108" s="222">
        <v>13828.664567684056</v>
      </c>
      <c r="BK108" s="71">
        <f t="shared" si="120"/>
        <v>0.99999413435867457</v>
      </c>
      <c r="BL108" s="72">
        <f t="shared" si="121"/>
        <v>27.310229952202917</v>
      </c>
      <c r="BM108" s="88">
        <f t="shared" si="84"/>
        <v>1.638613797132175</v>
      </c>
      <c r="BN108" s="227">
        <v>1.2589214658234988</v>
      </c>
      <c r="BO108" s="234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</row>
    <row r="109" spans="1:382">
      <c r="A109" s="3">
        <f>'Exptl Setup'!A207</f>
        <v>200</v>
      </c>
      <c r="B109" s="3" t="str">
        <f>'Exptl Setup'!C207</f>
        <v>b</v>
      </c>
      <c r="C109" s="3">
        <f>'Exptl Setup'!D207</f>
        <v>48</v>
      </c>
      <c r="D109" s="3" t="str">
        <f>'Exptl Setup'!E207</f>
        <v>+</v>
      </c>
      <c r="E109" s="75">
        <f>'Exptl Setup'!K207</f>
        <v>6.0001828940805995</v>
      </c>
      <c r="F109" s="63">
        <f>'Exptl Setup'!F207</f>
        <v>31.995999999999999</v>
      </c>
      <c r="G109" s="64">
        <f>'Exptl Setup'!$C$5</f>
        <v>1.2793390913194711</v>
      </c>
      <c r="H109" s="7">
        <f t="shared" si="122"/>
        <v>25.009788426773003</v>
      </c>
      <c r="I109" s="8">
        <f t="shared" si="123"/>
        <v>9.4376560101030211</v>
      </c>
      <c r="J109" s="8">
        <f t="shared" si="124"/>
        <v>6.9862115732269956</v>
      </c>
      <c r="K109" s="8">
        <f>'Exptl Setup'!H207+'Exptl Setup'!I207+'Exptl Setup'!J207+5</f>
        <v>23.003024686832859</v>
      </c>
      <c r="L109" s="8">
        <f t="shared" si="125"/>
        <v>29.989236260059855</v>
      </c>
      <c r="M109" s="44">
        <v>300</v>
      </c>
      <c r="N109" s="85">
        <f t="shared" si="126"/>
        <v>260.57310772983715</v>
      </c>
      <c r="O109" s="193">
        <f>10^(-'Pre-DEA characterisation'!V110)</f>
        <v>1.9054607179632409E-7</v>
      </c>
      <c r="P109" s="66">
        <v>60</v>
      </c>
      <c r="Q109" s="30">
        <v>1463.4069999999999</v>
      </c>
      <c r="R109" s="86">
        <f t="shared" si="93"/>
        <v>1110.725913</v>
      </c>
      <c r="S109" s="86">
        <f t="shared" si="94"/>
        <v>3705.3461241013356</v>
      </c>
      <c r="T109" s="86">
        <f t="shared" si="95"/>
        <v>492.44501020456977</v>
      </c>
      <c r="U109" s="67">
        <f t="shared" si="96"/>
        <v>36023.474065505383</v>
      </c>
      <c r="V109" s="199">
        <f t="shared" si="81"/>
        <v>9824.5838360469224</v>
      </c>
      <c r="W109" s="66">
        <v>120</v>
      </c>
      <c r="X109" s="30">
        <v>1653.866</v>
      </c>
      <c r="Y109" s="86">
        <f t="shared" si="97"/>
        <v>1255.284294</v>
      </c>
      <c r="Z109" s="86">
        <f t="shared" si="98"/>
        <v>4187.5882600554587</v>
      </c>
      <c r="AA109" s="86">
        <f t="shared" si="99"/>
        <v>556.53557707937102</v>
      </c>
      <c r="AB109" s="67">
        <f t="shared" si="100"/>
        <v>40711.845001985865</v>
      </c>
      <c r="AC109" s="199">
        <f t="shared" si="90"/>
        <v>11103.230455087054</v>
      </c>
      <c r="AD109" s="66">
        <v>180</v>
      </c>
      <c r="AE109" s="30">
        <v>1882.1949999999999</v>
      </c>
      <c r="AF109" s="86">
        <f t="shared" si="101"/>
        <v>1428.5860049999999</v>
      </c>
      <c r="AG109" s="86">
        <f t="shared" si="102"/>
        <v>4765.7172256610174</v>
      </c>
      <c r="AH109" s="86">
        <f t="shared" si="103"/>
        <v>633.36962033254599</v>
      </c>
      <c r="AI109" s="67">
        <f t="shared" si="104"/>
        <v>46332.430259472516</v>
      </c>
      <c r="AJ109" s="199">
        <f t="shared" si="91"/>
        <v>12636.117343492504</v>
      </c>
      <c r="AK109" s="3">
        <v>240</v>
      </c>
      <c r="AL109" s="30">
        <v>2057.174</v>
      </c>
      <c r="AM109" s="86">
        <f t="shared" si="105"/>
        <v>1561.395066</v>
      </c>
      <c r="AN109" s="86">
        <f t="shared" si="106"/>
        <v>5208.7640058452916</v>
      </c>
      <c r="AO109" s="86">
        <f t="shared" si="107"/>
        <v>692.25107671521027</v>
      </c>
      <c r="AP109" s="67">
        <f t="shared" si="108"/>
        <v>50639.742899433986</v>
      </c>
      <c r="AQ109" s="199">
        <f t="shared" si="92"/>
        <v>13810.838972572905</v>
      </c>
      <c r="AR109" s="199">
        <f>(((AL109*$N109*10^-3)*$E$3*$E$4)/($E$5*$E$6*$H109))*1000*(12/44)+'post-DEA dissolved CO2'!N107</f>
        <v>18474.713132943732</v>
      </c>
      <c r="AS109" s="87">
        <f t="shared" si="109"/>
        <v>9824.5838360469224</v>
      </c>
      <c r="AT109" s="87">
        <f t="shared" si="110"/>
        <v>11103.230455087054</v>
      </c>
      <c r="AU109" s="87">
        <f t="shared" si="111"/>
        <v>12636.117343492504</v>
      </c>
      <c r="AV109" s="87">
        <f t="shared" si="112"/>
        <v>13810.838972572905</v>
      </c>
      <c r="AW109" s="71">
        <f t="shared" si="113"/>
        <v>0.99764848565872422</v>
      </c>
      <c r="AX109" s="72">
        <f t="shared" si="114"/>
        <v>22.486087163305662</v>
      </c>
      <c r="AY109" s="88">
        <f t="shared" si="115"/>
        <v>1.3491652297983396</v>
      </c>
      <c r="AZ109" s="88"/>
      <c r="BA109" s="3">
        <v>48</v>
      </c>
      <c r="BB109" s="3" t="s">
        <v>81</v>
      </c>
      <c r="BC109" s="111">
        <v>6.0001828940805995</v>
      </c>
      <c r="BD109" s="75">
        <f t="shared" si="82"/>
        <v>18474.713132943732</v>
      </c>
      <c r="BE109" s="160">
        <f t="shared" si="83"/>
        <v>0.74755363578261458</v>
      </c>
      <c r="BF109" s="3">
        <f t="shared" si="116"/>
        <v>13142.312960275494</v>
      </c>
      <c r="BG109" s="3">
        <f t="shared" si="117"/>
        <v>14852.75426888008</v>
      </c>
      <c r="BH109" s="3">
        <f t="shared" si="118"/>
        <v>16903.291936054517</v>
      </c>
      <c r="BI109" s="3">
        <f t="shared" si="119"/>
        <v>18474.713132943732</v>
      </c>
      <c r="BJ109" s="222">
        <v>13810.838972572905</v>
      </c>
      <c r="BK109" s="71">
        <f t="shared" si="120"/>
        <v>0.99764848565872399</v>
      </c>
      <c r="BL109" s="72">
        <f t="shared" si="121"/>
        <v>30.079563641965255</v>
      </c>
      <c r="BM109" s="88">
        <f t="shared" si="84"/>
        <v>1.8047738185179152</v>
      </c>
      <c r="BN109" s="227">
        <v>1.3491652297983396</v>
      </c>
      <c r="BO109" s="234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</row>
    <row r="110" spans="1:382">
      <c r="A110" s="3">
        <f>'Exptl Setup'!A208</f>
        <v>201</v>
      </c>
      <c r="B110" s="3" t="str">
        <f>'Exptl Setup'!C208</f>
        <v>c</v>
      </c>
      <c r="C110" s="3">
        <f>'Exptl Setup'!D208</f>
        <v>48</v>
      </c>
      <c r="D110" s="3" t="str">
        <f>'Exptl Setup'!E208</f>
        <v>+</v>
      </c>
      <c r="E110" s="75">
        <f>'Exptl Setup'!K208</f>
        <v>5.9996203593550685</v>
      </c>
      <c r="F110" s="63">
        <f>'Exptl Setup'!F208</f>
        <v>31.998999999999999</v>
      </c>
      <c r="G110" s="64">
        <f>'Exptl Setup'!$C$5</f>
        <v>1.2793390913194711</v>
      </c>
      <c r="H110" s="7">
        <f t="shared" si="122"/>
        <v>25.012133387558112</v>
      </c>
      <c r="I110" s="8">
        <f t="shared" si="123"/>
        <v>9.4385409009653252</v>
      </c>
      <c r="J110" s="8">
        <f t="shared" si="124"/>
        <v>6.9868666124418866</v>
      </c>
      <c r="K110" s="8">
        <f>'Exptl Setup'!H208+'Exptl Setup'!I208+'Exptl Setup'!J208+5</f>
        <v>23.003024686832859</v>
      </c>
      <c r="L110" s="8">
        <f t="shared" si="125"/>
        <v>29.989891299274746</v>
      </c>
      <c r="M110" s="44">
        <v>300</v>
      </c>
      <c r="N110" s="85">
        <f t="shared" si="126"/>
        <v>260.57156779975992</v>
      </c>
      <c r="O110" s="193">
        <f>10^(-'Pre-DEA characterisation'!V111)</f>
        <v>1.9054607179632409E-7</v>
      </c>
      <c r="P110" s="66">
        <v>60</v>
      </c>
      <c r="Q110" s="30">
        <v>2496.694</v>
      </c>
      <c r="R110" s="86">
        <f t="shared" si="93"/>
        <v>1894.9907459999999</v>
      </c>
      <c r="S110" s="86">
        <f t="shared" si="94"/>
        <v>6321.628525739633</v>
      </c>
      <c r="T110" s="86">
        <f t="shared" si="95"/>
        <v>840.1524222175799</v>
      </c>
      <c r="U110" s="67">
        <f t="shared" si="96"/>
        <v>61453.301208680285</v>
      </c>
      <c r="V110" s="199">
        <f t="shared" si="81"/>
        <v>16759.991238730985</v>
      </c>
      <c r="W110" s="66">
        <v>120</v>
      </c>
      <c r="X110" s="30">
        <v>2757.3649999999998</v>
      </c>
      <c r="Y110" s="86">
        <f t="shared" si="97"/>
        <v>2092.8400349999997</v>
      </c>
      <c r="Z110" s="86">
        <f t="shared" si="98"/>
        <v>6981.6474265072375</v>
      </c>
      <c r="AA110" s="86">
        <f t="shared" si="99"/>
        <v>927.86976845699837</v>
      </c>
      <c r="AB110" s="67">
        <f t="shared" si="100"/>
        <v>67869.423280254894</v>
      </c>
      <c r="AC110" s="199">
        <f t="shared" si="90"/>
        <v>18509.842712796792</v>
      </c>
      <c r="AD110" s="66">
        <v>180</v>
      </c>
      <c r="AE110" s="30">
        <v>2747.1370000000002</v>
      </c>
      <c r="AF110" s="86">
        <f t="shared" si="101"/>
        <v>2085.0769829999999</v>
      </c>
      <c r="AG110" s="86">
        <f t="shared" si="102"/>
        <v>6955.7501333021974</v>
      </c>
      <c r="AH110" s="86">
        <f t="shared" si="103"/>
        <v>924.4279854533778</v>
      </c>
      <c r="AI110" s="67">
        <f t="shared" si="104"/>
        <v>67617.672619275851</v>
      </c>
      <c r="AJ110" s="199">
        <f t="shared" si="91"/>
        <v>18441.183441620684</v>
      </c>
      <c r="AK110" s="3">
        <v>240</v>
      </c>
      <c r="AL110" s="30">
        <v>2953.9050000000002</v>
      </c>
      <c r="AM110" s="86">
        <f t="shared" si="105"/>
        <v>2242.013895</v>
      </c>
      <c r="AN110" s="86">
        <f t="shared" si="106"/>
        <v>7479.2866527996348</v>
      </c>
      <c r="AO110" s="86">
        <f t="shared" si="107"/>
        <v>994.00665069512741</v>
      </c>
      <c r="AP110" s="67">
        <f t="shared" si="108"/>
        <v>72707.033263518388</v>
      </c>
      <c r="AQ110" s="199">
        <f t="shared" si="92"/>
        <v>19829.190890050468</v>
      </c>
      <c r="AR110" s="199">
        <f>(((AL110*$N110*10^-3)*$E$3*$E$4)/($E$5*$E$6*$H110))*1000*(12/44)+'post-DEA dissolved CO2'!N108</f>
        <v>24614.604248123433</v>
      </c>
      <c r="AS110" s="87">
        <f t="shared" si="109"/>
        <v>16759.991238730985</v>
      </c>
      <c r="AT110" s="87">
        <f t="shared" si="110"/>
        <v>18509.842712796792</v>
      </c>
      <c r="AU110" s="87">
        <f t="shared" si="111"/>
        <v>18441.183441620684</v>
      </c>
      <c r="AV110" s="87">
        <f t="shared" si="112"/>
        <v>19829.190890050468</v>
      </c>
      <c r="AW110" s="71">
        <f t="shared" si="113"/>
        <v>0.88007119425260316</v>
      </c>
      <c r="AX110" s="72">
        <f t="shared" si="114"/>
        <v>15.231566137970567</v>
      </c>
      <c r="AY110" s="88">
        <f t="shared" si="115"/>
        <v>0.9138939682782341</v>
      </c>
      <c r="AZ110" s="88"/>
      <c r="BA110" s="3">
        <v>48</v>
      </c>
      <c r="BB110" s="3" t="s">
        <v>81</v>
      </c>
      <c r="BC110" s="111">
        <v>5.9996203593550685</v>
      </c>
      <c r="BD110" s="75">
        <f t="shared" si="82"/>
        <v>24614.604248123433</v>
      </c>
      <c r="BE110" s="160">
        <f t="shared" si="83"/>
        <v>0.80558641894728833</v>
      </c>
      <c r="BF110" s="3">
        <f t="shared" si="116"/>
        <v>20804.709270834464</v>
      </c>
      <c r="BG110" s="3">
        <f t="shared" si="117"/>
        <v>22976.855465096836</v>
      </c>
      <c r="BH110" s="3">
        <f t="shared" si="118"/>
        <v>22891.62653178658</v>
      </c>
      <c r="BI110" s="3">
        <f t="shared" si="119"/>
        <v>24614.604248123433</v>
      </c>
      <c r="BJ110" s="222">
        <v>19829.190890050468</v>
      </c>
      <c r="BK110" s="71">
        <f t="shared" si="120"/>
        <v>0.88007119425260361</v>
      </c>
      <c r="BL110" s="72">
        <f t="shared" si="121"/>
        <v>18.907426664261084</v>
      </c>
      <c r="BM110" s="88">
        <f t="shared" si="84"/>
        <v>1.1344455998556651</v>
      </c>
      <c r="BN110" s="227">
        <v>0.9138939682782341</v>
      </c>
      <c r="BO110" s="234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</row>
    <row r="111" spans="1:382">
      <c r="A111" s="3">
        <f>'Exptl Setup'!A212</f>
        <v>205</v>
      </c>
      <c r="B111" s="3" t="str">
        <f>'Exptl Setup'!C212</f>
        <v>a</v>
      </c>
      <c r="C111" s="3">
        <f>'Exptl Setup'!D212</f>
        <v>48</v>
      </c>
      <c r="D111" s="3" t="str">
        <f>'Exptl Setup'!E212</f>
        <v>+</v>
      </c>
      <c r="E111" s="75">
        <f>'Exptl Setup'!K212</f>
        <v>16.000487717548268</v>
      </c>
      <c r="F111" s="63">
        <f>'Exptl Setup'!F212</f>
        <v>31.995999999999999</v>
      </c>
      <c r="G111" s="64">
        <f>'Exptl Setup'!$C$5</f>
        <v>1.2793390913194711</v>
      </c>
      <c r="H111" s="7">
        <f t="shared" si="122"/>
        <v>25.009788426773003</v>
      </c>
      <c r="I111" s="8">
        <f t="shared" si="123"/>
        <v>9.4376560101030211</v>
      </c>
      <c r="J111" s="8">
        <f t="shared" si="124"/>
        <v>6.9862115732269956</v>
      </c>
      <c r="K111" s="8">
        <f>'Exptl Setup'!H212+'Exptl Setup'!I212+'Exptl Setup'!J212+5</f>
        <v>23.003024686832862</v>
      </c>
      <c r="L111" s="8">
        <f t="shared" si="125"/>
        <v>29.989236260059858</v>
      </c>
      <c r="M111" s="44">
        <v>300</v>
      </c>
      <c r="N111" s="85">
        <f t="shared" si="126"/>
        <v>260.57310772983715</v>
      </c>
      <c r="O111" s="193">
        <f>10^(-'Pre-DEA characterisation'!V112)</f>
        <v>3.5481338923357512E-9</v>
      </c>
      <c r="P111" s="66">
        <v>60</v>
      </c>
      <c r="Q111" s="30">
        <v>2134.85</v>
      </c>
      <c r="R111" s="86">
        <f t="shared" si="93"/>
        <v>1620.35115</v>
      </c>
      <c r="S111" s="86">
        <f t="shared" si="94"/>
        <v>207527.83978968431</v>
      </c>
      <c r="T111" s="86">
        <f t="shared" si="95"/>
        <v>6779.8859170297364</v>
      </c>
      <c r="U111" s="67">
        <f t="shared" si="96"/>
        <v>495964.09637239826</v>
      </c>
      <c r="V111" s="199">
        <f t="shared" si="81"/>
        <v>135262.93537429042</v>
      </c>
      <c r="W111" s="66">
        <v>120</v>
      </c>
      <c r="X111" s="30">
        <v>2717.0059999999999</v>
      </c>
      <c r="Y111" s="86">
        <f t="shared" si="97"/>
        <v>2062.2075540000001</v>
      </c>
      <c r="Z111" s="86">
        <f t="shared" si="98"/>
        <v>264118.97129803541</v>
      </c>
      <c r="AA111" s="86">
        <f t="shared" si="99"/>
        <v>8628.7049281613672</v>
      </c>
      <c r="AB111" s="67">
        <f t="shared" si="100"/>
        <v>631209.41781782522</v>
      </c>
      <c r="AC111" s="199">
        <f t="shared" si="90"/>
        <v>172148.02304122507</v>
      </c>
      <c r="AD111" s="66">
        <v>180</v>
      </c>
      <c r="AE111" s="30">
        <v>2402.9850000000001</v>
      </c>
      <c r="AF111" s="86">
        <f t="shared" si="101"/>
        <v>1823.8656150000002</v>
      </c>
      <c r="AG111" s="86">
        <f t="shared" si="102"/>
        <v>233593.12649460832</v>
      </c>
      <c r="AH111" s="86">
        <f t="shared" si="103"/>
        <v>7631.43272845104</v>
      </c>
      <c r="AI111" s="67">
        <f t="shared" si="104"/>
        <v>558256.68506987731</v>
      </c>
      <c r="AJ111" s="199">
        <f t="shared" si="91"/>
        <v>152251.82320087563</v>
      </c>
      <c r="AK111" s="3">
        <v>240</v>
      </c>
      <c r="AL111" s="30">
        <v>2485.913</v>
      </c>
      <c r="AM111" s="86">
        <f t="shared" si="105"/>
        <v>1886.807967</v>
      </c>
      <c r="AN111" s="86">
        <f t="shared" si="106"/>
        <v>241654.52129896404</v>
      </c>
      <c r="AO111" s="86">
        <f t="shared" si="107"/>
        <v>7894.7966085023018</v>
      </c>
      <c r="AP111" s="67">
        <f t="shared" si="108"/>
        <v>577522.3527205179</v>
      </c>
      <c r="AQ111" s="199">
        <f t="shared" si="92"/>
        <v>157506.09619650489</v>
      </c>
      <c r="AR111" s="199">
        <f>(((AL111*$N111*10^-3)*$E$3*$E$4)/($E$5*$E$6*$H111))*1000*(12/44)+'post-DEA dissolved CO2'!N109</f>
        <v>87873.262813144742</v>
      </c>
      <c r="AS111" s="87">
        <f t="shared" si="109"/>
        <v>135262.93537429042</v>
      </c>
      <c r="AT111" s="87">
        <f t="shared" si="110"/>
        <v>172148.02304122507</v>
      </c>
      <c r="AU111" s="87">
        <f t="shared" si="111"/>
        <v>152251.82320087563</v>
      </c>
      <c r="AV111" s="87">
        <f t="shared" si="112"/>
        <v>157506.09619650489</v>
      </c>
      <c r="AW111" s="71">
        <f t="shared" si="113"/>
        <v>0.15769658452801308</v>
      </c>
      <c r="AX111" s="72">
        <f t="shared" si="114"/>
        <v>78.055471043823289</v>
      </c>
      <c r="AY111" s="88">
        <f t="shared" si="115"/>
        <v>4.6833282626293977</v>
      </c>
      <c r="AZ111" s="88"/>
      <c r="BA111" s="3">
        <v>48</v>
      </c>
      <c r="BB111" s="3" t="s">
        <v>81</v>
      </c>
      <c r="BC111" s="111">
        <v>16.000487717548268</v>
      </c>
      <c r="BD111" s="75">
        <f t="shared" si="82"/>
        <v>87873.262813144742</v>
      </c>
      <c r="BE111" s="160">
        <f t="shared" si="83"/>
        <v>0.55790388394563406</v>
      </c>
      <c r="BF111" s="3">
        <f t="shared" si="116"/>
        <v>75463.716999203927</v>
      </c>
      <c r="BG111" s="3">
        <f t="shared" si="117"/>
        <v>96042.050668261974</v>
      </c>
      <c r="BH111" s="3">
        <f t="shared" si="118"/>
        <v>84941.88350157252</v>
      </c>
      <c r="BI111" s="3">
        <f t="shared" si="119"/>
        <v>87873.262813144742</v>
      </c>
      <c r="BJ111" s="222">
        <v>157506.09619650489</v>
      </c>
      <c r="BK111" s="71">
        <f t="shared" si="120"/>
        <v>0.15769658452801302</v>
      </c>
      <c r="BL111" s="72">
        <f t="shared" si="121"/>
        <v>43.547450458554977</v>
      </c>
      <c r="BM111" s="88">
        <f t="shared" si="84"/>
        <v>2.6128470275132987</v>
      </c>
      <c r="BN111" s="227">
        <v>4.6833282626293977</v>
      </c>
      <c r="BO111" s="234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</row>
    <row r="112" spans="1:382">
      <c r="A112" s="3">
        <f>'Exptl Setup'!A213</f>
        <v>206</v>
      </c>
      <c r="B112" s="3" t="str">
        <f>'Exptl Setup'!C213</f>
        <v>b</v>
      </c>
      <c r="C112" s="3">
        <f>'Exptl Setup'!D213</f>
        <v>48</v>
      </c>
      <c r="D112" s="3" t="str">
        <f>'Exptl Setup'!E213</f>
        <v>+</v>
      </c>
      <c r="E112" s="75">
        <f>'Exptl Setup'!K213</f>
        <v>15.998487656583571</v>
      </c>
      <c r="F112" s="63">
        <f>'Exptl Setup'!F213</f>
        <v>32</v>
      </c>
      <c r="G112" s="64">
        <f>'Exptl Setup'!$C$5</f>
        <v>1.2793390913194711</v>
      </c>
      <c r="H112" s="7">
        <f t="shared" si="122"/>
        <v>25.01291504115315</v>
      </c>
      <c r="I112" s="8">
        <f t="shared" si="123"/>
        <v>9.4388358645860944</v>
      </c>
      <c r="J112" s="8">
        <f t="shared" si="124"/>
        <v>6.9870849588468502</v>
      </c>
      <c r="K112" s="8">
        <f>'Exptl Setup'!H213+'Exptl Setup'!I213+'Exptl Setup'!J213+5</f>
        <v>23.003024686832862</v>
      </c>
      <c r="L112" s="8">
        <f t="shared" si="125"/>
        <v>29.990109645679713</v>
      </c>
      <c r="M112" s="44">
        <v>300</v>
      </c>
      <c r="N112" s="85">
        <f t="shared" si="126"/>
        <v>260.57105448973419</v>
      </c>
      <c r="O112" s="193">
        <f>10^(-'Pre-DEA characterisation'!V113)</f>
        <v>3.5481338923357512E-9</v>
      </c>
      <c r="P112" s="66">
        <v>60</v>
      </c>
      <c r="Q112" s="30">
        <v>1982.2619999999999</v>
      </c>
      <c r="R112" s="86">
        <f t="shared" si="93"/>
        <v>1504.5368579999999</v>
      </c>
      <c r="S112" s="86">
        <f t="shared" si="94"/>
        <v>192694.82668907847</v>
      </c>
      <c r="T112" s="86">
        <f t="shared" si="95"/>
        <v>6295.4590801756422</v>
      </c>
      <c r="U112" s="67">
        <f t="shared" si="96"/>
        <v>460469.60405304196</v>
      </c>
      <c r="V112" s="199">
        <f t="shared" si="81"/>
        <v>125582.61928719327</v>
      </c>
      <c r="W112" s="66">
        <v>120</v>
      </c>
      <c r="X112" s="30">
        <v>2336.3649999999998</v>
      </c>
      <c r="Y112" s="86">
        <f t="shared" si="97"/>
        <v>1773.301035</v>
      </c>
      <c r="Z112" s="86">
        <f t="shared" si="98"/>
        <v>227117.02527588623</v>
      </c>
      <c r="AA112" s="86">
        <f t="shared" si="99"/>
        <v>7420.0535821473468</v>
      </c>
      <c r="AB112" s="67">
        <f t="shared" si="100"/>
        <v>542725.96986341127</v>
      </c>
      <c r="AC112" s="199">
        <f t="shared" si="90"/>
        <v>148016.17359911217</v>
      </c>
      <c r="AD112" s="66">
        <v>180</v>
      </c>
      <c r="AE112" s="30">
        <v>2244.5920000000001</v>
      </c>
      <c r="AF112" s="86">
        <f t="shared" si="101"/>
        <v>1703.6453280000001</v>
      </c>
      <c r="AG112" s="86">
        <f t="shared" si="102"/>
        <v>218195.81186931499</v>
      </c>
      <c r="AH112" s="86">
        <f t="shared" si="103"/>
        <v>7128.5920265280811</v>
      </c>
      <c r="AI112" s="67">
        <f t="shared" si="104"/>
        <v>521407.55838563509</v>
      </c>
      <c r="AJ112" s="199">
        <f t="shared" si="91"/>
        <v>142202.06137790048</v>
      </c>
      <c r="AK112" s="3">
        <v>240</v>
      </c>
      <c r="AL112" s="30">
        <v>2401.8789999999999</v>
      </c>
      <c r="AM112" s="86">
        <f t="shared" si="105"/>
        <v>1823.026161</v>
      </c>
      <c r="AN112" s="86">
        <f t="shared" si="106"/>
        <v>233485.61271574447</v>
      </c>
      <c r="AO112" s="86">
        <f t="shared" si="107"/>
        <v>7628.1192698206351</v>
      </c>
      <c r="AP112" s="67">
        <f t="shared" si="108"/>
        <v>557944.54623723624</v>
      </c>
      <c r="AQ112" s="199">
        <f t="shared" si="92"/>
        <v>152166.69442833716</v>
      </c>
      <c r="AR112" s="199">
        <f>(((AL112*$N112*10^-3)*$E$3*$E$4)/($E$5*$E$6*$H112))*1000*(12/44)+'post-DEA dissolved CO2'!N110</f>
        <v>79111.545255964884</v>
      </c>
      <c r="AS112" s="87">
        <f t="shared" si="109"/>
        <v>125582.61928719327</v>
      </c>
      <c r="AT112" s="87">
        <f t="shared" si="110"/>
        <v>148016.17359911217</v>
      </c>
      <c r="AU112" s="87">
        <f t="shared" si="111"/>
        <v>142202.06137790048</v>
      </c>
      <c r="AV112" s="87">
        <f t="shared" si="112"/>
        <v>152166.69442833716</v>
      </c>
      <c r="AW112" s="71">
        <f t="shared" si="113"/>
        <v>0.66811099157393594</v>
      </c>
      <c r="AX112" s="72">
        <f t="shared" si="114"/>
        <v>123.23018867036659</v>
      </c>
      <c r="AY112" s="88">
        <f t="shared" si="115"/>
        <v>7.3938113202219959</v>
      </c>
      <c r="AZ112" s="88"/>
      <c r="BA112" s="3">
        <v>48</v>
      </c>
      <c r="BB112" s="3" t="s">
        <v>81</v>
      </c>
      <c r="BC112" s="111">
        <v>15.998487656583571</v>
      </c>
      <c r="BD112" s="75">
        <f t="shared" si="82"/>
        <v>79111.545255964884</v>
      </c>
      <c r="BE112" s="160">
        <f t="shared" si="83"/>
        <v>0.51990053114561441</v>
      </c>
      <c r="BF112" s="3">
        <f t="shared" si="116"/>
        <v>65290.47047006926</v>
      </c>
      <c r="BG112" s="3">
        <f t="shared" si="117"/>
        <v>76953.68727231989</v>
      </c>
      <c r="BH112" s="3">
        <f t="shared" si="118"/>
        <v>73930.927240371719</v>
      </c>
      <c r="BI112" s="3">
        <f t="shared" si="119"/>
        <v>79111.545255964898</v>
      </c>
      <c r="BJ112" s="222">
        <v>152166.69442833716</v>
      </c>
      <c r="BK112" s="71">
        <f t="shared" si="120"/>
        <v>0.66811099157393583</v>
      </c>
      <c r="BL112" s="72">
        <f t="shared" si="121"/>
        <v>64.067440542897913</v>
      </c>
      <c r="BM112" s="88">
        <f t="shared" si="84"/>
        <v>3.844046432573875</v>
      </c>
      <c r="BN112" s="227">
        <v>7.3938113202219959</v>
      </c>
      <c r="BO112" s="234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</row>
    <row r="113" spans="1:382">
      <c r="A113" s="3">
        <f>'Exptl Setup'!A214</f>
        <v>207</v>
      </c>
      <c r="B113" s="3" t="str">
        <f>'Exptl Setup'!C214</f>
        <v>c</v>
      </c>
      <c r="C113" s="3">
        <f>'Exptl Setup'!D214</f>
        <v>48</v>
      </c>
      <c r="D113" s="3" t="str">
        <f>'Exptl Setup'!E214</f>
        <v>+</v>
      </c>
      <c r="E113" s="75">
        <f>'Exptl Setup'!K214</f>
        <v>15.996987938964294</v>
      </c>
      <c r="F113" s="63">
        <f>'Exptl Setup'!F214</f>
        <v>32.003</v>
      </c>
      <c r="G113" s="64">
        <f>'Exptl Setup'!$C$5</f>
        <v>1.2793390913194711</v>
      </c>
      <c r="H113" s="7">
        <f t="shared" si="122"/>
        <v>25.015260001938255</v>
      </c>
      <c r="I113" s="8">
        <f t="shared" si="123"/>
        <v>9.4397207554483984</v>
      </c>
      <c r="J113" s="8">
        <f t="shared" si="124"/>
        <v>6.9877399980617447</v>
      </c>
      <c r="K113" s="8">
        <f>'Exptl Setup'!H214+'Exptl Setup'!I214+'Exptl Setup'!J214+5</f>
        <v>23.003024686832862</v>
      </c>
      <c r="L113" s="8">
        <f t="shared" si="125"/>
        <v>29.990764684894607</v>
      </c>
      <c r="M113" s="44">
        <v>300</v>
      </c>
      <c r="N113" s="85">
        <f t="shared" si="126"/>
        <v>260.56951455965702</v>
      </c>
      <c r="O113" s="193">
        <f>10^(-'Pre-DEA characterisation'!V114)</f>
        <v>3.5481338923357512E-9</v>
      </c>
      <c r="P113" s="66">
        <v>60</v>
      </c>
      <c r="Q113" s="30">
        <v>2093.9380000000001</v>
      </c>
      <c r="R113" s="86">
        <f t="shared" si="93"/>
        <v>1589.2989420000001</v>
      </c>
      <c r="S113" s="86">
        <f t="shared" si="94"/>
        <v>203550.80206737336</v>
      </c>
      <c r="T113" s="86">
        <f t="shared" si="95"/>
        <v>6650.260614402172</v>
      </c>
      <c r="U113" s="67">
        <f t="shared" si="96"/>
        <v>486375.30235846667</v>
      </c>
      <c r="V113" s="199">
        <f t="shared" si="81"/>
        <v>132647.80973412728</v>
      </c>
      <c r="W113" s="66">
        <v>120</v>
      </c>
      <c r="X113" s="30">
        <v>2213.355</v>
      </c>
      <c r="Y113" s="86">
        <f t="shared" si="97"/>
        <v>1679.936445</v>
      </c>
      <c r="Z113" s="86">
        <f t="shared" si="98"/>
        <v>215159.27668814984</v>
      </c>
      <c r="AA113" s="86">
        <f t="shared" si="99"/>
        <v>7029.5240748246215</v>
      </c>
      <c r="AB113" s="67">
        <f t="shared" si="100"/>
        <v>514113.21985255723</v>
      </c>
      <c r="AC113" s="199">
        <f t="shared" si="90"/>
        <v>140212.69632342469</v>
      </c>
      <c r="AD113" s="66">
        <v>180</v>
      </c>
      <c r="AE113" s="30">
        <v>2307.8939999999998</v>
      </c>
      <c r="AF113" s="86">
        <f t="shared" si="101"/>
        <v>1751.6915459999998</v>
      </c>
      <c r="AG113" s="86">
        <f t="shared" si="102"/>
        <v>224349.37175144558</v>
      </c>
      <c r="AH113" s="86">
        <f t="shared" si="103"/>
        <v>7329.7760346366913</v>
      </c>
      <c r="AI113" s="67">
        <f t="shared" si="104"/>
        <v>536072.53035251796</v>
      </c>
      <c r="AJ113" s="199">
        <f t="shared" si="91"/>
        <v>146201.59918705036</v>
      </c>
      <c r="AK113" s="3">
        <v>240</v>
      </c>
      <c r="AL113" s="30">
        <v>2448.319</v>
      </c>
      <c r="AM113" s="86">
        <f t="shared" si="105"/>
        <v>1858.2741209999999</v>
      </c>
      <c r="AN113" s="86">
        <f t="shared" si="106"/>
        <v>238000.02491324453</v>
      </c>
      <c r="AO113" s="86">
        <f t="shared" si="107"/>
        <v>7775.7600354893557</v>
      </c>
      <c r="AP113" s="67">
        <f t="shared" si="108"/>
        <v>568690.139772514</v>
      </c>
      <c r="AQ113" s="199">
        <f t="shared" si="92"/>
        <v>155097.31084704929</v>
      </c>
      <c r="AR113" s="199">
        <f>(((AL113*$N113*10^-3)*$E$3*$E$4)/($E$5*$E$6*$H113))*1000*(12/44)+'post-DEA dissolved CO2'!N111</f>
        <v>93042.959106150665</v>
      </c>
      <c r="AS113" s="87">
        <f t="shared" si="109"/>
        <v>132647.80973412728</v>
      </c>
      <c r="AT113" s="87">
        <f t="shared" si="110"/>
        <v>140212.69632342469</v>
      </c>
      <c r="AU113" s="87">
        <f t="shared" si="111"/>
        <v>146201.59918705036</v>
      </c>
      <c r="AV113" s="87">
        <f t="shared" si="112"/>
        <v>155097.31084704929</v>
      </c>
      <c r="AW113" s="71">
        <f t="shared" si="113"/>
        <v>0.99464598484539224</v>
      </c>
      <c r="AX113" s="72">
        <f t="shared" si="114"/>
        <v>122.22901033731948</v>
      </c>
      <c r="AY113" s="88">
        <f t="shared" si="115"/>
        <v>7.3337406202391682</v>
      </c>
      <c r="AZ113" s="88"/>
      <c r="BA113" s="3">
        <v>48</v>
      </c>
      <c r="BB113" s="3" t="s">
        <v>81</v>
      </c>
      <c r="BC113" s="111">
        <v>15.996987938964294</v>
      </c>
      <c r="BD113" s="75">
        <f t="shared" si="82"/>
        <v>93042.959106150665</v>
      </c>
      <c r="BE113" s="160">
        <f t="shared" si="83"/>
        <v>0.59990053082161998</v>
      </c>
      <c r="BF113" s="3">
        <f t="shared" si="116"/>
        <v>79575.491471828209</v>
      </c>
      <c r="BG113" s="3">
        <f t="shared" si="117"/>
        <v>84113.670952353074</v>
      </c>
      <c r="BH113" s="3">
        <f t="shared" si="118"/>
        <v>87706.41695928124</v>
      </c>
      <c r="BI113" s="3">
        <f t="shared" si="119"/>
        <v>93042.959106150665</v>
      </c>
      <c r="BJ113" s="222">
        <v>155097.31084704929</v>
      </c>
      <c r="BK113" s="71">
        <f t="shared" si="120"/>
        <v>0.99464598484539268</v>
      </c>
      <c r="BL113" s="72">
        <f t="shared" si="121"/>
        <v>73.325248183159232</v>
      </c>
      <c r="BM113" s="88">
        <f t="shared" si="84"/>
        <v>4.3995148909895541</v>
      </c>
      <c r="BN113" s="227">
        <v>7.3337406202391682</v>
      </c>
      <c r="BO113" s="234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</row>
    <row r="114" spans="1:382">
      <c r="A114" s="3">
        <f>'Exptl Setup'!A218</f>
        <v>211</v>
      </c>
      <c r="B114" s="3" t="str">
        <f>'Exptl Setup'!C218</f>
        <v>a</v>
      </c>
      <c r="C114" s="3">
        <f>'Exptl Setup'!D218</f>
        <v>48</v>
      </c>
      <c r="D114" s="3" t="str">
        <f>'Exptl Setup'!E218</f>
        <v>+</v>
      </c>
      <c r="E114" s="75">
        <f>'Exptl Setup'!K218</f>
        <v>19.993111292906235</v>
      </c>
      <c r="F114" s="63">
        <f>'Exptl Setup'!F218</f>
        <v>32.008000000000003</v>
      </c>
      <c r="G114" s="64">
        <f>'Exptl Setup'!$C$5</f>
        <v>1.2793390913194711</v>
      </c>
      <c r="H114" s="7">
        <f t="shared" si="122"/>
        <v>25.01916826991344</v>
      </c>
      <c r="I114" s="8">
        <f t="shared" si="123"/>
        <v>9.4411955735522408</v>
      </c>
      <c r="J114" s="8">
        <f t="shared" si="124"/>
        <v>6.988831730086563</v>
      </c>
      <c r="K114" s="8">
        <f>'Exptl Setup'!H218+'Exptl Setup'!I218+'Exptl Setup'!J218+5</f>
        <v>23.003024686832859</v>
      </c>
      <c r="L114" s="8">
        <f t="shared" si="125"/>
        <v>29.991856416919422</v>
      </c>
      <c r="M114" s="44">
        <v>300</v>
      </c>
      <c r="N114" s="85">
        <f t="shared" si="126"/>
        <v>260.56694800952835</v>
      </c>
      <c r="O114" s="193">
        <f>10^(-'Pre-DEA characterisation'!V115)</f>
        <v>1.8197008586099866E-9</v>
      </c>
      <c r="P114" s="66">
        <v>60</v>
      </c>
      <c r="Q114" s="30">
        <v>200.68600000000001</v>
      </c>
      <c r="R114" s="86">
        <f t="shared" si="93"/>
        <v>152.320674</v>
      </c>
      <c r="S114" s="86">
        <f t="shared" si="94"/>
        <v>38361.730083103954</v>
      </c>
      <c r="T114" s="86">
        <f t="shared" si="95"/>
        <v>1202.8316390853124</v>
      </c>
      <c r="U114" s="67">
        <f t="shared" si="96"/>
        <v>87956.88595478081</v>
      </c>
      <c r="V114" s="199">
        <f t="shared" si="81"/>
        <v>23988.241624031132</v>
      </c>
      <c r="W114" s="66">
        <v>120</v>
      </c>
      <c r="X114" s="30">
        <v>2218.0540000000001</v>
      </c>
      <c r="Y114" s="86">
        <f t="shared" si="97"/>
        <v>1683.5029860000002</v>
      </c>
      <c r="Z114" s="86">
        <f t="shared" si="98"/>
        <v>423987.66659233364</v>
      </c>
      <c r="AA114" s="86">
        <f t="shared" si="99"/>
        <v>13294.128780282301</v>
      </c>
      <c r="AB114" s="67">
        <f t="shared" si="100"/>
        <v>972131.20356948383</v>
      </c>
      <c r="AC114" s="199">
        <f t="shared" si="90"/>
        <v>265126.69188258651</v>
      </c>
      <c r="AD114" s="66">
        <v>180</v>
      </c>
      <c r="AE114" s="30">
        <v>254.59</v>
      </c>
      <c r="AF114" s="86">
        <f t="shared" si="101"/>
        <v>193.23381000000001</v>
      </c>
      <c r="AG114" s="86">
        <f t="shared" si="102"/>
        <v>48665.641160108011</v>
      </c>
      <c r="AH114" s="86">
        <f t="shared" si="103"/>
        <v>1525.9106614050293</v>
      </c>
      <c r="AI114" s="67">
        <f t="shared" si="104"/>
        <v>111581.99174445476</v>
      </c>
      <c r="AJ114" s="199">
        <f t="shared" si="91"/>
        <v>30431.452293942206</v>
      </c>
      <c r="AK114" s="3">
        <v>240</v>
      </c>
      <c r="AL114" s="30">
        <v>269.517</v>
      </c>
      <c r="AM114" s="86">
        <f t="shared" si="105"/>
        <v>204.56340299999999</v>
      </c>
      <c r="AN114" s="86">
        <f t="shared" si="106"/>
        <v>51518.981926033346</v>
      </c>
      <c r="AO114" s="86">
        <f t="shared" si="107"/>
        <v>1615.3771307981428</v>
      </c>
      <c r="AP114" s="67">
        <f t="shared" si="108"/>
        <v>118124.21410499314</v>
      </c>
      <c r="AQ114" s="199">
        <f t="shared" si="92"/>
        <v>32215.694755907218</v>
      </c>
      <c r="AR114" s="199">
        <f>(((AL114*$N114*10^-3)*$E$3*$E$4)/($E$5*$E$6*$H114))*1000*(12/44)+'post-DEA dissolved CO2'!N112</f>
        <v>60384.471845890868</v>
      </c>
      <c r="AS114" s="87">
        <f t="shared" si="109"/>
        <v>23988.241624031132</v>
      </c>
      <c r="AT114" s="87">
        <f t="shared" si="110"/>
        <v>265126.69188258651</v>
      </c>
      <c r="AU114" s="87">
        <f t="shared" si="111"/>
        <v>30431.452293942206</v>
      </c>
      <c r="AV114" s="87">
        <f t="shared" si="112"/>
        <v>32215.694755907218</v>
      </c>
      <c r="AW114" s="71">
        <f t="shared" si="113"/>
        <v>5.2635042198305282E-2</v>
      </c>
      <c r="AX114" s="72">
        <f t="shared" si="114"/>
        <v>-350.02146698836003</v>
      </c>
      <c r="AY114" s="88">
        <f t="shared" si="115"/>
        <v>-21.001288019301601</v>
      </c>
      <c r="AZ114" s="88"/>
      <c r="BA114" s="3">
        <v>48</v>
      </c>
      <c r="BB114" s="3" t="s">
        <v>81</v>
      </c>
      <c r="BC114" s="111">
        <v>19.993111292906235</v>
      </c>
      <c r="BD114" s="206">
        <f t="shared" si="82"/>
        <v>60384.471845890868</v>
      </c>
      <c r="BE114" s="216">
        <f t="shared" si="83"/>
        <v>0.53350958899045964</v>
      </c>
      <c r="BF114" s="74">
        <f t="shared" si="116"/>
        <v>44963.093670768299</v>
      </c>
      <c r="BG114" s="74">
        <f t="shared" si="117"/>
        <v>496948.31611982064</v>
      </c>
      <c r="BH114" s="74">
        <f t="shared" si="118"/>
        <v>57040.122468138783</v>
      </c>
      <c r="BI114" s="74">
        <f t="shared" si="119"/>
        <v>60384.471845890868</v>
      </c>
      <c r="BJ114" s="222">
        <v>32215.694755907218</v>
      </c>
      <c r="BK114" s="207">
        <f t="shared" si="120"/>
        <v>5.2635042198305282E-2</v>
      </c>
      <c r="BL114" s="208">
        <f t="shared" si="121"/>
        <v>-656.07343187719027</v>
      </c>
      <c r="BM114" s="209">
        <f t="shared" si="84"/>
        <v>-39.364405912631419</v>
      </c>
      <c r="BN114" s="227">
        <v>-21.001288019301601</v>
      </c>
      <c r="BO114" s="23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</row>
    <row r="115" spans="1:382">
      <c r="A115" s="3">
        <f>'Exptl Setup'!A219</f>
        <v>212</v>
      </c>
      <c r="B115" s="3" t="str">
        <f>'Exptl Setup'!C219</f>
        <v>b</v>
      </c>
      <c r="C115" s="3">
        <f>'Exptl Setup'!D219</f>
        <v>48</v>
      </c>
      <c r="D115" s="3" t="str">
        <f>'Exptl Setup'!E219</f>
        <v>+</v>
      </c>
      <c r="E115" s="75">
        <f>'Exptl Setup'!K219</f>
        <v>19.999984569282837</v>
      </c>
      <c r="F115" s="63">
        <f>'Exptl Setup'!F219</f>
        <v>31.997</v>
      </c>
      <c r="G115" s="64">
        <f>'Exptl Setup'!$C$5</f>
        <v>1.2793390913194711</v>
      </c>
      <c r="H115" s="7">
        <f t="shared" si="122"/>
        <v>25.010570080368041</v>
      </c>
      <c r="I115" s="8">
        <f t="shared" si="123"/>
        <v>9.4379509737237886</v>
      </c>
      <c r="J115" s="8">
        <f t="shared" si="124"/>
        <v>6.9864299196319593</v>
      </c>
      <c r="K115" s="8">
        <f>'Exptl Setup'!H219+'Exptl Setup'!I219+'Exptl Setup'!J219+5</f>
        <v>23.003024686832859</v>
      </c>
      <c r="L115" s="8">
        <f t="shared" si="125"/>
        <v>29.989454606464818</v>
      </c>
      <c r="M115" s="44">
        <v>300</v>
      </c>
      <c r="N115" s="85">
        <f t="shared" si="126"/>
        <v>260.57259441981137</v>
      </c>
      <c r="O115" s="193">
        <f>10^(-'Pre-DEA characterisation'!V116)</f>
        <v>1.8197008586099866E-9</v>
      </c>
      <c r="P115" s="66">
        <v>60</v>
      </c>
      <c r="Q115" s="30">
        <v>231.64599999999999</v>
      </c>
      <c r="R115" s="86">
        <f t="shared" si="93"/>
        <v>175.81931399999999</v>
      </c>
      <c r="S115" s="86">
        <f t="shared" si="94"/>
        <v>44279.826828133002</v>
      </c>
      <c r="T115" s="86">
        <f t="shared" si="95"/>
        <v>1388.2884558513892</v>
      </c>
      <c r="U115" s="67">
        <f t="shared" si="96"/>
        <v>101553.28850745389</v>
      </c>
      <c r="V115" s="199">
        <f t="shared" si="81"/>
        <v>27696.351411123793</v>
      </c>
      <c r="W115" s="66">
        <v>120</v>
      </c>
      <c r="X115" s="30">
        <v>131.303</v>
      </c>
      <c r="Y115" s="86">
        <f t="shared" si="97"/>
        <v>99.658976999999993</v>
      </c>
      <c r="Z115" s="86">
        <f t="shared" si="98"/>
        <v>25098.961786581021</v>
      </c>
      <c r="AA115" s="86">
        <f t="shared" si="99"/>
        <v>786.91813853317115</v>
      </c>
      <c r="AB115" s="67">
        <f t="shared" si="100"/>
        <v>57563.055010206153</v>
      </c>
      <c r="AC115" s="199">
        <f t="shared" si="90"/>
        <v>15699.015002783497</v>
      </c>
      <c r="AD115" s="66">
        <v>180</v>
      </c>
      <c r="AE115" s="30">
        <v>160.328</v>
      </c>
      <c r="AF115" s="86">
        <f t="shared" si="101"/>
        <v>121.688952</v>
      </c>
      <c r="AG115" s="86">
        <f t="shared" si="102"/>
        <v>30647.177485045751</v>
      </c>
      <c r="AH115" s="86">
        <f t="shared" si="103"/>
        <v>960.8692209221897</v>
      </c>
      <c r="AI115" s="67">
        <f t="shared" si="104"/>
        <v>70287.575178604719</v>
      </c>
      <c r="AJ115" s="199">
        <f t="shared" si="91"/>
        <v>19169.338685074013</v>
      </c>
      <c r="AK115" s="3">
        <v>240</v>
      </c>
      <c r="AL115" s="30">
        <v>157.28700000000001</v>
      </c>
      <c r="AM115" s="86">
        <f t="shared" si="105"/>
        <v>119.38083300000001</v>
      </c>
      <c r="AN115" s="86">
        <f t="shared" si="106"/>
        <v>30065.881225303074</v>
      </c>
      <c r="AO115" s="86">
        <f t="shared" si="107"/>
        <v>942.64406186809822</v>
      </c>
      <c r="AP115" s="67">
        <f t="shared" si="108"/>
        <v>68954.404951831239</v>
      </c>
      <c r="AQ115" s="199">
        <f t="shared" si="92"/>
        <v>18805.746805044884</v>
      </c>
      <c r="AR115" s="199">
        <f>(((AL115*$N115*10^-3)*$E$3*$E$4)/($E$5*$E$6*$H115))*1000*(12/44)+'post-DEA dissolved CO2'!N113</f>
        <v>45621.298700389598</v>
      </c>
      <c r="AS115" s="87">
        <f t="shared" si="109"/>
        <v>27696.351411123793</v>
      </c>
      <c r="AT115" s="87">
        <f t="shared" si="110"/>
        <v>15699.015002783497</v>
      </c>
      <c r="AU115" s="87">
        <f t="shared" si="111"/>
        <v>19169.338685074013</v>
      </c>
      <c r="AV115" s="87">
        <f t="shared" si="112"/>
        <v>18805.746805044884</v>
      </c>
      <c r="AW115" s="71">
        <f t="shared" si="113"/>
        <v>0.33907528170190476</v>
      </c>
      <c r="AX115" s="72">
        <f t="shared" si="114"/>
        <v>-38.669150226577017</v>
      </c>
      <c r="AY115" s="88">
        <f t="shared" si="115"/>
        <v>-2.3201490135946212</v>
      </c>
      <c r="AZ115" s="88"/>
      <c r="BA115" s="3">
        <v>48</v>
      </c>
      <c r="BB115" s="3" t="s">
        <v>81</v>
      </c>
      <c r="BC115" s="246">
        <v>19.999984569282837</v>
      </c>
      <c r="BD115" s="212">
        <f t="shared" si="82"/>
        <v>45621.298700389598</v>
      </c>
      <c r="BE115" s="217">
        <f t="shared" si="83"/>
        <v>0.41221419251013752</v>
      </c>
      <c r="BF115" s="131">
        <f t="shared" si="116"/>
        <v>67189.223259077044</v>
      </c>
      <c r="BG115" s="131">
        <f t="shared" si="117"/>
        <v>38084.605741461492</v>
      </c>
      <c r="BH115" s="131">
        <f t="shared" si="118"/>
        <v>46503.34470131711</v>
      </c>
      <c r="BI115" s="131">
        <f t="shared" si="119"/>
        <v>45621.298700389598</v>
      </c>
      <c r="BJ115" s="222">
        <v>18805.746805044884</v>
      </c>
      <c r="BK115" s="213">
        <f t="shared" si="120"/>
        <v>0.33907528170190449</v>
      </c>
      <c r="BL115" s="214">
        <f t="shared" si="121"/>
        <v>-93.808391193677863</v>
      </c>
      <c r="BM115" s="215">
        <f t="shared" si="84"/>
        <v>-5.6285034716206717</v>
      </c>
      <c r="BN115" s="227">
        <v>-2.3201490135946212</v>
      </c>
      <c r="BO115" s="234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</row>
    <row r="116" spans="1:382">
      <c r="A116" s="3">
        <f>'Exptl Setup'!A220</f>
        <v>213</v>
      </c>
      <c r="B116" s="3" t="str">
        <f>'Exptl Setup'!C220</f>
        <v>c</v>
      </c>
      <c r="C116" s="3">
        <f>'Exptl Setup'!D220</f>
        <v>48</v>
      </c>
      <c r="D116" s="3" t="str">
        <f>'Exptl Setup'!E220</f>
        <v>+</v>
      </c>
      <c r="E116" s="75">
        <f>'Exptl Setup'!K220</f>
        <v>19.993735940992373</v>
      </c>
      <c r="F116" s="63">
        <f>'Exptl Setup'!F220</f>
        <v>32.006999999999998</v>
      </c>
      <c r="G116" s="64">
        <f>'Exptl Setup'!$C$5</f>
        <v>1.2793390913194711</v>
      </c>
      <c r="H116" s="7">
        <f t="shared" si="122"/>
        <v>25.018386616318399</v>
      </c>
      <c r="I116" s="8">
        <f t="shared" si="123"/>
        <v>9.4409006099314716</v>
      </c>
      <c r="J116" s="8">
        <f t="shared" si="124"/>
        <v>6.9886133836815993</v>
      </c>
      <c r="K116" s="8">
        <f>'Exptl Setup'!H220+'Exptl Setup'!I220+'Exptl Setup'!J220+5</f>
        <v>23.003024686832859</v>
      </c>
      <c r="L116" s="8">
        <f t="shared" si="125"/>
        <v>29.991638070514458</v>
      </c>
      <c r="M116" s="44">
        <v>300</v>
      </c>
      <c r="N116" s="85">
        <f t="shared" si="126"/>
        <v>260.56746131955407</v>
      </c>
      <c r="O116" s="193">
        <f>10^(-'Pre-DEA characterisation'!V117)</f>
        <v>1.8197008586099866E-9</v>
      </c>
      <c r="P116" s="66">
        <v>60</v>
      </c>
      <c r="Q116" s="30">
        <v>233.858</v>
      </c>
      <c r="R116" s="86">
        <f t="shared" si="93"/>
        <v>177.498222</v>
      </c>
      <c r="S116" s="86">
        <f t="shared" si="94"/>
        <v>44702.657254489728</v>
      </c>
      <c r="T116" s="86">
        <f t="shared" si="95"/>
        <v>1401.6417025361818</v>
      </c>
      <c r="U116" s="67">
        <f t="shared" si="96"/>
        <v>102498.04474452167</v>
      </c>
      <c r="V116" s="199">
        <f t="shared" si="81"/>
        <v>27954.012203051363</v>
      </c>
      <c r="W116" s="66">
        <v>120</v>
      </c>
      <c r="X116" s="30">
        <v>264.541</v>
      </c>
      <c r="Y116" s="86">
        <f t="shared" si="97"/>
        <v>200.786619</v>
      </c>
      <c r="Z116" s="86">
        <f t="shared" si="98"/>
        <v>50567.804619726361</v>
      </c>
      <c r="AA116" s="86">
        <f t="shared" si="99"/>
        <v>1585.5420709602581</v>
      </c>
      <c r="AB116" s="67">
        <f t="shared" si="100"/>
        <v>115946.1521725171</v>
      </c>
      <c r="AC116" s="199">
        <f t="shared" si="90"/>
        <v>31621.677865231937</v>
      </c>
      <c r="AD116" s="66">
        <v>180</v>
      </c>
      <c r="AE116" s="30">
        <v>281.12700000000001</v>
      </c>
      <c r="AF116" s="86">
        <f t="shared" si="101"/>
        <v>213.375393</v>
      </c>
      <c r="AG116" s="86">
        <f t="shared" si="102"/>
        <v>53738.268205419248</v>
      </c>
      <c r="AH116" s="86">
        <f t="shared" si="103"/>
        <v>1684.9512392515508</v>
      </c>
      <c r="AI116" s="67">
        <f t="shared" si="104"/>
        <v>123215.66003683065</v>
      </c>
      <c r="AJ116" s="199">
        <f t="shared" si="91"/>
        <v>33604.270919135633</v>
      </c>
      <c r="AK116" s="3">
        <v>240</v>
      </c>
      <c r="AL116" s="30">
        <v>307.11099999999999</v>
      </c>
      <c r="AM116" s="86">
        <f t="shared" si="105"/>
        <v>233.09724900000001</v>
      </c>
      <c r="AN116" s="86">
        <f t="shared" si="106"/>
        <v>58705.187644141297</v>
      </c>
      <c r="AO116" s="86">
        <f t="shared" si="107"/>
        <v>1840.6878742980325</v>
      </c>
      <c r="AP116" s="67">
        <f t="shared" si="108"/>
        <v>134604.23427693211</v>
      </c>
      <c r="AQ116" s="199">
        <f t="shared" si="92"/>
        <v>36710.24571189058</v>
      </c>
      <c r="AR116" s="199">
        <f>(((AL116*$N116*10^-3)*$E$3*$E$4)/($E$5*$E$6*$H116))*1000*(12/44)+'post-DEA dissolved CO2'!N114</f>
        <v>69641.859552848429</v>
      </c>
      <c r="AS116" s="87">
        <f t="shared" si="109"/>
        <v>27954.012203051363</v>
      </c>
      <c r="AT116" s="87">
        <f t="shared" si="110"/>
        <v>31621.677865231937</v>
      </c>
      <c r="AU116" s="87">
        <f t="shared" si="111"/>
        <v>33604.270919135633</v>
      </c>
      <c r="AV116" s="87">
        <f t="shared" si="112"/>
        <v>36710.24571189058</v>
      </c>
      <c r="AW116" s="71">
        <f t="shared" si="113"/>
        <v>0.98828022131599158</v>
      </c>
      <c r="AX116" s="72">
        <f t="shared" si="114"/>
        <v>47.085489300702243</v>
      </c>
      <c r="AY116" s="88">
        <f t="shared" si="115"/>
        <v>2.8251293580421346</v>
      </c>
      <c r="AZ116" s="88"/>
      <c r="BA116" s="3">
        <v>48</v>
      </c>
      <c r="BB116" s="3" t="s">
        <v>81</v>
      </c>
      <c r="BC116" s="111">
        <v>19.993735940992373</v>
      </c>
      <c r="BD116" s="75">
        <f t="shared" si="82"/>
        <v>69641.859552848429</v>
      </c>
      <c r="BE116" s="160">
        <f t="shared" si="83"/>
        <v>0.52712902767957592</v>
      </c>
      <c r="BF116" s="3">
        <f t="shared" si="116"/>
        <v>53030.682689027839</v>
      </c>
      <c r="BG116" s="3">
        <f t="shared" si="117"/>
        <v>59988.49656303446</v>
      </c>
      <c r="BH116" s="3">
        <f t="shared" si="118"/>
        <v>63749.611868391628</v>
      </c>
      <c r="BI116" s="3">
        <f t="shared" si="119"/>
        <v>69641.859552848429</v>
      </c>
      <c r="BJ116" s="222">
        <v>36710.24571189058</v>
      </c>
      <c r="BK116" s="71">
        <f t="shared" si="120"/>
        <v>0.9882802213159918</v>
      </c>
      <c r="BL116" s="72">
        <f t="shared" si="121"/>
        <v>89.324409828031563</v>
      </c>
      <c r="BM116" s="88">
        <f t="shared" si="84"/>
        <v>5.3594645896818935</v>
      </c>
      <c r="BN116" s="227">
        <v>2.8251293580421346</v>
      </c>
      <c r="BO116" s="234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</row>
    <row r="117" spans="1:382">
      <c r="A117" s="3">
        <f>'Exptl Setup'!A224</f>
        <v>217</v>
      </c>
      <c r="B117" s="3" t="str">
        <f>'Exptl Setup'!C224</f>
        <v>a</v>
      </c>
      <c r="C117" s="3">
        <f>'Exptl Setup'!D224</f>
        <v>48</v>
      </c>
      <c r="D117" s="3" t="str">
        <f>'Exptl Setup'!E224</f>
        <v>-</v>
      </c>
      <c r="E117" s="75">
        <f>'Exptl Setup'!K224</f>
        <v>0</v>
      </c>
      <c r="F117" s="63">
        <f>'Exptl Setup'!F224</f>
        <v>32.009</v>
      </c>
      <c r="G117" s="64">
        <f>'Exptl Setup'!$C$5</f>
        <v>1.2793390913194711</v>
      </c>
      <c r="H117" s="7">
        <f t="shared" si="122"/>
        <v>25.019949923508474</v>
      </c>
      <c r="I117" s="8">
        <f t="shared" si="123"/>
        <v>9.44149053717301</v>
      </c>
      <c r="J117" s="8">
        <f t="shared" si="124"/>
        <v>6.9890500764915267</v>
      </c>
      <c r="K117" s="8">
        <f>'Exptl Setup'!H224+'Exptl Setup'!I224+'Exptl Setup'!J224+5</f>
        <v>23.003024686832859</v>
      </c>
      <c r="L117" s="8">
        <f t="shared" si="125"/>
        <v>29.992074763324386</v>
      </c>
      <c r="M117" s="44">
        <v>300</v>
      </c>
      <c r="N117" s="85">
        <f t="shared" si="126"/>
        <v>260.56643469950262</v>
      </c>
      <c r="O117" s="193">
        <f>10^(-'Pre-DEA characterisation'!V118)</f>
        <v>2.7542287033381592E-5</v>
      </c>
      <c r="P117" s="66">
        <v>60</v>
      </c>
      <c r="Q117" s="30">
        <v>345.53399999999999</v>
      </c>
      <c r="R117" s="86">
        <f t="shared" si="93"/>
        <v>262.26030600000001</v>
      </c>
      <c r="S117" s="86">
        <f t="shared" si="94"/>
        <v>266.49764601317537</v>
      </c>
      <c r="T117" s="86">
        <f t="shared" si="95"/>
        <v>98.027379770935056</v>
      </c>
      <c r="U117" s="67">
        <f t="shared" si="96"/>
        <v>7168.0137230622704</v>
      </c>
      <c r="V117" s="199">
        <f t="shared" si="81"/>
        <v>1954.9128335624373</v>
      </c>
      <c r="W117" s="66">
        <v>120</v>
      </c>
      <c r="X117" s="30">
        <v>398.05599999999998</v>
      </c>
      <c r="Y117" s="86">
        <f t="shared" si="97"/>
        <v>302.124504</v>
      </c>
      <c r="Z117" s="86">
        <f t="shared" si="98"/>
        <v>307.0059298981302</v>
      </c>
      <c r="AA117" s="86">
        <f t="shared" si="99"/>
        <v>112.92777753303386</v>
      </c>
      <c r="AB117" s="67">
        <f t="shared" si="100"/>
        <v>8257.5690685931768</v>
      </c>
      <c r="AC117" s="199">
        <f t="shared" si="90"/>
        <v>2252.0642914345026</v>
      </c>
      <c r="AD117" s="66">
        <v>180</v>
      </c>
      <c r="AE117" s="30">
        <v>517.19600000000003</v>
      </c>
      <c r="AF117" s="86">
        <f t="shared" si="101"/>
        <v>392.55176400000005</v>
      </c>
      <c r="AG117" s="86">
        <f t="shared" si="102"/>
        <v>398.89422322385133</v>
      </c>
      <c r="AH117" s="86">
        <f t="shared" si="103"/>
        <v>146.72758312643194</v>
      </c>
      <c r="AI117" s="67">
        <f t="shared" si="104"/>
        <v>10729.097644552819</v>
      </c>
      <c r="AJ117" s="199">
        <f t="shared" si="91"/>
        <v>2926.1175394234961</v>
      </c>
      <c r="AK117" s="3">
        <v>240</v>
      </c>
      <c r="AL117" s="30">
        <v>625.279</v>
      </c>
      <c r="AM117" s="86">
        <f t="shared" si="105"/>
        <v>474.58676100000002</v>
      </c>
      <c r="AN117" s="86">
        <f t="shared" si="106"/>
        <v>482.25465974830917</v>
      </c>
      <c r="AO117" s="86">
        <f t="shared" si="107"/>
        <v>177.39053753260316</v>
      </c>
      <c r="AP117" s="67">
        <f t="shared" si="108"/>
        <v>12971.251606911776</v>
      </c>
      <c r="AQ117" s="199">
        <f t="shared" si="92"/>
        <v>3537.6140746123024</v>
      </c>
      <c r="AR117" s="199">
        <f>(((AL117*$N117*10^-3)*$E$3*$E$4)/($E$5*$E$6*$H117))*1000*(12/44)+'post-DEA dissolved CO2'!N115</f>
        <v>7639.5968644821405</v>
      </c>
      <c r="AS117" s="87">
        <f t="shared" si="109"/>
        <v>1954.9128335624373</v>
      </c>
      <c r="AT117" s="87">
        <f t="shared" si="110"/>
        <v>2252.0642914345026</v>
      </c>
      <c r="AU117" s="87">
        <f t="shared" si="111"/>
        <v>2926.1175394234961</v>
      </c>
      <c r="AV117" s="87">
        <f t="shared" si="112"/>
        <v>3537.6140746123024</v>
      </c>
      <c r="AW117" s="71">
        <f t="shared" si="113"/>
        <v>0.97715995264593192</v>
      </c>
      <c r="AX117" s="72">
        <f t="shared" si="114"/>
        <v>9.0369282852309816</v>
      </c>
      <c r="AY117" s="88">
        <f t="shared" si="115"/>
        <v>0.54221569711385897</v>
      </c>
      <c r="AZ117" s="88"/>
      <c r="BA117" s="3">
        <v>48</v>
      </c>
      <c r="BB117" s="3" t="s">
        <v>82</v>
      </c>
      <c r="BC117" s="111">
        <v>0</v>
      </c>
      <c r="BD117" s="75">
        <f t="shared" si="82"/>
        <v>7639.5968644821405</v>
      </c>
      <c r="BE117" s="160">
        <f t="shared" si="83"/>
        <v>0.46306292561840617</v>
      </c>
      <c r="BF117" s="3">
        <f t="shared" si="116"/>
        <v>4221.7001737975716</v>
      </c>
      <c r="BG117" s="3">
        <f t="shared" si="117"/>
        <v>4863.4087655083604</v>
      </c>
      <c r="BH117" s="3">
        <f t="shared" si="118"/>
        <v>6319.0494801883715</v>
      </c>
      <c r="BI117" s="3">
        <f t="shared" si="119"/>
        <v>7639.5968644821405</v>
      </c>
      <c r="BJ117" s="222">
        <v>3537.6140746123024</v>
      </c>
      <c r="BK117" s="71">
        <f t="shared" si="120"/>
        <v>0.9771599526459317</v>
      </c>
      <c r="BL117" s="72">
        <f t="shared" si="121"/>
        <v>19.515551311222861</v>
      </c>
      <c r="BM117" s="88">
        <f t="shared" si="84"/>
        <v>1.1709330786733718</v>
      </c>
      <c r="BN117" s="227">
        <v>0.54221569711385897</v>
      </c>
      <c r="BO117" s="234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</row>
    <row r="118" spans="1:382">
      <c r="A118" s="3">
        <f>'Exptl Setup'!A225</f>
        <v>218</v>
      </c>
      <c r="B118" s="3" t="str">
        <f>'Exptl Setup'!C225</f>
        <v>b</v>
      </c>
      <c r="C118" s="3">
        <f>'Exptl Setup'!D225</f>
        <v>48</v>
      </c>
      <c r="D118" s="3" t="str">
        <f>'Exptl Setup'!E225</f>
        <v>-</v>
      </c>
      <c r="E118" s="75">
        <f>'Exptl Setup'!K225</f>
        <v>0</v>
      </c>
      <c r="F118" s="63">
        <f>'Exptl Setup'!F225</f>
        <v>32</v>
      </c>
      <c r="G118" s="64">
        <f>'Exptl Setup'!$C$5</f>
        <v>1.2793390913194711</v>
      </c>
      <c r="H118" s="7">
        <f t="shared" si="122"/>
        <v>25.01291504115315</v>
      </c>
      <c r="I118" s="8">
        <f t="shared" si="123"/>
        <v>9.4388358645860944</v>
      </c>
      <c r="J118" s="8">
        <f t="shared" si="124"/>
        <v>6.9870849588468502</v>
      </c>
      <c r="K118" s="8">
        <f>'Exptl Setup'!H225+'Exptl Setup'!I225+'Exptl Setup'!J225+5</f>
        <v>23.003024686832859</v>
      </c>
      <c r="L118" s="8">
        <f t="shared" si="125"/>
        <v>29.990109645679709</v>
      </c>
      <c r="M118" s="44">
        <v>300</v>
      </c>
      <c r="N118" s="85">
        <f t="shared" si="126"/>
        <v>260.57105448973419</v>
      </c>
      <c r="O118" s="193">
        <f>10^(-'Pre-DEA characterisation'!V119)</f>
        <v>2.7542287033381592E-5</v>
      </c>
      <c r="P118" s="66">
        <v>60</v>
      </c>
      <c r="Q118" s="30">
        <v>347.74599999999998</v>
      </c>
      <c r="R118" s="86">
        <f t="shared" si="93"/>
        <v>263.93921399999999</v>
      </c>
      <c r="S118" s="86">
        <f t="shared" si="94"/>
        <v>268.20368013132617</v>
      </c>
      <c r="T118" s="86">
        <f t="shared" si="95"/>
        <v>98.655999689100383</v>
      </c>
      <c r="U118" s="67">
        <f t="shared" si="96"/>
        <v>7216.0089575277889</v>
      </c>
      <c r="V118" s="199">
        <f t="shared" si="81"/>
        <v>1968.0024429621242</v>
      </c>
      <c r="W118" s="66">
        <v>120</v>
      </c>
      <c r="X118" s="30">
        <v>407.178</v>
      </c>
      <c r="Y118" s="86">
        <f t="shared" si="97"/>
        <v>309.04810200000003</v>
      </c>
      <c r="Z118" s="86">
        <f t="shared" si="98"/>
        <v>314.04139247759326</v>
      </c>
      <c r="AA118" s="86">
        <f t="shared" si="99"/>
        <v>115.51693661870594</v>
      </c>
      <c r="AB118" s="67">
        <f t="shared" si="100"/>
        <v>8449.2707185941745</v>
      </c>
      <c r="AC118" s="199">
        <f t="shared" si="90"/>
        <v>2304.3465596165929</v>
      </c>
      <c r="AD118" s="66">
        <v>180</v>
      </c>
      <c r="AE118" s="30">
        <v>497.017</v>
      </c>
      <c r="AF118" s="86">
        <f t="shared" si="101"/>
        <v>377.23590300000001</v>
      </c>
      <c r="AG118" s="86">
        <f t="shared" si="102"/>
        <v>383.33090384312504</v>
      </c>
      <c r="AH118" s="86">
        <f t="shared" si="103"/>
        <v>141.00437962615703</v>
      </c>
      <c r="AI118" s="67">
        <f t="shared" si="104"/>
        <v>10313.502165498925</v>
      </c>
      <c r="AJ118" s="199">
        <f t="shared" si="91"/>
        <v>2812.773317863343</v>
      </c>
      <c r="AK118" s="3">
        <v>240</v>
      </c>
      <c r="AL118" s="30">
        <v>571.37599999999998</v>
      </c>
      <c r="AM118" s="86">
        <f t="shared" si="105"/>
        <v>433.67438399999998</v>
      </c>
      <c r="AN118" s="86">
        <f t="shared" si="106"/>
        <v>440.68126143425559</v>
      </c>
      <c r="AO118" s="86">
        <f t="shared" si="107"/>
        <v>162.10012617933612</v>
      </c>
      <c r="AP118" s="67">
        <f t="shared" si="108"/>
        <v>11856.51117228206</v>
      </c>
      <c r="AQ118" s="199">
        <f t="shared" si="92"/>
        <v>3233.5939560769257</v>
      </c>
      <c r="AR118" s="199">
        <f>(((AL118*$N118*10^-3)*$E$3*$E$4)/($E$5*$E$6*$H118))*1000*(12/44)+'post-DEA dissolved CO2'!N116</f>
        <v>7490.6017524758199</v>
      </c>
      <c r="AS118" s="87">
        <f t="shared" si="109"/>
        <v>1968.0024429621242</v>
      </c>
      <c r="AT118" s="87">
        <f t="shared" si="110"/>
        <v>2304.3465596165929</v>
      </c>
      <c r="AU118" s="87">
        <f t="shared" si="111"/>
        <v>2812.773317863343</v>
      </c>
      <c r="AV118" s="87">
        <f t="shared" si="112"/>
        <v>3233.5939560769257</v>
      </c>
      <c r="AW118" s="71">
        <f t="shared" si="113"/>
        <v>0.99446719915986526</v>
      </c>
      <c r="AX118" s="72">
        <f t="shared" si="114"/>
        <v>7.1753354959852569</v>
      </c>
      <c r="AY118" s="88">
        <f t="shared" si="115"/>
        <v>0.43052012975911541</v>
      </c>
      <c r="AZ118" s="88"/>
      <c r="BA118" s="3">
        <v>48</v>
      </c>
      <c r="BB118" s="3" t="s">
        <v>82</v>
      </c>
      <c r="BC118" s="111">
        <v>0</v>
      </c>
      <c r="BD118" s="75">
        <f t="shared" si="82"/>
        <v>7490.6017524758199</v>
      </c>
      <c r="BE118" s="160">
        <f t="shared" si="83"/>
        <v>0.43168680740611354</v>
      </c>
      <c r="BF118" s="3">
        <f t="shared" si="116"/>
        <v>4558.8663104793632</v>
      </c>
      <c r="BG118" s="3">
        <f t="shared" si="117"/>
        <v>5338.0055171543763</v>
      </c>
      <c r="BH118" s="3">
        <f t="shared" si="118"/>
        <v>6515.7731707496896</v>
      </c>
      <c r="BI118" s="3">
        <f t="shared" si="119"/>
        <v>7490.6017524758199</v>
      </c>
      <c r="BJ118" s="222">
        <v>3233.5939560769257</v>
      </c>
      <c r="BK118" s="71">
        <f t="shared" si="120"/>
        <v>0.99446719915986481</v>
      </c>
      <c r="BL118" s="72">
        <f t="shared" si="121"/>
        <v>16.621623299307803</v>
      </c>
      <c r="BM118" s="88">
        <f t="shared" si="84"/>
        <v>0.99729739795846817</v>
      </c>
      <c r="BN118" s="227">
        <v>0.43052012975911541</v>
      </c>
      <c r="BO118" s="234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</row>
    <row r="119" spans="1:382">
      <c r="A119" s="3">
        <f>'Exptl Setup'!A226</f>
        <v>219</v>
      </c>
      <c r="B119" s="3" t="str">
        <f>'Exptl Setup'!C226</f>
        <v>c</v>
      </c>
      <c r="C119" s="3">
        <f>'Exptl Setup'!D226</f>
        <v>48</v>
      </c>
      <c r="D119" s="3" t="str">
        <f>'Exptl Setup'!E226</f>
        <v>-</v>
      </c>
      <c r="E119" s="75">
        <f>'Exptl Setup'!K226</f>
        <v>0</v>
      </c>
      <c r="F119" s="63">
        <f>'Exptl Setup'!F226</f>
        <v>32.008000000000003</v>
      </c>
      <c r="G119" s="64">
        <f>'Exptl Setup'!$C$5</f>
        <v>1.2793390913194711</v>
      </c>
      <c r="H119" s="7">
        <f t="shared" si="122"/>
        <v>25.01916826991344</v>
      </c>
      <c r="I119" s="8">
        <f t="shared" si="123"/>
        <v>9.4411955735522408</v>
      </c>
      <c r="J119" s="8">
        <f t="shared" si="124"/>
        <v>6.988831730086563</v>
      </c>
      <c r="K119" s="8">
        <f>'Exptl Setup'!H226+'Exptl Setup'!I226+'Exptl Setup'!J226+5</f>
        <v>23.003024686832859</v>
      </c>
      <c r="L119" s="8">
        <f t="shared" si="125"/>
        <v>29.991856416919422</v>
      </c>
      <c r="M119" s="44">
        <v>300</v>
      </c>
      <c r="N119" s="85">
        <f t="shared" si="126"/>
        <v>260.56694800952835</v>
      </c>
      <c r="O119" s="193">
        <f>10^(-'Pre-DEA characterisation'!V120)</f>
        <v>2.7542287033381592E-5</v>
      </c>
      <c r="P119" s="66">
        <v>60</v>
      </c>
      <c r="Q119" s="30">
        <v>346.36399999999998</v>
      </c>
      <c r="R119" s="86">
        <f t="shared" si="93"/>
        <v>262.89027599999997</v>
      </c>
      <c r="S119" s="86">
        <f t="shared" si="94"/>
        <v>267.13779443906378</v>
      </c>
      <c r="T119" s="86">
        <f t="shared" si="95"/>
        <v>98.262968754721214</v>
      </c>
      <c r="U119" s="67">
        <f t="shared" si="96"/>
        <v>7185.465077148835</v>
      </c>
      <c r="V119" s="199">
        <f t="shared" si="81"/>
        <v>1959.6722937678642</v>
      </c>
      <c r="W119" s="66">
        <v>120</v>
      </c>
      <c r="X119" s="30">
        <v>406.625</v>
      </c>
      <c r="Y119" s="86">
        <f t="shared" si="97"/>
        <v>308.62837500000001</v>
      </c>
      <c r="Z119" s="86">
        <f t="shared" si="98"/>
        <v>313.61488394805559</v>
      </c>
      <c r="AA119" s="86">
        <f t="shared" si="99"/>
        <v>115.35892780395341</v>
      </c>
      <c r="AB119" s="67">
        <f t="shared" si="100"/>
        <v>8435.6045576204378</v>
      </c>
      <c r="AC119" s="199">
        <f t="shared" si="90"/>
        <v>2300.619424805574</v>
      </c>
      <c r="AD119" s="66">
        <v>180</v>
      </c>
      <c r="AE119" s="30">
        <v>491.488</v>
      </c>
      <c r="AF119" s="86">
        <f t="shared" si="101"/>
        <v>373.03939200000002</v>
      </c>
      <c r="AG119" s="86">
        <f t="shared" si="102"/>
        <v>379.06658981091158</v>
      </c>
      <c r="AH119" s="86">
        <f t="shared" si="103"/>
        <v>139.4344388773672</v>
      </c>
      <c r="AI119" s="67">
        <f t="shared" si="104"/>
        <v>10196.122749008922</v>
      </c>
      <c r="AJ119" s="199">
        <f t="shared" si="91"/>
        <v>2780.7607497297063</v>
      </c>
      <c r="AK119" s="3">
        <v>240</v>
      </c>
      <c r="AL119" s="30">
        <v>585.47400000000005</v>
      </c>
      <c r="AM119" s="86">
        <f t="shared" si="105"/>
        <v>444.37476600000002</v>
      </c>
      <c r="AN119" s="86">
        <f t="shared" si="106"/>
        <v>451.55452951639438</v>
      </c>
      <c r="AO119" s="86">
        <f t="shared" si="107"/>
        <v>166.09813193259592</v>
      </c>
      <c r="AP119" s="67">
        <f t="shared" si="108"/>
        <v>12145.901365553689</v>
      </c>
      <c r="AQ119" s="199">
        <f t="shared" si="92"/>
        <v>3312.5185542419149</v>
      </c>
      <c r="AR119" s="199">
        <f>(((AL119*$N119*10^-3)*$E$3*$E$4)/($E$5*$E$6*$H119))*1000*(12/44)+'post-DEA dissolved CO2'!N117</f>
        <v>7124.0590109788845</v>
      </c>
      <c r="AS119" s="87">
        <f t="shared" si="109"/>
        <v>1959.6722937678642</v>
      </c>
      <c r="AT119" s="87">
        <f t="shared" si="110"/>
        <v>2300.619424805574</v>
      </c>
      <c r="AU119" s="87">
        <f t="shared" si="111"/>
        <v>2780.7607497297063</v>
      </c>
      <c r="AV119" s="87">
        <f t="shared" si="112"/>
        <v>3312.5185542419149</v>
      </c>
      <c r="AW119" s="71">
        <f t="shared" si="113"/>
        <v>0.99087448143975099</v>
      </c>
      <c r="AX119" s="72">
        <f t="shared" si="114"/>
        <v>7.5644668439104752</v>
      </c>
      <c r="AY119" s="88">
        <f t="shared" si="115"/>
        <v>0.4538680106346285</v>
      </c>
      <c r="AZ119" s="88"/>
      <c r="BA119" s="3">
        <v>48</v>
      </c>
      <c r="BB119" s="3" t="s">
        <v>82</v>
      </c>
      <c r="BC119" s="111">
        <v>0</v>
      </c>
      <c r="BD119" s="75">
        <f t="shared" si="82"/>
        <v>7124.0590109788845</v>
      </c>
      <c r="BE119" s="160">
        <f t="shared" si="83"/>
        <v>0.46497629359007187</v>
      </c>
      <c r="BF119" s="3">
        <f t="shared" si="116"/>
        <v>4214.5638837569049</v>
      </c>
      <c r="BG119" s="3">
        <f t="shared" si="117"/>
        <v>4947.8209029594636</v>
      </c>
      <c r="BH119" s="3">
        <f t="shared" si="118"/>
        <v>5980.4355363141485</v>
      </c>
      <c r="BI119" s="3">
        <f t="shared" si="119"/>
        <v>7124.0590109788845</v>
      </c>
      <c r="BJ119" s="222">
        <v>3312.5185542419149</v>
      </c>
      <c r="BK119" s="71">
        <f t="shared" si="120"/>
        <v>0.99087448143975165</v>
      </c>
      <c r="BL119" s="72">
        <f t="shared" si="121"/>
        <v>16.268500025034374</v>
      </c>
      <c r="BM119" s="88">
        <f t="shared" si="84"/>
        <v>0.97611000150206251</v>
      </c>
      <c r="BN119" s="227">
        <v>0.4538680106346285</v>
      </c>
      <c r="BO119" s="234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</row>
    <row r="120" spans="1:382">
      <c r="A120" s="3">
        <f>'Exptl Setup'!A230</f>
        <v>223</v>
      </c>
      <c r="B120" s="3" t="str">
        <f>'Exptl Setup'!C230</f>
        <v>a</v>
      </c>
      <c r="C120" s="3">
        <f>'Exptl Setup'!D230</f>
        <v>48</v>
      </c>
      <c r="D120" s="3" t="str">
        <f>'Exptl Setup'!E230</f>
        <v>-</v>
      </c>
      <c r="E120" s="75">
        <f>'Exptl Setup'!K230</f>
        <v>5.9999953707848501</v>
      </c>
      <c r="F120" s="63">
        <f>'Exptl Setup'!F230</f>
        <v>31.997</v>
      </c>
      <c r="G120" s="64">
        <f>'Exptl Setup'!$C$5</f>
        <v>1.2793390913194711</v>
      </c>
      <c r="H120" s="7">
        <f t="shared" si="122"/>
        <v>25.010570080368041</v>
      </c>
      <c r="I120" s="8">
        <f t="shared" si="123"/>
        <v>9.4379509737237886</v>
      </c>
      <c r="J120" s="8">
        <f t="shared" si="124"/>
        <v>6.9864299196319593</v>
      </c>
      <c r="K120" s="8">
        <f>'Exptl Setup'!H230+'Exptl Setup'!I230+'Exptl Setup'!J230+5</f>
        <v>23.003024686832859</v>
      </c>
      <c r="L120" s="8">
        <f t="shared" si="125"/>
        <v>29.989454606464818</v>
      </c>
      <c r="M120" s="44">
        <v>300</v>
      </c>
      <c r="N120" s="85">
        <f t="shared" si="126"/>
        <v>260.57259441981137</v>
      </c>
      <c r="O120" s="193">
        <f>10^(-'Pre-DEA characterisation'!V121)</f>
        <v>1.8620871366628614E-7</v>
      </c>
      <c r="P120" s="66">
        <v>60</v>
      </c>
      <c r="Q120" s="30">
        <v>1760.0139999999999</v>
      </c>
      <c r="R120" s="86">
        <f t="shared" si="93"/>
        <v>1335.8506259999999</v>
      </c>
      <c r="S120" s="86">
        <f t="shared" si="94"/>
        <v>4529.0591533137949</v>
      </c>
      <c r="T120" s="86">
        <f t="shared" si="95"/>
        <v>594.43542808348798</v>
      </c>
      <c r="U120" s="67">
        <f t="shared" si="96"/>
        <v>43482.946409860757</v>
      </c>
      <c r="V120" s="199">
        <f t="shared" si="81"/>
        <v>11858.985384507479</v>
      </c>
      <c r="W120" s="66">
        <v>120</v>
      </c>
      <c r="X120" s="30">
        <v>1961.2529999999999</v>
      </c>
      <c r="Y120" s="86">
        <f t="shared" si="97"/>
        <v>1488.5910269999999</v>
      </c>
      <c r="Z120" s="86">
        <f t="shared" si="98"/>
        <v>5046.9092016393852</v>
      </c>
      <c r="AA120" s="86">
        <f t="shared" si="99"/>
        <v>662.40283692915227</v>
      </c>
      <c r="AB120" s="67">
        <f t="shared" si="100"/>
        <v>48454.761777564643</v>
      </c>
      <c r="AC120" s="199">
        <f t="shared" si="90"/>
        <v>13214.935030244902</v>
      </c>
      <c r="AD120" s="66">
        <v>180</v>
      </c>
      <c r="AE120" s="30">
        <v>2148.1179999999999</v>
      </c>
      <c r="AF120" s="86">
        <f t="shared" si="101"/>
        <v>1630.421562</v>
      </c>
      <c r="AG120" s="86">
        <f t="shared" si="102"/>
        <v>5527.7705122221323</v>
      </c>
      <c r="AH120" s="86">
        <f t="shared" si="103"/>
        <v>725.51550323113668</v>
      </c>
      <c r="AI120" s="67">
        <f t="shared" si="104"/>
        <v>53071.452770294592</v>
      </c>
      <c r="AJ120" s="199">
        <f t="shared" si="91"/>
        <v>14474.032573716708</v>
      </c>
      <c r="AK120" s="3">
        <v>240</v>
      </c>
      <c r="AL120" s="30">
        <v>2353.5039999999999</v>
      </c>
      <c r="AM120" s="86">
        <f t="shared" si="105"/>
        <v>1786.309536</v>
      </c>
      <c r="AN120" s="86">
        <f t="shared" si="106"/>
        <v>6056.2920712907007</v>
      </c>
      <c r="AO120" s="86">
        <f t="shared" si="107"/>
        <v>794.88353941286891</v>
      </c>
      <c r="AP120" s="67">
        <f t="shared" si="108"/>
        <v>58145.724015486769</v>
      </c>
      <c r="AQ120" s="199">
        <f t="shared" si="92"/>
        <v>15857.92473149639</v>
      </c>
      <c r="AR120" s="199">
        <f>(((AL120*$N120*10^-3)*$E$3*$E$4)/($E$5*$E$6*$H120))*1000*(12/44)+'post-DEA dissolved CO2'!N118</f>
        <v>21348.325435579543</v>
      </c>
      <c r="AS120" s="87">
        <f t="shared" si="109"/>
        <v>11858.985384507479</v>
      </c>
      <c r="AT120" s="87">
        <f t="shared" si="110"/>
        <v>13214.935030244902</v>
      </c>
      <c r="AU120" s="87">
        <f t="shared" si="111"/>
        <v>14474.032573716708</v>
      </c>
      <c r="AV120" s="87">
        <f t="shared" si="112"/>
        <v>15857.92473149639</v>
      </c>
      <c r="AW120" s="71">
        <f t="shared" si="113"/>
        <v>0.99969829615893024</v>
      </c>
      <c r="AX120" s="72">
        <f t="shared" si="114"/>
        <v>22.093192640730898</v>
      </c>
      <c r="AY120" s="88">
        <f t="shared" si="115"/>
        <v>1.325591558443854</v>
      </c>
      <c r="AZ120" s="88"/>
      <c r="BA120" s="3">
        <v>48</v>
      </c>
      <c r="BB120" s="3" t="s">
        <v>82</v>
      </c>
      <c r="BC120" s="111">
        <v>5.9999953707848501</v>
      </c>
      <c r="BD120" s="75">
        <f t="shared" si="82"/>
        <v>21348.325435579543</v>
      </c>
      <c r="BE120" s="160">
        <f t="shared" si="83"/>
        <v>0.74281820273674759</v>
      </c>
      <c r="BF120" s="3">
        <f t="shared" si="116"/>
        <v>15964.855654877196</v>
      </c>
      <c r="BG120" s="3">
        <f t="shared" si="117"/>
        <v>17790.268172693439</v>
      </c>
      <c r="BH120" s="3">
        <f t="shared" si="118"/>
        <v>19485.296025851778</v>
      </c>
      <c r="BI120" s="3">
        <f t="shared" si="119"/>
        <v>21348.325435579543</v>
      </c>
      <c r="BJ120" s="222">
        <v>15857.92473149639</v>
      </c>
      <c r="BK120" s="71">
        <f t="shared" si="120"/>
        <v>0.99969829615893024</v>
      </c>
      <c r="BL120" s="72">
        <f t="shared" si="121"/>
        <v>29.742395325442303</v>
      </c>
      <c r="BM120" s="88">
        <f t="shared" si="84"/>
        <v>1.7845437195265381</v>
      </c>
      <c r="BN120" s="227">
        <v>1.325591558443854</v>
      </c>
      <c r="BO120" s="234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</row>
    <row r="121" spans="1:382">
      <c r="A121" s="3">
        <f>'Exptl Setup'!A231</f>
        <v>224</v>
      </c>
      <c r="B121" s="3" t="str">
        <f>'Exptl Setup'!C231</f>
        <v>b</v>
      </c>
      <c r="C121" s="3">
        <f>'Exptl Setup'!D231</f>
        <v>48</v>
      </c>
      <c r="D121" s="3" t="str">
        <f>'Exptl Setup'!E231</f>
        <v>-</v>
      </c>
      <c r="E121" s="75">
        <f>'Exptl Setup'!K231</f>
        <v>5.9996203593550685</v>
      </c>
      <c r="F121" s="63">
        <f>'Exptl Setup'!F231</f>
        <v>31.998999999999999</v>
      </c>
      <c r="G121" s="64">
        <f>'Exptl Setup'!$C$5</f>
        <v>1.2793390913194711</v>
      </c>
      <c r="H121" s="7">
        <f t="shared" si="122"/>
        <v>25.012133387558112</v>
      </c>
      <c r="I121" s="8">
        <f t="shared" si="123"/>
        <v>9.4385409009653252</v>
      </c>
      <c r="J121" s="8">
        <f t="shared" si="124"/>
        <v>6.9868666124418866</v>
      </c>
      <c r="K121" s="8">
        <f>'Exptl Setup'!H231+'Exptl Setup'!I231+'Exptl Setup'!J231+5</f>
        <v>23.003024686832859</v>
      </c>
      <c r="L121" s="8">
        <f t="shared" si="125"/>
        <v>29.989891299274746</v>
      </c>
      <c r="M121" s="44">
        <v>300</v>
      </c>
      <c r="N121" s="85">
        <f t="shared" si="126"/>
        <v>260.57156779975992</v>
      </c>
      <c r="O121" s="193">
        <f>10^(-'Pre-DEA characterisation'!V122)</f>
        <v>1.8620871366628614E-7</v>
      </c>
      <c r="P121" s="66">
        <v>60</v>
      </c>
      <c r="Q121" s="3">
        <v>1267.6969999999999</v>
      </c>
      <c r="R121" s="86">
        <f t="shared" si="93"/>
        <v>962.18202299999996</v>
      </c>
      <c r="S121" s="86">
        <f t="shared" si="94"/>
        <v>3262.1755858069532</v>
      </c>
      <c r="T121" s="86">
        <f t="shared" si="95"/>
        <v>428.1580860025507</v>
      </c>
      <c r="U121" s="67">
        <f t="shared" si="96"/>
        <v>31317.802732267388</v>
      </c>
      <c r="V121" s="199">
        <f t="shared" si="81"/>
        <v>8541.2189269820155</v>
      </c>
      <c r="W121" s="66">
        <v>120</v>
      </c>
      <c r="X121" s="3">
        <v>1427.472</v>
      </c>
      <c r="Y121" s="86">
        <f t="shared" si="97"/>
        <v>1083.4512480000001</v>
      </c>
      <c r="Z121" s="86">
        <f t="shared" si="98"/>
        <v>3673.3259665543292</v>
      </c>
      <c r="AA121" s="86">
        <f t="shared" si="99"/>
        <v>482.12126347402659</v>
      </c>
      <c r="AB121" s="67">
        <f t="shared" si="100"/>
        <v>35264.961975799575</v>
      </c>
      <c r="AC121" s="199">
        <f t="shared" si="90"/>
        <v>9617.7169024907926</v>
      </c>
      <c r="AD121" s="66">
        <v>180</v>
      </c>
      <c r="AE121" s="3">
        <v>1613.508</v>
      </c>
      <c r="AF121" s="86">
        <f t="shared" si="101"/>
        <v>1224.652572</v>
      </c>
      <c r="AG121" s="86">
        <f t="shared" si="102"/>
        <v>4152.0540043119181</v>
      </c>
      <c r="AH121" s="86">
        <f t="shared" si="103"/>
        <v>544.95395747548787</v>
      </c>
      <c r="AI121" s="67">
        <f t="shared" si="104"/>
        <v>39860.885725007858</v>
      </c>
      <c r="AJ121" s="199">
        <f t="shared" si="91"/>
        <v>10871.15065227487</v>
      </c>
      <c r="AK121" s="3">
        <v>240</v>
      </c>
      <c r="AL121" s="3">
        <v>1794.0150000000001</v>
      </c>
      <c r="AM121" s="86">
        <f t="shared" si="105"/>
        <v>1361.657385</v>
      </c>
      <c r="AN121" s="86">
        <f t="shared" si="106"/>
        <v>4616.5542188484005</v>
      </c>
      <c r="AO121" s="86">
        <f t="shared" si="107"/>
        <v>605.9192604067581</v>
      </c>
      <c r="AP121" s="67">
        <f t="shared" si="108"/>
        <v>44320.218371368457</v>
      </c>
      <c r="AQ121" s="199">
        <f t="shared" si="92"/>
        <v>12087.33228310049</v>
      </c>
      <c r="AR121" s="199">
        <f>(((AL121*$N121*10^-3)*$E$3*$E$4)/($E$5*$E$6*$H121))*1000*(12/44)+'post-DEA dissolved CO2'!N119</f>
        <v>17859.916803409524</v>
      </c>
      <c r="AS121" s="87">
        <f t="shared" si="109"/>
        <v>8541.2189269820155</v>
      </c>
      <c r="AT121" s="87">
        <f t="shared" si="110"/>
        <v>9617.7169024907926</v>
      </c>
      <c r="AU121" s="87">
        <f t="shared" si="111"/>
        <v>10871.15065227487</v>
      </c>
      <c r="AV121" s="87">
        <f t="shared" si="112"/>
        <v>12087.33228310049</v>
      </c>
      <c r="AW121" s="71">
        <f t="shared" si="113"/>
        <v>0.99898674496292794</v>
      </c>
      <c r="AX121" s="72">
        <f t="shared" si="114"/>
        <v>19.819623030232499</v>
      </c>
      <c r="AY121" s="88">
        <f t="shared" si="115"/>
        <v>1.1891773818139499</v>
      </c>
      <c r="AZ121" s="88"/>
      <c r="BA121" s="3">
        <v>48</v>
      </c>
      <c r="BB121" s="3" t="s">
        <v>82</v>
      </c>
      <c r="BC121" s="111">
        <v>5.9996203593550685</v>
      </c>
      <c r="BD121" s="75">
        <f t="shared" si="82"/>
        <v>17859.916803409524</v>
      </c>
      <c r="BE121" s="160">
        <f t="shared" si="83"/>
        <v>0.67678547532724076</v>
      </c>
      <c r="BF121" s="3">
        <f t="shared" si="116"/>
        <v>12620.275166000198</v>
      </c>
      <c r="BG121" s="3">
        <f t="shared" si="117"/>
        <v>14210.87959643403</v>
      </c>
      <c r="BH121" s="3">
        <f t="shared" si="118"/>
        <v>16062.919564014621</v>
      </c>
      <c r="BI121" s="3">
        <f t="shared" si="119"/>
        <v>17859.916803409524</v>
      </c>
      <c r="BJ121" s="222">
        <v>12087.33228310049</v>
      </c>
      <c r="BK121" s="71">
        <f t="shared" si="120"/>
        <v>0.99898674496292816</v>
      </c>
      <c r="BL121" s="72">
        <f t="shared" si="121"/>
        <v>29.284941466347618</v>
      </c>
      <c r="BM121" s="88">
        <f t="shared" si="84"/>
        <v>1.757096487980857</v>
      </c>
      <c r="BN121" s="227">
        <v>1.1891773818139499</v>
      </c>
      <c r="BO121" s="234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</row>
    <row r="122" spans="1:382">
      <c r="A122" s="3">
        <f>'Exptl Setup'!A232</f>
        <v>225</v>
      </c>
      <c r="B122" s="3" t="str">
        <f>'Exptl Setup'!C232</f>
        <v>c</v>
      </c>
      <c r="C122" s="3">
        <f>'Exptl Setup'!D232</f>
        <v>48</v>
      </c>
      <c r="D122" s="3" t="str">
        <f>'Exptl Setup'!E232</f>
        <v>-</v>
      </c>
      <c r="E122" s="75">
        <f>'Exptl Setup'!K232</f>
        <v>5.997558634145669</v>
      </c>
      <c r="F122" s="63">
        <f>'Exptl Setup'!F232</f>
        <v>32.01</v>
      </c>
      <c r="G122" s="64">
        <f>'Exptl Setup'!$C$5</f>
        <v>1.2793390913194711</v>
      </c>
      <c r="H122" s="7">
        <f t="shared" si="122"/>
        <v>25.020731577103508</v>
      </c>
      <c r="I122" s="8">
        <f t="shared" si="123"/>
        <v>9.4417855007937774</v>
      </c>
      <c r="J122" s="8">
        <f t="shared" si="124"/>
        <v>6.9892684228964903</v>
      </c>
      <c r="K122" s="8">
        <f>'Exptl Setup'!H232+'Exptl Setup'!I232+'Exptl Setup'!J232+5</f>
        <v>23.003024686832859</v>
      </c>
      <c r="L122" s="8">
        <f t="shared" si="125"/>
        <v>29.992293109729349</v>
      </c>
      <c r="M122" s="44">
        <v>300</v>
      </c>
      <c r="N122" s="85">
        <f t="shared" si="126"/>
        <v>260.5659213894769</v>
      </c>
      <c r="O122" s="193">
        <f>10^(-'Pre-DEA characterisation'!V123)</f>
        <v>1.8620871366628614E-7</v>
      </c>
      <c r="P122" s="66">
        <v>60</v>
      </c>
      <c r="Q122" s="3">
        <v>1753.1030000000001</v>
      </c>
      <c r="R122" s="86">
        <f t="shared" si="93"/>
        <v>1330.6051770000001</v>
      </c>
      <c r="S122" s="86">
        <f t="shared" si="94"/>
        <v>4511.2750176145619</v>
      </c>
      <c r="T122" s="86">
        <f t="shared" si="95"/>
        <v>592.10238111255148</v>
      </c>
      <c r="U122" s="67">
        <f t="shared" si="96"/>
        <v>43294.693925686079</v>
      </c>
      <c r="V122" s="199">
        <f t="shared" si="81"/>
        <v>11807.643797914385</v>
      </c>
      <c r="W122" s="66">
        <v>120</v>
      </c>
      <c r="X122" s="3">
        <v>1916.472</v>
      </c>
      <c r="Y122" s="86">
        <f t="shared" si="97"/>
        <v>1454.6022479999999</v>
      </c>
      <c r="Z122" s="86">
        <f t="shared" si="98"/>
        <v>4931.6738694519454</v>
      </c>
      <c r="AA122" s="86">
        <f t="shared" si="99"/>
        <v>647.27950071132943</v>
      </c>
      <c r="AB122" s="67">
        <f t="shared" si="100"/>
        <v>47329.260549521299</v>
      </c>
      <c r="AC122" s="199">
        <f t="shared" si="90"/>
        <v>12907.980149869445</v>
      </c>
      <c r="AD122" s="66">
        <v>180</v>
      </c>
      <c r="AE122" s="3">
        <v>2132.6379999999999</v>
      </c>
      <c r="AF122" s="86">
        <f t="shared" si="101"/>
        <v>1618.6722419999999</v>
      </c>
      <c r="AG122" s="86">
        <f t="shared" si="102"/>
        <v>5487.9356951733489</v>
      </c>
      <c r="AH122" s="86">
        <f t="shared" si="103"/>
        <v>720.28856139719664</v>
      </c>
      <c r="AI122" s="67">
        <f t="shared" si="104"/>
        <v>52667.703759726217</v>
      </c>
      <c r="AJ122" s="199">
        <f t="shared" si="91"/>
        <v>14363.919207198058</v>
      </c>
      <c r="AK122" s="3">
        <v>240</v>
      </c>
      <c r="AL122" s="3">
        <v>2291.308</v>
      </c>
      <c r="AM122" s="86">
        <f t="shared" si="105"/>
        <v>1739.102772</v>
      </c>
      <c r="AN122" s="86">
        <f t="shared" si="106"/>
        <v>5896.2425699233791</v>
      </c>
      <c r="AO122" s="86">
        <f t="shared" si="107"/>
        <v>773.87861561028535</v>
      </c>
      <c r="AP122" s="67">
        <f t="shared" si="108"/>
        <v>56586.22371274016</v>
      </c>
      <c r="AQ122" s="199">
        <f t="shared" si="92"/>
        <v>15432.606467110951</v>
      </c>
      <c r="AR122" s="199">
        <f>(((AL122*$N122*10^-3)*$E$3*$E$4)/($E$5*$E$6*$H122))*1000*(12/44)+'post-DEA dissolved CO2'!N120</f>
        <v>20966.181104702518</v>
      </c>
      <c r="AS122" s="87">
        <f t="shared" si="109"/>
        <v>11807.643797914385</v>
      </c>
      <c r="AT122" s="87">
        <f t="shared" si="110"/>
        <v>12907.980149869445</v>
      </c>
      <c r="AU122" s="87">
        <f t="shared" si="111"/>
        <v>14363.919207198058</v>
      </c>
      <c r="AV122" s="87">
        <f t="shared" si="112"/>
        <v>15432.606467110951</v>
      </c>
      <c r="AW122" s="71">
        <f t="shared" si="113"/>
        <v>0.99635112225817413</v>
      </c>
      <c r="AX122" s="72">
        <f t="shared" si="114"/>
        <v>20.55137844153052</v>
      </c>
      <c r="AY122" s="88">
        <f t="shared" si="115"/>
        <v>1.2330827064918313</v>
      </c>
      <c r="AZ122" s="88"/>
      <c r="BA122" s="3">
        <v>48</v>
      </c>
      <c r="BB122" s="3" t="s">
        <v>82</v>
      </c>
      <c r="BC122" s="111">
        <v>5.997558634145669</v>
      </c>
      <c r="BD122" s="75">
        <f t="shared" si="82"/>
        <v>20966.181104702518</v>
      </c>
      <c r="BE122" s="160">
        <f t="shared" si="83"/>
        <v>0.73607140900111567</v>
      </c>
      <c r="BF122" s="3">
        <f t="shared" si="116"/>
        <v>16041.437900621524</v>
      </c>
      <c r="BG122" s="3">
        <f t="shared" si="117"/>
        <v>17536.315080334658</v>
      </c>
      <c r="BH122" s="3">
        <f t="shared" si="118"/>
        <v>19514.301237009855</v>
      </c>
      <c r="BI122" s="3">
        <f t="shared" si="119"/>
        <v>20966.181104702518</v>
      </c>
      <c r="BJ122" s="222">
        <v>15432.606467110951</v>
      </c>
      <c r="BK122" s="71">
        <f t="shared" si="120"/>
        <v>0.99635112225817413</v>
      </c>
      <c r="BL122" s="72">
        <f t="shared" si="121"/>
        <v>27.920359614863635</v>
      </c>
      <c r="BM122" s="88">
        <f t="shared" si="84"/>
        <v>1.6752215768918182</v>
      </c>
      <c r="BN122" s="227">
        <v>1.2330827064918313</v>
      </c>
      <c r="BO122" s="234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</row>
    <row r="123" spans="1:382">
      <c r="A123" s="3">
        <f>'Exptl Setup'!A236</f>
        <v>229</v>
      </c>
      <c r="B123" s="3" t="str">
        <f>'Exptl Setup'!C236</f>
        <v>a</v>
      </c>
      <c r="C123" s="3">
        <f>'Exptl Setup'!D236</f>
        <v>48</v>
      </c>
      <c r="D123" s="3" t="str">
        <f>'Exptl Setup'!E236</f>
        <v>-</v>
      </c>
      <c r="E123" s="75">
        <f>'Exptl Setup'!K236</f>
        <v>16.001487935571493</v>
      </c>
      <c r="F123" s="63">
        <f>'Exptl Setup'!F236</f>
        <v>31.994</v>
      </c>
      <c r="G123" s="64">
        <f>'Exptl Setup'!$C$5</f>
        <v>1.2793390913194711</v>
      </c>
      <c r="H123" s="7">
        <f t="shared" si="122"/>
        <v>25.008225119582931</v>
      </c>
      <c r="I123" s="8">
        <f t="shared" si="123"/>
        <v>9.4370660828614845</v>
      </c>
      <c r="J123" s="8">
        <f t="shared" si="124"/>
        <v>6.9857748804170683</v>
      </c>
      <c r="K123" s="8">
        <f>'Exptl Setup'!H236+'Exptl Setup'!I236+'Exptl Setup'!J236+5</f>
        <v>23.003024686832862</v>
      </c>
      <c r="L123" s="8">
        <f t="shared" si="125"/>
        <v>29.988799567249931</v>
      </c>
      <c r="M123" s="44">
        <v>300</v>
      </c>
      <c r="N123" s="85">
        <f t="shared" si="126"/>
        <v>260.5741343498886</v>
      </c>
      <c r="O123" s="193">
        <f>10^(-'Pre-DEA characterisation'!V124)</f>
        <v>4.2169650342858152E-9</v>
      </c>
      <c r="P123" s="66">
        <v>60</v>
      </c>
      <c r="Q123" s="3">
        <v>2208.9319999999998</v>
      </c>
      <c r="R123" s="86">
        <f t="shared" si="93"/>
        <v>1676.5793879999999</v>
      </c>
      <c r="S123" s="86">
        <f t="shared" si="94"/>
        <v>180567.20502628337</v>
      </c>
      <c r="T123" s="86">
        <f t="shared" si="95"/>
        <v>5990.584263689504</v>
      </c>
      <c r="U123" s="67">
        <f t="shared" si="96"/>
        <v>438252.27694670728</v>
      </c>
      <c r="V123" s="199">
        <f t="shared" si="81"/>
        <v>119523.3482581929</v>
      </c>
      <c r="W123" s="66">
        <v>120</v>
      </c>
      <c r="X123" s="3">
        <v>2370.9189999999999</v>
      </c>
      <c r="Y123" s="86">
        <f t="shared" si="97"/>
        <v>1799.527521</v>
      </c>
      <c r="Z123" s="86">
        <f t="shared" si="98"/>
        <v>193808.68997946102</v>
      </c>
      <c r="AA123" s="86">
        <f t="shared" si="99"/>
        <v>6429.8901242240399</v>
      </c>
      <c r="AB123" s="67">
        <f t="shared" si="100"/>
        <v>470390.51007736335</v>
      </c>
      <c r="AC123" s="199">
        <f t="shared" si="90"/>
        <v>128288.32093019001</v>
      </c>
      <c r="AD123" s="66">
        <v>180</v>
      </c>
      <c r="AE123" s="3">
        <v>2497.5230000000001</v>
      </c>
      <c r="AF123" s="86">
        <f t="shared" si="101"/>
        <v>1895.6199570000001</v>
      </c>
      <c r="AG123" s="86">
        <f t="shared" si="102"/>
        <v>204157.82269388935</v>
      </c>
      <c r="AH123" s="86">
        <f t="shared" si="103"/>
        <v>6773.237918597134</v>
      </c>
      <c r="AI123" s="67">
        <f t="shared" si="104"/>
        <v>495508.75331462052</v>
      </c>
      <c r="AJ123" s="199">
        <f t="shared" si="91"/>
        <v>135138.75090398741</v>
      </c>
      <c r="AK123" s="3">
        <v>240</v>
      </c>
      <c r="AL123" s="3">
        <v>2587.6379999999999</v>
      </c>
      <c r="AM123" s="86">
        <f t="shared" si="105"/>
        <v>1964.0172419999999</v>
      </c>
      <c r="AN123" s="86">
        <f t="shared" si="106"/>
        <v>211524.19417157336</v>
      </c>
      <c r="AO123" s="86">
        <f t="shared" si="107"/>
        <v>7017.6281944962466</v>
      </c>
      <c r="AP123" s="67">
        <f t="shared" si="108"/>
        <v>513387.5761742887</v>
      </c>
      <c r="AQ123" s="199">
        <f t="shared" si="92"/>
        <v>140014.79350207874</v>
      </c>
      <c r="AR123" s="199">
        <f>(((AL123*$N123*10^-3)*$E$3*$E$4)/($E$5*$E$6*$H123))*1000*(12/44)+'post-DEA dissolved CO2'!N121</f>
        <v>122594.00756189563</v>
      </c>
      <c r="AS123" s="87">
        <f t="shared" si="109"/>
        <v>119523.3482581929</v>
      </c>
      <c r="AT123" s="87">
        <f t="shared" si="110"/>
        <v>128288.32093019001</v>
      </c>
      <c r="AU123" s="87">
        <f t="shared" si="111"/>
        <v>135138.75090398741</v>
      </c>
      <c r="AV123" s="87">
        <f t="shared" si="112"/>
        <v>140014.79350207874</v>
      </c>
      <c r="AW123" s="71">
        <f t="shared" si="113"/>
        <v>0.98405899585962586</v>
      </c>
      <c r="AX123" s="72">
        <f t="shared" si="114"/>
        <v>113.87460950909156</v>
      </c>
      <c r="AY123" s="88">
        <f t="shared" si="115"/>
        <v>6.8324765705454942</v>
      </c>
      <c r="AZ123" s="88"/>
      <c r="BA123" s="3">
        <v>48</v>
      </c>
      <c r="BB123" s="3" t="s">
        <v>82</v>
      </c>
      <c r="BC123" s="111">
        <v>16.001487935571493</v>
      </c>
      <c r="BD123" s="75">
        <f t="shared" si="82"/>
        <v>122594.00756189563</v>
      </c>
      <c r="BE123" s="160">
        <f t="shared" si="83"/>
        <v>0.87557896201929208</v>
      </c>
      <c r="BF123" s="3">
        <f t="shared" si="116"/>
        <v>104652.1292049789</v>
      </c>
      <c r="BG123" s="3">
        <f t="shared" si="117"/>
        <v>112326.55487925358</v>
      </c>
      <c r="BH123" s="3">
        <f t="shared" si="118"/>
        <v>118324.64724509697</v>
      </c>
      <c r="BI123" s="3">
        <f t="shared" si="119"/>
        <v>122594.00756189563</v>
      </c>
      <c r="BJ123" s="222">
        <v>140014.79350207874</v>
      </c>
      <c r="BK123" s="71">
        <f t="shared" si="120"/>
        <v>0.98405899585962608</v>
      </c>
      <c r="BL123" s="72">
        <f t="shared" si="121"/>
        <v>99.706212394322634</v>
      </c>
      <c r="BM123" s="88">
        <f t="shared" si="84"/>
        <v>5.9823727436593579</v>
      </c>
      <c r="BN123" s="227">
        <v>6.8324765705454942</v>
      </c>
      <c r="BO123" s="234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</row>
    <row r="124" spans="1:382">
      <c r="A124" s="3">
        <f>'Exptl Setup'!A237</f>
        <v>230</v>
      </c>
      <c r="B124" s="3" t="str">
        <f>'Exptl Setup'!C237</f>
        <v>b</v>
      </c>
      <c r="C124" s="3">
        <f>'Exptl Setup'!D237</f>
        <v>48</v>
      </c>
      <c r="D124" s="3" t="str">
        <f>'Exptl Setup'!E237</f>
        <v>-</v>
      </c>
      <c r="E124" s="75">
        <f>'Exptl Setup'!K237</f>
        <v>16.000487717548268</v>
      </c>
      <c r="F124" s="63">
        <f>'Exptl Setup'!F237</f>
        <v>31.995999999999999</v>
      </c>
      <c r="G124" s="64">
        <f>'Exptl Setup'!$C$5</f>
        <v>1.2793390913194711</v>
      </c>
      <c r="H124" s="7">
        <f t="shared" si="122"/>
        <v>25.009788426773003</v>
      </c>
      <c r="I124" s="8">
        <f t="shared" si="123"/>
        <v>9.4376560101030211</v>
      </c>
      <c r="J124" s="8">
        <f t="shared" si="124"/>
        <v>6.9862115732269956</v>
      </c>
      <c r="K124" s="8">
        <f>'Exptl Setup'!H237+'Exptl Setup'!I237+'Exptl Setup'!J237+5</f>
        <v>23.003024686832862</v>
      </c>
      <c r="L124" s="8">
        <f t="shared" si="125"/>
        <v>29.989236260059858</v>
      </c>
      <c r="M124" s="44">
        <v>300</v>
      </c>
      <c r="N124" s="85">
        <f t="shared" si="126"/>
        <v>260.57310772983715</v>
      </c>
      <c r="O124" s="193">
        <f>10^(-'Pre-DEA characterisation'!V125)</f>
        <v>4.2169650342858152E-9</v>
      </c>
      <c r="P124" s="66">
        <v>60</v>
      </c>
      <c r="Q124" s="3">
        <v>1570.385</v>
      </c>
      <c r="R124" s="86">
        <f t="shared" si="93"/>
        <v>1191.9222150000001</v>
      </c>
      <c r="S124" s="86">
        <f t="shared" si="94"/>
        <v>128369.7416965303</v>
      </c>
      <c r="T124" s="86">
        <f t="shared" si="95"/>
        <v>4258.9106121624254</v>
      </c>
      <c r="U124" s="67">
        <f t="shared" si="96"/>
        <v>311549.01116940001</v>
      </c>
      <c r="V124" s="199">
        <f t="shared" si="81"/>
        <v>84967.912137109088</v>
      </c>
      <c r="W124" s="66">
        <v>120</v>
      </c>
      <c r="X124" s="3">
        <v>1728.501</v>
      </c>
      <c r="Y124" s="86">
        <f t="shared" si="97"/>
        <v>1311.9322589999999</v>
      </c>
      <c r="Z124" s="86">
        <f t="shared" si="98"/>
        <v>141294.79515672545</v>
      </c>
      <c r="AA124" s="86">
        <f t="shared" si="99"/>
        <v>4687.7238715559324</v>
      </c>
      <c r="AB124" s="67">
        <f t="shared" si="100"/>
        <v>342917.67773846473</v>
      </c>
      <c r="AC124" s="199">
        <f t="shared" si="90"/>
        <v>93523.003019581301</v>
      </c>
      <c r="AD124" s="66">
        <v>180</v>
      </c>
      <c r="AE124" s="3">
        <v>1733.7539999999999</v>
      </c>
      <c r="AF124" s="86">
        <f t="shared" si="101"/>
        <v>1315.9192859999998</v>
      </c>
      <c r="AG124" s="86">
        <f t="shared" si="102"/>
        <v>141724.19702514107</v>
      </c>
      <c r="AH124" s="86">
        <f t="shared" si="103"/>
        <v>4701.9700961732642</v>
      </c>
      <c r="AI124" s="67">
        <f t="shared" si="104"/>
        <v>343959.82151573768</v>
      </c>
      <c r="AJ124" s="199">
        <f t="shared" si="91"/>
        <v>93807.224049746641</v>
      </c>
      <c r="AK124" s="3">
        <v>240</v>
      </c>
      <c r="AL124" s="3">
        <v>1925.0409999999999</v>
      </c>
      <c r="AM124" s="86">
        <f t="shared" si="105"/>
        <v>1461.106119</v>
      </c>
      <c r="AN124" s="86">
        <f t="shared" si="106"/>
        <v>157360.78472809558</v>
      </c>
      <c r="AO124" s="86">
        <f t="shared" si="107"/>
        <v>5220.7436671566311</v>
      </c>
      <c r="AP124" s="67">
        <f t="shared" si="108"/>
        <v>381909.28976687422</v>
      </c>
      <c r="AQ124" s="199">
        <f t="shared" si="92"/>
        <v>104157.07902732934</v>
      </c>
      <c r="AR124" s="199">
        <f>(((AL124*$N124*10^-3)*$E$3*$E$4)/($E$5*$E$6*$H124))*1000*(12/44)+'post-DEA dissolved CO2'!N122</f>
        <v>112850.33335249028</v>
      </c>
      <c r="AS124" s="87">
        <f t="shared" si="109"/>
        <v>84967.912137109088</v>
      </c>
      <c r="AT124" s="87">
        <f t="shared" si="110"/>
        <v>93523.003019581301</v>
      </c>
      <c r="AU124" s="87">
        <f t="shared" si="111"/>
        <v>93807.224049746641</v>
      </c>
      <c r="AV124" s="87">
        <f t="shared" si="112"/>
        <v>104157.07902732934</v>
      </c>
      <c r="AW124" s="71">
        <f t="shared" si="113"/>
        <v>0.90475304073266605</v>
      </c>
      <c r="AX124" s="72">
        <f t="shared" si="114"/>
        <v>96.419536168043493</v>
      </c>
      <c r="AY124" s="88">
        <f t="shared" si="115"/>
        <v>5.7851721700826095</v>
      </c>
      <c r="AZ124" s="88"/>
      <c r="BA124" s="3">
        <v>48</v>
      </c>
      <c r="BB124" s="3" t="s">
        <v>82</v>
      </c>
      <c r="BC124" s="111">
        <v>16.000487717548268</v>
      </c>
      <c r="BD124" s="75">
        <f t="shared" si="82"/>
        <v>112850.33335249028</v>
      </c>
      <c r="BE124" s="160">
        <f t="shared" si="83"/>
        <v>0.92296651620861947</v>
      </c>
      <c r="BF124" s="3">
        <f t="shared" si="116"/>
        <v>92059.582492918591</v>
      </c>
      <c r="BG124" s="3">
        <f t="shared" si="117"/>
        <v>101328.70627176919</v>
      </c>
      <c r="BH124" s="3">
        <f t="shared" si="118"/>
        <v>101636.64922004956</v>
      </c>
      <c r="BI124" s="3">
        <f t="shared" si="119"/>
        <v>112850.33335249028</v>
      </c>
      <c r="BJ124" s="222">
        <v>104157.07902732934</v>
      </c>
      <c r="BK124" s="71">
        <f t="shared" si="120"/>
        <v>0.90475304073266627</v>
      </c>
      <c r="BL124" s="72">
        <f t="shared" si="121"/>
        <v>104.46699254499241</v>
      </c>
      <c r="BM124" s="88">
        <f t="shared" si="84"/>
        <v>6.2680195526995446</v>
      </c>
      <c r="BN124" s="227">
        <v>5.7851721700826095</v>
      </c>
      <c r="BO124" s="23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</row>
    <row r="125" spans="1:382">
      <c r="A125" s="3">
        <f>'Exptl Setup'!A238</f>
        <v>231</v>
      </c>
      <c r="B125" s="3" t="str">
        <f>'Exptl Setup'!C238</f>
        <v>c</v>
      </c>
      <c r="C125" s="3">
        <f>'Exptl Setup'!D238</f>
        <v>48</v>
      </c>
      <c r="D125" s="3" t="str">
        <f>'Exptl Setup'!E238</f>
        <v>-</v>
      </c>
      <c r="E125" s="75">
        <f>'Exptl Setup'!K238</f>
        <v>15.999987655426267</v>
      </c>
      <c r="F125" s="63">
        <f>'Exptl Setup'!F238</f>
        <v>31.997</v>
      </c>
      <c r="G125" s="64">
        <f>'Exptl Setup'!$C$5</f>
        <v>1.2793390913194711</v>
      </c>
      <c r="H125" s="7">
        <f t="shared" si="122"/>
        <v>25.010570080368041</v>
      </c>
      <c r="I125" s="8">
        <f t="shared" si="123"/>
        <v>9.4379509737237886</v>
      </c>
      <c r="J125" s="8">
        <f t="shared" si="124"/>
        <v>6.9864299196319593</v>
      </c>
      <c r="K125" s="8">
        <f>'Exptl Setup'!H238+'Exptl Setup'!I238+'Exptl Setup'!J238+5</f>
        <v>23.003024686832862</v>
      </c>
      <c r="L125" s="8">
        <f t="shared" si="125"/>
        <v>29.989454606464822</v>
      </c>
      <c r="M125" s="44">
        <v>300</v>
      </c>
      <c r="N125" s="85">
        <f t="shared" si="126"/>
        <v>260.57259441981137</v>
      </c>
      <c r="O125" s="193">
        <f>10^(-'Pre-DEA characterisation'!V126)</f>
        <v>4.2169650342858152E-9</v>
      </c>
      <c r="P125" s="66">
        <v>60</v>
      </c>
      <c r="Q125" s="3">
        <v>2181.29</v>
      </c>
      <c r="R125" s="86">
        <f t="shared" si="93"/>
        <v>1655.5991099999999</v>
      </c>
      <c r="S125" s="86">
        <f t="shared" si="94"/>
        <v>178307.63402937783</v>
      </c>
      <c r="T125" s="86">
        <f t="shared" si="95"/>
        <v>5915.7330911921581</v>
      </c>
      <c r="U125" s="67">
        <f t="shared" si="96"/>
        <v>432735.82432442158</v>
      </c>
      <c r="V125" s="199">
        <f t="shared" si="81"/>
        <v>118018.86117938771</v>
      </c>
      <c r="W125" s="66">
        <v>120</v>
      </c>
      <c r="X125" s="3">
        <v>2334.7069999999999</v>
      </c>
      <c r="Y125" s="86">
        <f t="shared" si="97"/>
        <v>1772.0426129999998</v>
      </c>
      <c r="Z125" s="86">
        <f t="shared" si="98"/>
        <v>190848.57186427602</v>
      </c>
      <c r="AA125" s="86">
        <f t="shared" si="99"/>
        <v>6331.8052428324399</v>
      </c>
      <c r="AB125" s="67">
        <f t="shared" si="100"/>
        <v>463171.49860907876</v>
      </c>
      <c r="AC125" s="199">
        <f t="shared" si="90"/>
        <v>126319.49962065784</v>
      </c>
      <c r="AD125" s="66">
        <v>180</v>
      </c>
      <c r="AE125" s="3">
        <v>2455.7820000000002</v>
      </c>
      <c r="AF125" s="86">
        <f t="shared" si="101"/>
        <v>1863.9385380000001</v>
      </c>
      <c r="AG125" s="86">
        <f t="shared" si="102"/>
        <v>200745.74133285059</v>
      </c>
      <c r="AH125" s="86">
        <f t="shared" si="103"/>
        <v>6660.1647842121256</v>
      </c>
      <c r="AI125" s="67">
        <f t="shared" si="104"/>
        <v>487190.99621374375</v>
      </c>
      <c r="AJ125" s="199">
        <f t="shared" si="91"/>
        <v>132870.27169465739</v>
      </c>
      <c r="AK125" s="3">
        <v>240</v>
      </c>
      <c r="AL125" s="3">
        <v>2569.1170000000002</v>
      </c>
      <c r="AM125" s="86">
        <f t="shared" si="105"/>
        <v>1949.9598030000002</v>
      </c>
      <c r="AN125" s="86">
        <f t="shared" si="106"/>
        <v>210010.2113037025</v>
      </c>
      <c r="AO125" s="86">
        <f t="shared" si="107"/>
        <v>6967.5331808445135</v>
      </c>
      <c r="AP125" s="67">
        <f t="shared" si="108"/>
        <v>509674.99176216143</v>
      </c>
      <c r="AQ125" s="199">
        <f t="shared" si="92"/>
        <v>139002.27048058948</v>
      </c>
      <c r="AR125" s="199">
        <f>(((AL125*$N125*10^-3)*$E$3*$E$4)/($E$5*$E$6*$H125))*1000*(12/44)+'post-DEA dissolved CO2'!N123</f>
        <v>123910.161392799</v>
      </c>
      <c r="AS125" s="87">
        <f t="shared" si="109"/>
        <v>118018.86117938771</v>
      </c>
      <c r="AT125" s="87">
        <f t="shared" si="110"/>
        <v>126319.49962065784</v>
      </c>
      <c r="AU125" s="87">
        <f t="shared" si="111"/>
        <v>132870.27169465739</v>
      </c>
      <c r="AV125" s="87">
        <f t="shared" si="112"/>
        <v>139002.27048058948</v>
      </c>
      <c r="AW125" s="71">
        <f t="shared" si="113"/>
        <v>0.99479232147716024</v>
      </c>
      <c r="AX125" s="72">
        <f t="shared" si="114"/>
        <v>115.83499996267477</v>
      </c>
      <c r="AY125" s="88">
        <f t="shared" si="115"/>
        <v>6.9500999977604865</v>
      </c>
      <c r="AZ125" s="88"/>
      <c r="BA125" s="3">
        <v>48</v>
      </c>
      <c r="BB125" s="3" t="s">
        <v>82</v>
      </c>
      <c r="BC125" s="111">
        <v>15.999987655426267</v>
      </c>
      <c r="BD125" s="75">
        <f t="shared" si="82"/>
        <v>123910.161392799</v>
      </c>
      <c r="BE125" s="160">
        <f t="shared" si="83"/>
        <v>0.89142544912676103</v>
      </c>
      <c r="BF125" s="3">
        <f t="shared" si="116"/>
        <v>105205.01633226455</v>
      </c>
      <c r="BG125" s="3">
        <f t="shared" si="117"/>
        <v>112604.41668281263</v>
      </c>
      <c r="BH125" s="3">
        <f t="shared" si="118"/>
        <v>118443.94162100473</v>
      </c>
      <c r="BI125" s="3">
        <f t="shared" si="119"/>
        <v>123910.161392799</v>
      </c>
      <c r="BJ125" s="222">
        <v>139002.27048058948</v>
      </c>
      <c r="BK125" s="71">
        <f t="shared" si="120"/>
        <v>0.99479232147716001</v>
      </c>
      <c r="BL125" s="72">
        <f t="shared" si="121"/>
        <v>103.25826686632573</v>
      </c>
      <c r="BM125" s="88">
        <f t="shared" si="84"/>
        <v>6.195496011979543</v>
      </c>
      <c r="BN125" s="227">
        <v>6.9500999977604865</v>
      </c>
      <c r="BO125" s="234"/>
      <c r="BR125" s="231"/>
      <c r="BS125" s="231"/>
      <c r="BT125" s="231"/>
      <c r="BU125" s="231"/>
      <c r="BV125" s="231"/>
      <c r="BW125" s="231"/>
      <c r="BX125" s="231"/>
      <c r="BY125" s="231"/>
      <c r="BZ125" s="231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</row>
    <row r="126" spans="1:382">
      <c r="A126" s="3">
        <f>'Exptl Setup'!A242</f>
        <v>235</v>
      </c>
      <c r="B126" s="3" t="str">
        <f>'Exptl Setup'!C242</f>
        <v>a</v>
      </c>
      <c r="C126" s="3">
        <f>'Exptl Setup'!D242</f>
        <v>48</v>
      </c>
      <c r="D126" s="3" t="str">
        <f>'Exptl Setup'!E242</f>
        <v>-</v>
      </c>
      <c r="E126" s="75">
        <f>'Exptl Setup'!K242</f>
        <v>19.996234923705366</v>
      </c>
      <c r="F126" s="63">
        <f>'Exptl Setup'!F242</f>
        <v>32.003</v>
      </c>
      <c r="G126" s="64">
        <f>'Exptl Setup'!$C$5</f>
        <v>1.2793390913194711</v>
      </c>
      <c r="H126" s="7">
        <f t="shared" si="122"/>
        <v>25.015260001938255</v>
      </c>
      <c r="I126" s="8">
        <f t="shared" si="123"/>
        <v>9.4397207554483984</v>
      </c>
      <c r="J126" s="8">
        <f t="shared" si="124"/>
        <v>6.9877399980617447</v>
      </c>
      <c r="K126" s="8">
        <f>'Exptl Setup'!H242+'Exptl Setup'!I242+'Exptl Setup'!J242+5</f>
        <v>23.003024686832859</v>
      </c>
      <c r="L126" s="8">
        <f t="shared" si="125"/>
        <v>29.990764684894604</v>
      </c>
      <c r="M126" s="44">
        <v>300</v>
      </c>
      <c r="N126" s="85">
        <f t="shared" si="126"/>
        <v>260.56951455965702</v>
      </c>
      <c r="O126" s="193">
        <f>10^(-'Pre-DEA characterisation'!V127)</f>
        <v>1.9054607179632436E-9</v>
      </c>
      <c r="P126" s="66">
        <v>60</v>
      </c>
      <c r="Q126" s="3">
        <v>323.42</v>
      </c>
      <c r="R126" s="86">
        <f t="shared" si="93"/>
        <v>245.47578000000001</v>
      </c>
      <c r="S126" s="86">
        <f t="shared" si="94"/>
        <v>58984.769544848714</v>
      </c>
      <c r="T126" s="86">
        <f t="shared" si="95"/>
        <v>1853.2717358111797</v>
      </c>
      <c r="U126" s="67">
        <f t="shared" si="96"/>
        <v>135541.39501021543</v>
      </c>
      <c r="V126" s="199">
        <f t="shared" si="81"/>
        <v>36965.835002786022</v>
      </c>
      <c r="W126" s="66">
        <v>120</v>
      </c>
      <c r="X126" s="3">
        <v>330.33100000000002</v>
      </c>
      <c r="Y126" s="86">
        <f t="shared" si="97"/>
        <v>250.72122900000002</v>
      </c>
      <c r="Z126" s="86">
        <f t="shared" si="98"/>
        <v>60245.185543625688</v>
      </c>
      <c r="AA126" s="86">
        <f t="shared" si="99"/>
        <v>1892.8733713506983</v>
      </c>
      <c r="AB126" s="67">
        <f t="shared" si="100"/>
        <v>138437.71119633751</v>
      </c>
      <c r="AC126" s="199">
        <f t="shared" si="90"/>
        <v>37755.739417182958</v>
      </c>
      <c r="AD126" s="66">
        <v>180</v>
      </c>
      <c r="AE126" s="3">
        <v>409.113</v>
      </c>
      <c r="AF126" s="86">
        <f t="shared" si="101"/>
        <v>310.51676700000002</v>
      </c>
      <c r="AG126" s="86">
        <f t="shared" si="102"/>
        <v>74613.307843675997</v>
      </c>
      <c r="AH126" s="86">
        <f t="shared" si="103"/>
        <v>2344.3125337113324</v>
      </c>
      <c r="AI126" s="67">
        <f t="shared" si="104"/>
        <v>171454.29081941213</v>
      </c>
      <c r="AJ126" s="199">
        <f t="shared" si="91"/>
        <v>46760.26113256695</v>
      </c>
      <c r="AK126" s="3">
        <v>240</v>
      </c>
      <c r="AL126" s="3">
        <v>392.52699999999999</v>
      </c>
      <c r="AM126" s="86">
        <f t="shared" si="105"/>
        <v>297.92799300000001</v>
      </c>
      <c r="AN126" s="86">
        <f t="shared" si="106"/>
        <v>71588.382397906229</v>
      </c>
      <c r="AO126" s="86">
        <f t="shared" si="107"/>
        <v>2249.2709005094152</v>
      </c>
      <c r="AP126" s="67">
        <f t="shared" si="108"/>
        <v>164503.29960786237</v>
      </c>
      <c r="AQ126" s="199">
        <f t="shared" si="92"/>
        <v>44864.536256689738</v>
      </c>
      <c r="AR126" s="199">
        <f>(((AL126*$N126*10^-3)*$E$3*$E$4)/($E$5*$E$6*$H126))*1000*(12/44)+'post-DEA dissolved CO2'!N124</f>
        <v>90872.750858232423</v>
      </c>
      <c r="AS126" s="87">
        <f t="shared" si="109"/>
        <v>36965.835002786022</v>
      </c>
      <c r="AT126" s="87">
        <f t="shared" si="110"/>
        <v>37755.739417182958</v>
      </c>
      <c r="AU126" s="87">
        <f t="shared" si="111"/>
        <v>46760.26113256695</v>
      </c>
      <c r="AV126" s="87">
        <f t="shared" si="112"/>
        <v>44864.536256689738</v>
      </c>
      <c r="AW126" s="71">
        <f t="shared" si="113"/>
        <v>0.72705418770296526</v>
      </c>
      <c r="AX126" s="72">
        <f t="shared" si="114"/>
        <v>54.501042461825229</v>
      </c>
      <c r="AY126" s="88">
        <f t="shared" si="115"/>
        <v>3.2700625477095135</v>
      </c>
      <c r="AZ126" s="88"/>
      <c r="BA126" s="3">
        <v>48</v>
      </c>
      <c r="BB126" s="3" t="s">
        <v>82</v>
      </c>
      <c r="BC126" s="111">
        <v>19.996234923705366</v>
      </c>
      <c r="BD126" s="75">
        <f t="shared" si="82"/>
        <v>90872.750858232423</v>
      </c>
      <c r="BE126" s="160">
        <f t="shared" si="83"/>
        <v>0.49370725363735735</v>
      </c>
      <c r="BF126" s="3">
        <f t="shared" si="116"/>
        <v>74873.9961392962</v>
      </c>
      <c r="BG126" s="3">
        <f t="shared" si="117"/>
        <v>76473.941063291873</v>
      </c>
      <c r="BH126" s="3">
        <f t="shared" si="118"/>
        <v>94712.526073019282</v>
      </c>
      <c r="BI126" s="3">
        <f t="shared" si="119"/>
        <v>90872.750858232423</v>
      </c>
      <c r="BJ126" s="222">
        <v>44864.536256689738</v>
      </c>
      <c r="BK126" s="71">
        <f t="shared" si="120"/>
        <v>0.72705418770296493</v>
      </c>
      <c r="BL126" s="72">
        <f t="shared" si="121"/>
        <v>110.39141527756013</v>
      </c>
      <c r="BM126" s="88">
        <f t="shared" si="84"/>
        <v>6.6234849166536076</v>
      </c>
      <c r="BN126" s="227">
        <v>3.2700625477095135</v>
      </c>
      <c r="BO126" s="234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</row>
    <row r="127" spans="1:382">
      <c r="A127" s="3">
        <f>'Exptl Setup'!A243</f>
        <v>236</v>
      </c>
      <c r="B127" s="3" t="str">
        <f>'Exptl Setup'!C243</f>
        <v>b</v>
      </c>
      <c r="C127" s="3">
        <f>'Exptl Setup'!D243</f>
        <v>48</v>
      </c>
      <c r="D127" s="3" t="str">
        <f>'Exptl Setup'!E243</f>
        <v>-</v>
      </c>
      <c r="E127" s="75">
        <f>'Exptl Setup'!K243</f>
        <v>19.991862113818897</v>
      </c>
      <c r="F127" s="63">
        <f>'Exptl Setup'!F243</f>
        <v>32.01</v>
      </c>
      <c r="G127" s="64">
        <f>'Exptl Setup'!$C$5</f>
        <v>1.2793390913194711</v>
      </c>
      <c r="H127" s="7">
        <f t="shared" si="122"/>
        <v>25.020731577103508</v>
      </c>
      <c r="I127" s="8">
        <f t="shared" si="123"/>
        <v>9.4417855007937774</v>
      </c>
      <c r="J127" s="8">
        <f t="shared" si="124"/>
        <v>6.9892684228964903</v>
      </c>
      <c r="K127" s="8">
        <f>'Exptl Setup'!H243+'Exptl Setup'!I243+'Exptl Setup'!J243+5</f>
        <v>23.003024686832859</v>
      </c>
      <c r="L127" s="8">
        <f t="shared" si="125"/>
        <v>29.992293109729349</v>
      </c>
      <c r="M127" s="44">
        <v>300</v>
      </c>
      <c r="N127" s="85">
        <f t="shared" si="126"/>
        <v>260.5659213894769</v>
      </c>
      <c r="O127" s="193">
        <f>10^(-'Pre-DEA characterisation'!V128)</f>
        <v>1.9054607179632436E-9</v>
      </c>
      <c r="P127" s="66">
        <v>60</v>
      </c>
      <c r="Q127" s="3">
        <v>272.834</v>
      </c>
      <c r="R127" s="86">
        <f t="shared" si="93"/>
        <v>207.081006</v>
      </c>
      <c r="S127" s="86">
        <f t="shared" si="94"/>
        <v>49758.984026959537</v>
      </c>
      <c r="T127" s="86">
        <f t="shared" si="95"/>
        <v>1563.4772763752878</v>
      </c>
      <c r="U127" s="67">
        <f t="shared" si="96"/>
        <v>114321.90158270329</v>
      </c>
      <c r="V127" s="199">
        <f t="shared" si="81"/>
        <v>31178.70043164635</v>
      </c>
      <c r="W127" s="66">
        <v>120</v>
      </c>
      <c r="X127" s="3">
        <v>281.68</v>
      </c>
      <c r="Y127" s="86">
        <f t="shared" si="97"/>
        <v>213.79512</v>
      </c>
      <c r="Z127" s="86">
        <f t="shared" si="98"/>
        <v>51372.301915135067</v>
      </c>
      <c r="AA127" s="86">
        <f t="shared" si="99"/>
        <v>1614.1693454972292</v>
      </c>
      <c r="AB127" s="67">
        <f t="shared" si="100"/>
        <v>118028.52004448074</v>
      </c>
      <c r="AC127" s="199">
        <f t="shared" si="90"/>
        <v>32189.596375767476</v>
      </c>
      <c r="AD127" s="66">
        <v>180</v>
      </c>
      <c r="AE127" s="3">
        <v>350.51</v>
      </c>
      <c r="AF127" s="86">
        <f t="shared" si="101"/>
        <v>266.03708999999998</v>
      </c>
      <c r="AG127" s="86">
        <f t="shared" si="102"/>
        <v>63925.395996428539</v>
      </c>
      <c r="AH127" s="86">
        <f t="shared" si="103"/>
        <v>2008.6001749866293</v>
      </c>
      <c r="AI127" s="67">
        <f t="shared" si="104"/>
        <v>146869.41408971505</v>
      </c>
      <c r="AJ127" s="199">
        <f t="shared" si="91"/>
        <v>40055.294751740468</v>
      </c>
      <c r="AK127" s="3">
        <v>240</v>
      </c>
      <c r="AL127" s="3">
        <v>341.94099999999997</v>
      </c>
      <c r="AM127" s="86">
        <f t="shared" si="105"/>
        <v>259.53321899999997</v>
      </c>
      <c r="AN127" s="86">
        <f t="shared" si="106"/>
        <v>62362.596880017038</v>
      </c>
      <c r="AO127" s="86">
        <f t="shared" si="107"/>
        <v>1959.4954564352031</v>
      </c>
      <c r="AP127" s="67">
        <f t="shared" si="108"/>
        <v>143278.86315155419</v>
      </c>
      <c r="AQ127" s="199">
        <f t="shared" si="92"/>
        <v>39076.053586787508</v>
      </c>
      <c r="AR127" s="199">
        <f>(((AL127*$N127*10^-3)*$E$3*$E$4)/($E$5*$E$6*$H127))*1000*(12/44)+'post-DEA dissolved CO2'!N125</f>
        <v>83296.06213269697</v>
      </c>
      <c r="AS127" s="87">
        <f t="shared" si="109"/>
        <v>31178.70043164635</v>
      </c>
      <c r="AT127" s="87">
        <f t="shared" si="110"/>
        <v>32189.596375767476</v>
      </c>
      <c r="AU127" s="87">
        <f t="shared" si="111"/>
        <v>40055.294751740468</v>
      </c>
      <c r="AV127" s="87">
        <f t="shared" si="112"/>
        <v>39076.053586787508</v>
      </c>
      <c r="AW127" s="71">
        <f t="shared" si="113"/>
        <v>0.78902714674773733</v>
      </c>
      <c r="AX127" s="72">
        <f t="shared" si="114"/>
        <v>52.596263068994105</v>
      </c>
      <c r="AY127" s="88">
        <f t="shared" si="115"/>
        <v>3.1557757841396463</v>
      </c>
      <c r="AZ127" s="88"/>
      <c r="BA127" s="3">
        <v>48</v>
      </c>
      <c r="BB127" s="3" t="s">
        <v>82</v>
      </c>
      <c r="BC127" s="111">
        <v>19.991862113818897</v>
      </c>
      <c r="BD127" s="75">
        <f t="shared" si="82"/>
        <v>83296.06213269697</v>
      </c>
      <c r="BE127" s="160">
        <f t="shared" si="83"/>
        <v>0.46912246012946418</v>
      </c>
      <c r="BF127" s="3">
        <f t="shared" si="116"/>
        <v>66461.751635259439</v>
      </c>
      <c r="BG127" s="3">
        <f t="shared" si="117"/>
        <v>68616.617432650921</v>
      </c>
      <c r="BH127" s="3">
        <f t="shared" si="118"/>
        <v>85383.451350179166</v>
      </c>
      <c r="BI127" s="3">
        <f t="shared" si="119"/>
        <v>83296.06213269697</v>
      </c>
      <c r="BJ127" s="222">
        <v>39076.053586787508</v>
      </c>
      <c r="BK127" s="71">
        <f t="shared" si="120"/>
        <v>0.78902714674773722</v>
      </c>
      <c r="BL127" s="72">
        <f t="shared" si="121"/>
        <v>112.11627568306805</v>
      </c>
      <c r="BM127" s="88">
        <f t="shared" si="84"/>
        <v>6.7269765409840829</v>
      </c>
      <c r="BN127" s="227">
        <v>3.1557757841396463</v>
      </c>
      <c r="BO127" s="234"/>
      <c r="BR127" s="231"/>
      <c r="BS127" s="231"/>
      <c r="BT127" s="231"/>
      <c r="BU127" s="231"/>
      <c r="BV127" s="231"/>
      <c r="BW127" s="231"/>
      <c r="BX127" s="231"/>
      <c r="BY127" s="231"/>
      <c r="BZ127" s="231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</row>
    <row r="128" spans="1:382" ht="15.75" thickBot="1">
      <c r="A128" s="3">
        <f>'Exptl Setup'!A244</f>
        <v>237</v>
      </c>
      <c r="B128" s="3" t="str">
        <f>'Exptl Setup'!C244</f>
        <v>c</v>
      </c>
      <c r="C128" s="3">
        <f>'Exptl Setup'!D244</f>
        <v>48</v>
      </c>
      <c r="D128" s="3" t="str">
        <f>'Exptl Setup'!E244</f>
        <v>-</v>
      </c>
      <c r="E128" s="75">
        <f>'Exptl Setup'!K244</f>
        <v>19.999359530700133</v>
      </c>
      <c r="F128" s="63">
        <f>'Exptl Setup'!F244</f>
        <v>31.998000000000001</v>
      </c>
      <c r="G128" s="64">
        <f>'Exptl Setup'!$C$5</f>
        <v>1.2793390913194711</v>
      </c>
      <c r="H128" s="7">
        <f t="shared" si="122"/>
        <v>25.011351733963078</v>
      </c>
      <c r="I128" s="8">
        <f t="shared" si="123"/>
        <v>9.4382459373445577</v>
      </c>
      <c r="J128" s="8">
        <f t="shared" si="124"/>
        <v>6.9866482660369229</v>
      </c>
      <c r="K128" s="8">
        <f>'Exptl Setup'!H244+'Exptl Setup'!I244+'Exptl Setup'!J244+5</f>
        <v>23.003024686832859</v>
      </c>
      <c r="L128" s="8">
        <f t="shared" si="125"/>
        <v>29.989672952869782</v>
      </c>
      <c r="M128" s="44">
        <v>300</v>
      </c>
      <c r="N128" s="85">
        <f t="shared" si="126"/>
        <v>260.57208110978564</v>
      </c>
      <c r="O128" s="193">
        <f>10^(-'Pre-DEA characterisation'!V129)</f>
        <v>1.9054607179632436E-9</v>
      </c>
      <c r="P128" s="66">
        <v>60</v>
      </c>
      <c r="Q128" s="3">
        <v>433.43799999999999</v>
      </c>
      <c r="R128" s="86">
        <f t="shared" si="93"/>
        <v>328.97944200000001</v>
      </c>
      <c r="S128" s="86">
        <f t="shared" si="94"/>
        <v>79049.658468802591</v>
      </c>
      <c r="T128" s="86">
        <f t="shared" si="95"/>
        <v>2483.6152462075065</v>
      </c>
      <c r="U128" s="67">
        <f t="shared" si="96"/>
        <v>181670.75598083407</v>
      </c>
      <c r="V128" s="199">
        <f t="shared" si="81"/>
        <v>49546.569812954745</v>
      </c>
      <c r="W128" s="66">
        <v>120</v>
      </c>
      <c r="X128" s="3">
        <v>490.935</v>
      </c>
      <c r="Y128" s="86">
        <f t="shared" si="97"/>
        <v>372.619665</v>
      </c>
      <c r="Z128" s="86">
        <f t="shared" si="98"/>
        <v>89535.859985468749</v>
      </c>
      <c r="AA128" s="86">
        <f t="shared" si="99"/>
        <v>2813.0751131577808</v>
      </c>
      <c r="AB128" s="67">
        <f t="shared" si="100"/>
        <v>205769.98921979792</v>
      </c>
      <c r="AC128" s="199">
        <f t="shared" si="90"/>
        <v>56119.087969035798</v>
      </c>
      <c r="AD128" s="66">
        <v>180</v>
      </c>
      <c r="AE128" s="3">
        <v>535.71699999999998</v>
      </c>
      <c r="AF128" s="86">
        <f t="shared" si="101"/>
        <v>406.60920299999998</v>
      </c>
      <c r="AG128" s="86">
        <f t="shared" si="102"/>
        <v>97703.122213399649</v>
      </c>
      <c r="AH128" s="86">
        <f t="shared" si="103"/>
        <v>3069.6775752300132</v>
      </c>
      <c r="AI128" s="67">
        <f t="shared" si="104"/>
        <v>224539.87048155552</v>
      </c>
      <c r="AJ128" s="199">
        <f t="shared" si="91"/>
        <v>61238.146494969682</v>
      </c>
      <c r="AK128" s="3">
        <v>240</v>
      </c>
      <c r="AL128" s="3">
        <v>545.94399999999996</v>
      </c>
      <c r="AM128" s="86">
        <f t="shared" si="105"/>
        <v>414.37149599999998</v>
      </c>
      <c r="AN128" s="86">
        <f t="shared" si="106"/>
        <v>99568.304447445684</v>
      </c>
      <c r="AO128" s="86">
        <f t="shared" si="107"/>
        <v>3128.2786511000663</v>
      </c>
      <c r="AP128" s="67">
        <f t="shared" si="108"/>
        <v>228826.40470655652</v>
      </c>
      <c r="AQ128" s="199">
        <f t="shared" si="92"/>
        <v>62407.201283606322</v>
      </c>
      <c r="AR128" s="199">
        <f>(((AL128*$N128*10^-3)*$E$3*$E$4)/($E$5*$E$6*$H128))*1000*(12/44)+'post-DEA dissolved CO2'!N126</f>
        <v>101832.75930448793</v>
      </c>
      <c r="AS128" s="87">
        <f t="shared" si="109"/>
        <v>49546.569812954745</v>
      </c>
      <c r="AT128" s="87">
        <f t="shared" si="110"/>
        <v>56119.087969035798</v>
      </c>
      <c r="AU128" s="87">
        <f t="shared" si="111"/>
        <v>61238.146494969682</v>
      </c>
      <c r="AV128" s="87">
        <f t="shared" si="112"/>
        <v>62407.201283606322</v>
      </c>
      <c r="AW128" s="71">
        <f t="shared" si="113"/>
        <v>0.92617831061136391</v>
      </c>
      <c r="AX128" s="72">
        <f t="shared" si="114"/>
        <v>72.834921563147702</v>
      </c>
      <c r="AY128" s="88">
        <f>AX128*60/1000</f>
        <v>4.3700952937888626</v>
      </c>
      <c r="AZ128" s="88"/>
      <c r="BA128" s="132">
        <v>48</v>
      </c>
      <c r="BB128" s="132" t="s">
        <v>82</v>
      </c>
      <c r="BC128" s="133">
        <v>19.999359530700133</v>
      </c>
      <c r="BD128" s="148">
        <f t="shared" si="82"/>
        <v>101832.75930448793</v>
      </c>
      <c r="BE128" s="161">
        <f t="shared" si="83"/>
        <v>0.61284012836187518</v>
      </c>
      <c r="BF128" s="132">
        <f t="shared" si="116"/>
        <v>80847.46334316094</v>
      </c>
      <c r="BG128" s="132">
        <f t="shared" si="117"/>
        <v>91572.149687786296</v>
      </c>
      <c r="BH128" s="132">
        <f t="shared" si="118"/>
        <v>99925.157738380425</v>
      </c>
      <c r="BI128" s="132">
        <f t="shared" si="119"/>
        <v>101832.75930448793</v>
      </c>
      <c r="BJ128" s="229">
        <v>62407.201283606322</v>
      </c>
      <c r="BK128" s="145">
        <f t="shared" si="120"/>
        <v>0.92617831061136391</v>
      </c>
      <c r="BL128" s="146">
        <f t="shared" si="121"/>
        <v>118.84815989095853</v>
      </c>
      <c r="BM128" s="150">
        <f t="shared" si="84"/>
        <v>7.1308895934575123</v>
      </c>
      <c r="BN128" s="228">
        <v>4.3700952937888626</v>
      </c>
      <c r="BO128" s="234"/>
      <c r="BR128" s="231"/>
      <c r="BS128" s="231"/>
      <c r="BT128" s="231"/>
      <c r="BU128" s="231"/>
      <c r="BV128" s="231"/>
      <c r="BW128" s="231"/>
      <c r="BX128" s="231"/>
      <c r="BY128" s="231"/>
      <c r="BZ128" s="231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</row>
    <row r="129" spans="70:382">
      <c r="BR129" s="230"/>
      <c r="BS129" s="230"/>
      <c r="BT129" s="230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</row>
    <row r="130" spans="70:382">
      <c r="BR130" s="230"/>
      <c r="BS130" s="231"/>
      <c r="BT130" s="231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</row>
    <row r="131" spans="70:382">
      <c r="BR131" s="230"/>
      <c r="BS131" s="231"/>
      <c r="BT131" s="2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</row>
    <row r="132" spans="70:382">
      <c r="BR132" s="230"/>
      <c r="BS132" s="231"/>
      <c r="BT132" s="231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</row>
    <row r="133" spans="70:382">
      <c r="BR133" s="230"/>
      <c r="BS133" s="230"/>
      <c r="BT133" s="230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</row>
    <row r="134" spans="70:382">
      <c r="BR134" s="230"/>
      <c r="BS134" s="230"/>
      <c r="BT134" s="230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</row>
    <row r="135" spans="70:382">
      <c r="BR135" s="230"/>
      <c r="BS135" s="230"/>
      <c r="BT135" s="230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</row>
    <row r="136" spans="70:382">
      <c r="BR136" s="230"/>
      <c r="BS136" s="231"/>
      <c r="BT136" s="231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</row>
    <row r="137" spans="70:382">
      <c r="BR137" s="230"/>
      <c r="BS137" s="231"/>
      <c r="BT137" s="231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</row>
    <row r="138" spans="70:382">
      <c r="BR138" s="230"/>
      <c r="BS138" s="231"/>
      <c r="BT138" s="231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</row>
    <row r="139" spans="70:382">
      <c r="BR139" s="230"/>
      <c r="BS139" s="230"/>
      <c r="BT139" s="230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</row>
    <row r="140" spans="70:382">
      <c r="BR140" s="230"/>
      <c r="BS140" s="230"/>
      <c r="BT140" s="23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</row>
    <row r="141" spans="70:382">
      <c r="BR141" s="230"/>
      <c r="BS141" s="230"/>
      <c r="BT141" s="230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</row>
    <row r="142" spans="70:382">
      <c r="BR142" s="230"/>
      <c r="BS142" s="230"/>
      <c r="BT142" s="230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</row>
    <row r="143" spans="70:382">
      <c r="BR143" s="230"/>
      <c r="BS143" s="230"/>
      <c r="BT143" s="230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</row>
    <row r="144" spans="70:382">
      <c r="BR144" s="230"/>
      <c r="BS144" s="230"/>
      <c r="BT144" s="230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</row>
    <row r="145" spans="70:382">
      <c r="BR145" s="230"/>
      <c r="BS145" s="230"/>
      <c r="BT145" s="230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</row>
    <row r="146" spans="70:382">
      <c r="BR146" s="230"/>
      <c r="BS146" s="231"/>
      <c r="BT146" s="231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</row>
    <row r="147" spans="70:382">
      <c r="BR147" s="230"/>
      <c r="BS147" s="231"/>
      <c r="BT147" s="231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</row>
    <row r="148" spans="70:382">
      <c r="BR148" s="230"/>
      <c r="BS148" s="231"/>
      <c r="BT148" s="231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</row>
    <row r="149" spans="70:382">
      <c r="BR149" s="230"/>
      <c r="BS149" s="230"/>
      <c r="BT149" s="230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</row>
    <row r="150" spans="70:382">
      <c r="BR150" s="230"/>
      <c r="BS150" s="230"/>
      <c r="BT150" s="23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</row>
    <row r="151" spans="70:382">
      <c r="BR151" s="230"/>
      <c r="BS151" s="230"/>
      <c r="BT151" s="230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</row>
    <row r="152" spans="70:382">
      <c r="BR152" s="230"/>
      <c r="BS152" s="230"/>
      <c r="BT152" s="230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</row>
    <row r="153" spans="70:382">
      <c r="BR153" s="230"/>
      <c r="BS153" s="230"/>
      <c r="BT153" s="230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</row>
    <row r="154" spans="70:382">
      <c r="BR154" s="230"/>
      <c r="BS154" s="230"/>
      <c r="BT154" s="230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</row>
    <row r="155" spans="70:382">
      <c r="BR155" s="230"/>
      <c r="BS155" s="230"/>
      <c r="BT155" s="230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</row>
    <row r="156" spans="70:382">
      <c r="BR156" s="230"/>
      <c r="BS156" s="231"/>
      <c r="BT156" s="231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</row>
    <row r="157" spans="70:382">
      <c r="BR157" s="230"/>
      <c r="BS157" s="231"/>
      <c r="BT157" s="231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</row>
    <row r="158" spans="70:382">
      <c r="BR158" s="230"/>
      <c r="BS158" s="231"/>
      <c r="BT158" s="231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</row>
    <row r="159" spans="70:382">
      <c r="BR159" s="230"/>
      <c r="BS159" s="230"/>
      <c r="BT159" s="230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</row>
    <row r="160" spans="70:382">
      <c r="BR160" s="230"/>
      <c r="BS160" s="230"/>
      <c r="BT160" s="23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</row>
    <row r="161" spans="70:167">
      <c r="BR161" s="230"/>
      <c r="BS161" s="230"/>
      <c r="BT161" s="230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</row>
    <row r="162" spans="70:167">
      <c r="BR162" s="230"/>
      <c r="BS162" s="231"/>
      <c r="BT162" s="231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</row>
    <row r="163" spans="70:167">
      <c r="BR163" s="230"/>
      <c r="BS163" s="231"/>
      <c r="BT163" s="231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</row>
    <row r="164" spans="70:167">
      <c r="BR164" s="230"/>
      <c r="BS164" s="231"/>
      <c r="BT164" s="231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</row>
    <row r="165" spans="70:167">
      <c r="BR165" s="230"/>
      <c r="BS165" s="230"/>
      <c r="BT165" s="230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</row>
    <row r="166" spans="70:167">
      <c r="BR166" s="230"/>
      <c r="BS166" s="230"/>
      <c r="BT166" s="230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</row>
    <row r="167" spans="70:167">
      <c r="BR167" s="230"/>
      <c r="BS167" s="230"/>
      <c r="BT167" s="230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</row>
    <row r="168" spans="70:167">
      <c r="BR168" s="230"/>
      <c r="BS168" s="231"/>
      <c r="BT168" s="231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</row>
    <row r="169" spans="70:167">
      <c r="BR169" s="230"/>
      <c r="BS169" s="231"/>
      <c r="BT169" s="231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</row>
    <row r="170" spans="70:167">
      <c r="BR170" s="230"/>
      <c r="BS170" s="231"/>
      <c r="BT170" s="231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</row>
    <row r="171" spans="70:167">
      <c r="BR171" s="230"/>
      <c r="BS171" s="230"/>
      <c r="BT171" s="230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</row>
    <row r="172" spans="70:167">
      <c r="BR172" s="230"/>
      <c r="BS172" s="230"/>
      <c r="BT172" s="230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</row>
    <row r="173" spans="70:167">
      <c r="BR173" s="230"/>
      <c r="BS173" s="230"/>
      <c r="BT173" s="230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</row>
    <row r="174" spans="70:167">
      <c r="BR174" s="230"/>
      <c r="BS174" s="231"/>
      <c r="BT174" s="231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</row>
    <row r="175" spans="70:167">
      <c r="BR175" s="230"/>
      <c r="BS175" s="231"/>
      <c r="BT175" s="231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</row>
    <row r="176" spans="70:167">
      <c r="BR176" s="230"/>
      <c r="BS176" s="231"/>
      <c r="BT176" s="231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</row>
    <row r="177" spans="70:167">
      <c r="BR177" s="230"/>
      <c r="BS177" s="230"/>
      <c r="BT177" s="230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</row>
    <row r="178" spans="70:167">
      <c r="BR178" s="230"/>
      <c r="BS178" s="230"/>
      <c r="BT178" s="230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</row>
    <row r="179" spans="70:167">
      <c r="BR179" s="230"/>
      <c r="BS179" s="230"/>
      <c r="BT179" s="230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</row>
    <row r="180" spans="70:167">
      <c r="BR180" s="230"/>
      <c r="BS180" s="231"/>
      <c r="BT180" s="231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</row>
    <row r="181" spans="70:167">
      <c r="BR181" s="230"/>
      <c r="BS181" s="231"/>
      <c r="BT181" s="23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</row>
    <row r="182" spans="70:167">
      <c r="BR182" s="230"/>
      <c r="BS182" s="231"/>
      <c r="BT182" s="231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</row>
    <row r="183" spans="70:167">
      <c r="BR183" s="230"/>
      <c r="BS183" s="230"/>
      <c r="BT183" s="230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</row>
    <row r="184" spans="70:167">
      <c r="BR184" s="230"/>
      <c r="BS184" s="230"/>
      <c r="BT184" s="230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</row>
    <row r="185" spans="70:167">
      <c r="BR185" s="230"/>
      <c r="BS185" s="230"/>
      <c r="BT185" s="230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</row>
    <row r="186" spans="70:167">
      <c r="BR186" s="230"/>
      <c r="BS186" s="230"/>
      <c r="BT186" s="230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</row>
    <row r="187" spans="70:167">
      <c r="BR187" s="230"/>
      <c r="BS187" s="230"/>
      <c r="BT187" s="230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</row>
    <row r="188" spans="70:167">
      <c r="BR188" s="230"/>
      <c r="BS188" s="230"/>
      <c r="BT188" s="230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</row>
    <row r="189" spans="70:167">
      <c r="BR189" s="230"/>
      <c r="BS189" s="230"/>
      <c r="BT189" s="230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</row>
    <row r="190" spans="70:167">
      <c r="BR190" s="230"/>
      <c r="BS190" s="231"/>
      <c r="BT190" s="231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</row>
    <row r="191" spans="70:167">
      <c r="BR191" s="230"/>
      <c r="BS191" s="231"/>
      <c r="BT191" s="23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</row>
    <row r="192" spans="70:167">
      <c r="BR192" s="230"/>
      <c r="BS192" s="231"/>
      <c r="BT192" s="231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</row>
    <row r="193" spans="70:167">
      <c r="BR193" s="230"/>
      <c r="BS193" s="230"/>
      <c r="BT193" s="230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</row>
    <row r="194" spans="70:167">
      <c r="BR194" s="230"/>
      <c r="BS194" s="230"/>
      <c r="BT194" s="230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</row>
    <row r="195" spans="70:167">
      <c r="BR195" s="230"/>
      <c r="BS195" s="230"/>
      <c r="BT195" s="230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</row>
    <row r="196" spans="70:167">
      <c r="BR196" s="230"/>
      <c r="BS196" s="231"/>
      <c r="BT196" s="231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</row>
    <row r="197" spans="70:167">
      <c r="BR197" s="230"/>
      <c r="BS197" s="231"/>
      <c r="BT197" s="231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</row>
    <row r="198" spans="70:167">
      <c r="BR198" s="230"/>
      <c r="BS198" s="231"/>
      <c r="BT198" s="231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</row>
    <row r="199" spans="70:167">
      <c r="BR199" s="230"/>
      <c r="BS199" s="230"/>
      <c r="BT199" s="230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</row>
    <row r="200" spans="70:167">
      <c r="BR200" s="230"/>
      <c r="BS200" s="230"/>
      <c r="BT200" s="23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</row>
    <row r="201" spans="70:167">
      <c r="BR201" s="230"/>
      <c r="BS201" s="230"/>
      <c r="BT201" s="230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</row>
    <row r="202" spans="70:167">
      <c r="BR202" s="230"/>
      <c r="BS202" s="231"/>
      <c r="BT202" s="231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</row>
    <row r="203" spans="70:167">
      <c r="BR203" s="230"/>
      <c r="BS203" s="231"/>
      <c r="BT203" s="231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</row>
    <row r="204" spans="70:167">
      <c r="BR204" s="230"/>
      <c r="BS204" s="231"/>
      <c r="BT204" s="231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</row>
    <row r="205" spans="70:167">
      <c r="BR205" s="230"/>
      <c r="BS205" s="230"/>
      <c r="BT205" s="230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</row>
    <row r="206" spans="70:167">
      <c r="BR206" s="230"/>
      <c r="BS206" s="230"/>
      <c r="BT206" s="230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</row>
    <row r="207" spans="70:167">
      <c r="BR207" s="230"/>
      <c r="BS207" s="230"/>
      <c r="BT207" s="230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</row>
    <row r="208" spans="70:167">
      <c r="BR208" s="230"/>
      <c r="BS208" s="231"/>
      <c r="BT208" s="231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</row>
    <row r="209" spans="70:167">
      <c r="BR209" s="230"/>
      <c r="BS209" s="231"/>
      <c r="BT209" s="231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</row>
    <row r="210" spans="70:167">
      <c r="BR210" s="230"/>
      <c r="BS210" s="231"/>
      <c r="BT210" s="231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</row>
    <row r="211" spans="70:167">
      <c r="BR211" s="230"/>
      <c r="BS211" s="230"/>
      <c r="BT211" s="230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</row>
    <row r="212" spans="70:167">
      <c r="BR212" s="230"/>
      <c r="BS212" s="230"/>
      <c r="BT212" s="230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</row>
    <row r="213" spans="70:167">
      <c r="BR213" s="230"/>
      <c r="BS213" s="230"/>
      <c r="BT213" s="230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</row>
    <row r="214" spans="70:167">
      <c r="BR214" s="230"/>
      <c r="BS214" s="230"/>
      <c r="BT214" s="230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</row>
    <row r="215" spans="70:167">
      <c r="BR215" s="230"/>
      <c r="BS215" s="230"/>
      <c r="BT215" s="230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</row>
    <row r="216" spans="70:167">
      <c r="BR216" s="230"/>
      <c r="BS216" s="230"/>
      <c r="BT216" s="230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</row>
    <row r="217" spans="70:167">
      <c r="BR217" s="230"/>
      <c r="BS217" s="230"/>
      <c r="BT217" s="230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</row>
    <row r="218" spans="70:167">
      <c r="BR218" s="230"/>
      <c r="BS218" s="231"/>
      <c r="BT218" s="231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</row>
    <row r="219" spans="70:167">
      <c r="BR219" s="230"/>
      <c r="BS219" s="231"/>
      <c r="BT219" s="231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</row>
    <row r="220" spans="70:167">
      <c r="BR220" s="230"/>
      <c r="BS220" s="231"/>
      <c r="BT220" s="231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</row>
    <row r="221" spans="70:167">
      <c r="BR221" s="230"/>
      <c r="BS221" s="230"/>
      <c r="BT221" s="230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</row>
    <row r="222" spans="70:167">
      <c r="BR222" s="230"/>
      <c r="BS222" s="230"/>
      <c r="BT222" s="230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</row>
    <row r="223" spans="70:167">
      <c r="BR223" s="230"/>
      <c r="BS223" s="230"/>
      <c r="BT223" s="230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</row>
    <row r="224" spans="70:167">
      <c r="BR224" s="230"/>
      <c r="BS224" s="230"/>
      <c r="BT224" s="230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</row>
    <row r="225" spans="70:167">
      <c r="BR225" s="230"/>
      <c r="BS225" s="230"/>
      <c r="BT225" s="230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</row>
    <row r="226" spans="70:167">
      <c r="BR226" s="230"/>
      <c r="BS226" s="230"/>
      <c r="BT226" s="230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</row>
    <row r="227" spans="70:167">
      <c r="BR227" s="230"/>
      <c r="BS227" s="230"/>
      <c r="BT227" s="230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</row>
    <row r="228" spans="70:167">
      <c r="BR228" s="230"/>
      <c r="BS228" s="231"/>
      <c r="BT228" s="231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</row>
    <row r="229" spans="70:167">
      <c r="BR229" s="230"/>
      <c r="BS229" s="231"/>
      <c r="BT229" s="231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</row>
    <row r="230" spans="70:167">
      <c r="BR230" s="230"/>
      <c r="BS230" s="231"/>
      <c r="BT230" s="231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</row>
    <row r="231" spans="70:167">
      <c r="BR231" s="230"/>
      <c r="BS231" s="230"/>
      <c r="BT231" s="230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</row>
    <row r="232" spans="70:167">
      <c r="BR232" s="230"/>
      <c r="BS232" s="230"/>
      <c r="BT232" s="230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</row>
    <row r="233" spans="70:167">
      <c r="BR233" s="230"/>
      <c r="BS233" s="230"/>
      <c r="BT233" s="230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</row>
    <row r="234" spans="70:167">
      <c r="BR234" s="230"/>
      <c r="BS234" s="231"/>
      <c r="BT234" s="231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</row>
    <row r="235" spans="70:167">
      <c r="BR235" s="230"/>
      <c r="BS235" s="231"/>
      <c r="BT235" s="231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</row>
    <row r="236" spans="70:167">
      <c r="BR236" s="230"/>
      <c r="BS236" s="230"/>
      <c r="BT236" s="230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</row>
    <row r="237" spans="70:167">
      <c r="BR237" s="230"/>
      <c r="BS237" s="230"/>
      <c r="BT237" s="230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</row>
    <row r="238" spans="70:167">
      <c r="BR238" s="230"/>
      <c r="BS238" s="231"/>
      <c r="BT238" s="231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</row>
    <row r="239" spans="70:167">
      <c r="BR239" s="230"/>
      <c r="BS239" s="230"/>
      <c r="BT239" s="230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</row>
    <row r="240" spans="70:167">
      <c r="BR240" s="230"/>
      <c r="BS240" s="230"/>
      <c r="BT240" s="23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</row>
    <row r="241" spans="70:167">
      <c r="BR241" s="230"/>
      <c r="BS241" s="230"/>
      <c r="BT241" s="230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</row>
    <row r="242" spans="70:167">
      <c r="BR242" s="230"/>
      <c r="BS242" s="230"/>
      <c r="BT242" s="230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</row>
    <row r="243" spans="70:167">
      <c r="BR243" s="230"/>
      <c r="BS243" s="230"/>
      <c r="BT243" s="230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</row>
    <row r="244" spans="70:167">
      <c r="BR244" s="230"/>
      <c r="BS244" s="230"/>
      <c r="BT244" s="230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</row>
    <row r="245" spans="70:167">
      <c r="BR245" s="230"/>
      <c r="BS245" s="230"/>
      <c r="BT245" s="230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</row>
    <row r="246" spans="70:167">
      <c r="BR246" s="230"/>
      <c r="BS246" s="230"/>
      <c r="BT246" s="230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</row>
    <row r="247" spans="70:167">
      <c r="BR247" s="230"/>
      <c r="BS247" s="230"/>
      <c r="BT247" s="230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</row>
    <row r="248" spans="70:167">
      <c r="BR248" s="230"/>
      <c r="BS248" s="230"/>
      <c r="BT248" s="230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</row>
    <row r="249" spans="70:167">
      <c r="BR249" s="230"/>
      <c r="BS249" s="230"/>
      <c r="BT249" s="230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</row>
    <row r="250" spans="70:167">
      <c r="BR250" s="230"/>
      <c r="BS250" s="230"/>
      <c r="BT250" s="23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</row>
    <row r="251" spans="70:167">
      <c r="BR251" s="230"/>
      <c r="BS251" s="230"/>
      <c r="BT251" s="230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</row>
    <row r="252" spans="70:167">
      <c r="BR252" s="230"/>
      <c r="BS252" s="230"/>
      <c r="BT252" s="230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</row>
    <row r="253" spans="70:167">
      <c r="BR253" s="230"/>
      <c r="BS253" s="230"/>
      <c r="BT253" s="230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</row>
    <row r="254" spans="70:167">
      <c r="BR254" s="230"/>
      <c r="BS254" s="230"/>
      <c r="BT254" s="230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</row>
    <row r="255" spans="70:167">
      <c r="BR255" s="230"/>
      <c r="BS255" s="230"/>
      <c r="BT255" s="230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</row>
    <row r="256" spans="70:167">
      <c r="BR256" s="230"/>
      <c r="BS256" s="230"/>
      <c r="BT256" s="230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</row>
    <row r="257" spans="70:167">
      <c r="BR257" s="230"/>
      <c r="BS257" s="230"/>
      <c r="BT257" s="230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</row>
    <row r="258" spans="70:167">
      <c r="BR258" s="230"/>
      <c r="BS258" s="230"/>
      <c r="BT258" s="230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</row>
    <row r="259" spans="70:167">
      <c r="BR259" s="230"/>
      <c r="BS259" s="230"/>
      <c r="BT259" s="230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</row>
    <row r="260" spans="70:167">
      <c r="BR260" s="230"/>
      <c r="BS260" s="230"/>
      <c r="BT260" s="23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</row>
    <row r="261" spans="70:167">
      <c r="BR261" s="230"/>
      <c r="BS261" s="230"/>
      <c r="BT261" s="230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</row>
    <row r="262" spans="70:167">
      <c r="BR262" s="230"/>
      <c r="BS262" s="230"/>
      <c r="BT262" s="230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</row>
    <row r="263" spans="70:167">
      <c r="BR263" s="230"/>
      <c r="BS263" s="230"/>
      <c r="BT263" s="230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</row>
    <row r="264" spans="70:167">
      <c r="BR264" s="230"/>
      <c r="BS264" s="230"/>
      <c r="BT264" s="230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</row>
    <row r="265" spans="70:167">
      <c r="BR265" s="230"/>
      <c r="BS265" s="230"/>
      <c r="BT265" s="230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</row>
    <row r="266" spans="70:167">
      <c r="BR266" s="230"/>
      <c r="BS266" s="230"/>
      <c r="BT266" s="230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</row>
    <row r="267" spans="70:167">
      <c r="BR267" s="230"/>
      <c r="BS267" s="230"/>
      <c r="BT267" s="230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</row>
    <row r="268" spans="70:167">
      <c r="BR268" s="230"/>
      <c r="BS268" s="230"/>
      <c r="BT268" s="230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</row>
    <row r="269" spans="70:167">
      <c r="BR269" s="230"/>
      <c r="BS269" s="230"/>
      <c r="BT269" s="230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</row>
    <row r="270" spans="70:167">
      <c r="BR270" s="230"/>
      <c r="BS270" s="231"/>
      <c r="BT270" s="231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</row>
    <row r="271" spans="70:167">
      <c r="BR271" s="230"/>
      <c r="BS271" s="231"/>
      <c r="BT271" s="23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</row>
    <row r="272" spans="70:167">
      <c r="BR272" s="230"/>
      <c r="BS272" s="231"/>
      <c r="BT272" s="231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</row>
    <row r="273" spans="70:167">
      <c r="BR273" s="230"/>
      <c r="BS273" s="230"/>
      <c r="BT273" s="230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</row>
    <row r="274" spans="70:167">
      <c r="BR274" s="230"/>
      <c r="BS274" s="230"/>
      <c r="BT274" s="230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</row>
    <row r="275" spans="70:167">
      <c r="BR275" s="230"/>
      <c r="BS275" s="230"/>
      <c r="BT275" s="230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</row>
    <row r="276" spans="70:167">
      <c r="BR276" s="230"/>
      <c r="BS276" s="231"/>
      <c r="BT276" s="231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</row>
    <row r="277" spans="70:167">
      <c r="BR277" s="230"/>
      <c r="BS277" s="231"/>
      <c r="BT277" s="231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</row>
    <row r="278" spans="70:167">
      <c r="BR278" s="230"/>
      <c r="BS278" s="231"/>
      <c r="BT278" s="231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</row>
    <row r="279" spans="70:167">
      <c r="BR279" s="230"/>
      <c r="BS279" s="230"/>
      <c r="BT279" s="230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</row>
    <row r="280" spans="70:167">
      <c r="BR280" s="230"/>
      <c r="BS280" s="230"/>
      <c r="BT280" s="23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</row>
    <row r="281" spans="70:167">
      <c r="BR281" s="230"/>
      <c r="BS281" s="230"/>
      <c r="BT281" s="230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</row>
    <row r="282" spans="70:167">
      <c r="BR282" s="230"/>
      <c r="BS282" s="231"/>
      <c r="BT282" s="231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</row>
    <row r="283" spans="70:167">
      <c r="BR283" s="230"/>
      <c r="BS283" s="231"/>
      <c r="BT283" s="231"/>
    </row>
    <row r="284" spans="70:167">
      <c r="BR284" s="230"/>
      <c r="BS284" s="231"/>
      <c r="BT284" s="231"/>
    </row>
    <row r="285" spans="70:167">
      <c r="BR285" s="230"/>
      <c r="BS285" s="230"/>
      <c r="BT285" s="230"/>
    </row>
    <row r="286" spans="70:167">
      <c r="BR286" s="230"/>
      <c r="BS286" s="230"/>
      <c r="BT286" s="230"/>
    </row>
    <row r="287" spans="70:167">
      <c r="BR287" s="230"/>
      <c r="BS287" s="230"/>
      <c r="BT287" s="230"/>
    </row>
    <row r="288" spans="70:167">
      <c r="BR288" s="230"/>
      <c r="BS288" s="231"/>
      <c r="BT288" s="231"/>
    </row>
    <row r="289" spans="70:72">
      <c r="BR289" s="230"/>
      <c r="BS289" s="231"/>
      <c r="BT289" s="231"/>
    </row>
    <row r="290" spans="70:72">
      <c r="BR290" s="230"/>
      <c r="BS290" s="231"/>
      <c r="BT290" s="231"/>
    </row>
    <row r="291" spans="70:72">
      <c r="BR291" s="230"/>
      <c r="BS291" s="230"/>
      <c r="BT291" s="230"/>
    </row>
    <row r="292" spans="70:72">
      <c r="BR292" s="230"/>
      <c r="BS292" s="230"/>
      <c r="BT292" s="230"/>
    </row>
    <row r="293" spans="70:72">
      <c r="BR293" s="230"/>
      <c r="BS293" s="230"/>
      <c r="BT293" s="230"/>
    </row>
    <row r="294" spans="70:72">
      <c r="BR294" s="230"/>
      <c r="BS294" s="231"/>
      <c r="BT294" s="231"/>
    </row>
    <row r="295" spans="70:72">
      <c r="BR295" s="230"/>
      <c r="BS295" s="231"/>
      <c r="BT295" s="231"/>
    </row>
    <row r="296" spans="70:72">
      <c r="BR296" s="230"/>
      <c r="BS296" s="231"/>
      <c r="BT296" s="231"/>
    </row>
    <row r="297" spans="70:72">
      <c r="BR297" s="230"/>
      <c r="BS297" s="230"/>
      <c r="BT297" s="230"/>
    </row>
    <row r="298" spans="70:72">
      <c r="BR298" s="230"/>
      <c r="BS298" s="230"/>
      <c r="BT298" s="230"/>
    </row>
    <row r="299" spans="70:72">
      <c r="BR299" s="230"/>
      <c r="BS299" s="230"/>
      <c r="BT299" s="230"/>
    </row>
    <row r="300" spans="70:72">
      <c r="BR300" s="230"/>
      <c r="BS300" s="230"/>
      <c r="BT300" s="230"/>
    </row>
    <row r="301" spans="70:72">
      <c r="BR301" s="230"/>
      <c r="BS301" s="230"/>
      <c r="BT301" s="230"/>
    </row>
    <row r="302" spans="70:72">
      <c r="BR302" s="230"/>
      <c r="BS302" s="230"/>
      <c r="BT302" s="230"/>
    </row>
    <row r="303" spans="70:72">
      <c r="BR303" s="230"/>
      <c r="BS303" s="230"/>
      <c r="BT303" s="230"/>
    </row>
    <row r="304" spans="70:72">
      <c r="BR304" s="230"/>
      <c r="BS304" s="231"/>
      <c r="BT304" s="231"/>
    </row>
    <row r="305" spans="70:72">
      <c r="BR305" s="230"/>
      <c r="BS305" s="231"/>
      <c r="BT305" s="231"/>
    </row>
    <row r="306" spans="70:72">
      <c r="BR306" s="230"/>
      <c r="BS306" s="231"/>
      <c r="BT306" s="231"/>
    </row>
    <row r="307" spans="70:72">
      <c r="BR307" s="230"/>
      <c r="BS307" s="230"/>
      <c r="BT307" s="230"/>
    </row>
    <row r="308" spans="70:72">
      <c r="BR308" s="230"/>
      <c r="BS308" s="230"/>
      <c r="BT308" s="230"/>
    </row>
    <row r="309" spans="70:72">
      <c r="BR309" s="230"/>
      <c r="BS309" s="230"/>
      <c r="BT309" s="230"/>
    </row>
    <row r="310" spans="70:72">
      <c r="BR310" s="230"/>
      <c r="BS310" s="231"/>
      <c r="BT310" s="231"/>
    </row>
    <row r="311" spans="70:72">
      <c r="BR311" s="230"/>
      <c r="BS311" s="231"/>
      <c r="BT311" s="231"/>
    </row>
    <row r="312" spans="70:72">
      <c r="BR312" s="230"/>
      <c r="BS312" s="231"/>
      <c r="BT312" s="231"/>
    </row>
    <row r="313" spans="70:72">
      <c r="BR313" s="230"/>
      <c r="BS313" s="230"/>
      <c r="BT313" s="230"/>
    </row>
    <row r="314" spans="70:72">
      <c r="BR314" s="230"/>
      <c r="BS314" s="230"/>
      <c r="BT314" s="230"/>
    </row>
    <row r="315" spans="70:72">
      <c r="BR315" s="230"/>
      <c r="BS315" s="230"/>
      <c r="BT315" s="230"/>
    </row>
    <row r="316" spans="70:72">
      <c r="BR316" s="230"/>
      <c r="BS316" s="231"/>
      <c r="BT316" s="231"/>
    </row>
    <row r="317" spans="70:72">
      <c r="BR317" s="230"/>
      <c r="BS317" s="231"/>
      <c r="BT317" s="231"/>
    </row>
    <row r="318" spans="70:72">
      <c r="BR318" s="230"/>
      <c r="BS318" s="231"/>
      <c r="BT318" s="231"/>
    </row>
    <row r="319" spans="70:72">
      <c r="BR319" s="230"/>
      <c r="BS319" s="230"/>
      <c r="BT319" s="230"/>
    </row>
    <row r="320" spans="70:72">
      <c r="BR320" s="230"/>
      <c r="BS320" s="230"/>
      <c r="BT320" s="230"/>
    </row>
    <row r="321" spans="70:72">
      <c r="BR321" s="230"/>
      <c r="BS321" s="230"/>
      <c r="BT321" s="230"/>
    </row>
    <row r="322" spans="70:72">
      <c r="BR322" s="230"/>
      <c r="BS322" s="230"/>
      <c r="BT322" s="230"/>
    </row>
    <row r="323" spans="70:72">
      <c r="BR323" s="230"/>
      <c r="BS323" s="230"/>
      <c r="BT323" s="230"/>
    </row>
    <row r="324" spans="70:72">
      <c r="BR324" s="230"/>
      <c r="BS324" s="230"/>
      <c r="BT324" s="230"/>
    </row>
    <row r="325" spans="70:72">
      <c r="BR325" s="230"/>
      <c r="BS325" s="230"/>
      <c r="BT325" s="230"/>
    </row>
    <row r="326" spans="70:72">
      <c r="BR326" s="230"/>
      <c r="BS326" s="231"/>
      <c r="BT326" s="231"/>
    </row>
    <row r="327" spans="70:72">
      <c r="BR327" s="230"/>
      <c r="BS327" s="231"/>
      <c r="BT327" s="231"/>
    </row>
    <row r="328" spans="70:72">
      <c r="BR328" s="230"/>
      <c r="BS328" s="231"/>
      <c r="BT328" s="231"/>
    </row>
    <row r="329" spans="70:72">
      <c r="BR329" s="230"/>
      <c r="BS329" s="230"/>
      <c r="BT329" s="230"/>
    </row>
    <row r="330" spans="70:72">
      <c r="BR330" s="230"/>
      <c r="BS330" s="230"/>
      <c r="BT330" s="230"/>
    </row>
    <row r="331" spans="70:72">
      <c r="BR331" s="230"/>
      <c r="BS331" s="230"/>
      <c r="BT331" s="230"/>
    </row>
    <row r="332" spans="70:72">
      <c r="BR332" s="230"/>
      <c r="BS332" s="231"/>
      <c r="BT332" s="231"/>
    </row>
    <row r="333" spans="70:72">
      <c r="BR333" s="230"/>
      <c r="BS333" s="231"/>
      <c r="BT333" s="231"/>
    </row>
    <row r="334" spans="70:72">
      <c r="BR334" s="230"/>
      <c r="BS334" s="231"/>
      <c r="BT334" s="231"/>
    </row>
    <row r="335" spans="70:72">
      <c r="BR335" s="230"/>
      <c r="BS335" s="230"/>
      <c r="BT335" s="230"/>
    </row>
    <row r="336" spans="70:72">
      <c r="BR336" s="230"/>
      <c r="BS336" s="230"/>
      <c r="BT336" s="230"/>
    </row>
    <row r="337" spans="70:72">
      <c r="BR337" s="230"/>
      <c r="BS337" s="230"/>
      <c r="BT337" s="230"/>
    </row>
    <row r="338" spans="70:72">
      <c r="BR338" s="230"/>
      <c r="BS338" s="231"/>
      <c r="BT338" s="231"/>
    </row>
    <row r="339" spans="70:72">
      <c r="BR339" s="230"/>
      <c r="BS339" s="231"/>
      <c r="BT339" s="231"/>
    </row>
    <row r="340" spans="70:72">
      <c r="BR340" s="230"/>
      <c r="BS340" s="231"/>
      <c r="BT340" s="231"/>
    </row>
    <row r="341" spans="70:72">
      <c r="BR341" s="230"/>
      <c r="BS341" s="230"/>
      <c r="BT341" s="230"/>
    </row>
    <row r="342" spans="70:72">
      <c r="BR342" s="230"/>
      <c r="BS342" s="230"/>
      <c r="BT342" s="230"/>
    </row>
    <row r="343" spans="70:72">
      <c r="BR343" s="230"/>
      <c r="BS343" s="230"/>
      <c r="BT343" s="230"/>
    </row>
    <row r="344" spans="70:72">
      <c r="BR344" s="230"/>
      <c r="BS344" s="231"/>
      <c r="BT344" s="231"/>
    </row>
    <row r="345" spans="70:72">
      <c r="BR345" s="230"/>
      <c r="BS345" s="231"/>
      <c r="BT345" s="231"/>
    </row>
    <row r="346" spans="70:72">
      <c r="BR346" s="230"/>
      <c r="BS346" s="231"/>
      <c r="BT346" s="231"/>
    </row>
    <row r="347" spans="70:72">
      <c r="BR347" s="230"/>
      <c r="BS347" s="230"/>
      <c r="BT347" s="230"/>
    </row>
    <row r="348" spans="70:72">
      <c r="BR348" s="230"/>
      <c r="BS348" s="230"/>
      <c r="BT348" s="230"/>
    </row>
    <row r="349" spans="70:72">
      <c r="BR349" s="230"/>
      <c r="BS349" s="230"/>
      <c r="BT349" s="230"/>
    </row>
    <row r="350" spans="70:72">
      <c r="BR350" s="230"/>
      <c r="BS350" s="231"/>
      <c r="BT350" s="231"/>
    </row>
    <row r="351" spans="70:72">
      <c r="BR351" s="230"/>
      <c r="BS351" s="231"/>
      <c r="BT351" s="231"/>
    </row>
    <row r="352" spans="70:72">
      <c r="BR352" s="230"/>
      <c r="BS352" s="231"/>
      <c r="BT352" s="231"/>
    </row>
    <row r="353" spans="70:72">
      <c r="BR353" s="230"/>
      <c r="BS353" s="230"/>
      <c r="BT353" s="230"/>
    </row>
    <row r="354" spans="70:72">
      <c r="BR354" s="230"/>
      <c r="BS354" s="230"/>
      <c r="BT354" s="230"/>
    </row>
    <row r="355" spans="70:72">
      <c r="BR355" s="230"/>
      <c r="BS355" s="230"/>
      <c r="BT355" s="230"/>
    </row>
    <row r="356" spans="70:72">
      <c r="BR356" s="230"/>
      <c r="BS356" s="231"/>
      <c r="BT356" s="231"/>
    </row>
    <row r="357" spans="70:72">
      <c r="BR357" s="230"/>
      <c r="BS357" s="231"/>
      <c r="BT357" s="231"/>
    </row>
    <row r="358" spans="70:72">
      <c r="BR358" s="230"/>
      <c r="BS358" s="231"/>
      <c r="BT358" s="231"/>
    </row>
    <row r="359" spans="70:72">
      <c r="BR359" s="230"/>
      <c r="BS359" s="230"/>
      <c r="BT359" s="230"/>
    </row>
    <row r="360" spans="70:72">
      <c r="BR360" s="230"/>
      <c r="BS360" s="230"/>
      <c r="BT360" s="230"/>
    </row>
    <row r="361" spans="70:72">
      <c r="BR361" s="230"/>
      <c r="BS361" s="230"/>
      <c r="BT361" s="230"/>
    </row>
    <row r="362" spans="70:72">
      <c r="BR362" s="230"/>
      <c r="BS362" s="231"/>
      <c r="BT362" s="231"/>
    </row>
    <row r="363" spans="70:72">
      <c r="BR363" s="230"/>
      <c r="BS363" s="231"/>
      <c r="BT363" s="231"/>
    </row>
    <row r="364" spans="70:72">
      <c r="BR364" s="230"/>
      <c r="BS364" s="231"/>
      <c r="BT364" s="231"/>
    </row>
    <row r="365" spans="70:72">
      <c r="BR365" s="230"/>
      <c r="BS365" s="230"/>
      <c r="BT365" s="230"/>
    </row>
    <row r="366" spans="70:72">
      <c r="BR366" s="230"/>
      <c r="BS366" s="230"/>
      <c r="BT366" s="230"/>
    </row>
    <row r="367" spans="70:72">
      <c r="BR367" s="230"/>
      <c r="BS367" s="230"/>
      <c r="BT367" s="230"/>
    </row>
    <row r="368" spans="70:72">
      <c r="BR368" s="230"/>
      <c r="BS368" s="231"/>
      <c r="BT368" s="231"/>
    </row>
    <row r="369" spans="70:72">
      <c r="BR369" s="230"/>
      <c r="BS369" s="231"/>
      <c r="BT369" s="231"/>
    </row>
    <row r="370" spans="70:72">
      <c r="BR370" s="230"/>
      <c r="BS370" s="231"/>
      <c r="BT370" s="231"/>
    </row>
    <row r="371" spans="70:72">
      <c r="BR371" s="230"/>
      <c r="BS371" s="230"/>
      <c r="BT371" s="230"/>
    </row>
    <row r="372" spans="70:72">
      <c r="BR372" s="230"/>
      <c r="BS372" s="230"/>
      <c r="BT372" s="230"/>
    </row>
    <row r="373" spans="70:72">
      <c r="BR373" s="230"/>
      <c r="BS373" s="230"/>
      <c r="BT373" s="230"/>
    </row>
    <row r="374" spans="70:72">
      <c r="BR374" s="230"/>
      <c r="BS374" s="231"/>
      <c r="BT374" s="231"/>
    </row>
    <row r="375" spans="70:72">
      <c r="BR375" s="230"/>
      <c r="BS375" s="231"/>
      <c r="BT375" s="231"/>
    </row>
    <row r="376" spans="70:72">
      <c r="BR376" s="230"/>
      <c r="BS376" s="231"/>
      <c r="BT376" s="231"/>
    </row>
    <row r="377" spans="70:72">
      <c r="BR377" s="230"/>
      <c r="BS377" s="230"/>
      <c r="BT377" s="230"/>
    </row>
    <row r="378" spans="70:72">
      <c r="BR378" s="230"/>
      <c r="BS378" s="230"/>
      <c r="BT378" s="230"/>
    </row>
    <row r="379" spans="70:72">
      <c r="BR379" s="230"/>
      <c r="BS379" s="230"/>
      <c r="BT379" s="230"/>
    </row>
    <row r="380" spans="70:72">
      <c r="BR380" s="230"/>
      <c r="BS380" s="231"/>
      <c r="BT380" s="231"/>
    </row>
    <row r="381" spans="70:72">
      <c r="BR381" s="230"/>
      <c r="BS381" s="231"/>
      <c r="BT381" s="231"/>
    </row>
    <row r="382" spans="70:72">
      <c r="BR382" s="230"/>
      <c r="BS382" s="231"/>
      <c r="BT382" s="231"/>
    </row>
    <row r="383" spans="70:72">
      <c r="BR383" s="230"/>
      <c r="BS383" s="230"/>
      <c r="BT383" s="230"/>
    </row>
    <row r="384" spans="70:72">
      <c r="BR384" s="230"/>
      <c r="BS384" s="230"/>
      <c r="BT384" s="230"/>
    </row>
    <row r="385" spans="70:72">
      <c r="BR385" s="230"/>
      <c r="BS385" s="230"/>
      <c r="BT385" s="230"/>
    </row>
    <row r="386" spans="70:72">
      <c r="BR386" s="230"/>
      <c r="BS386" s="230"/>
      <c r="BT386" s="230"/>
    </row>
    <row r="387" spans="70:72">
      <c r="BR387" s="230"/>
      <c r="BS387" s="230"/>
      <c r="BT387" s="230"/>
    </row>
    <row r="388" spans="70:72">
      <c r="BR388" s="230"/>
      <c r="BS388" s="230"/>
      <c r="BT388" s="230"/>
    </row>
    <row r="389" spans="70:72">
      <c r="BR389" s="230"/>
      <c r="BS389" s="230"/>
      <c r="BT389" s="230"/>
    </row>
    <row r="390" spans="70:72">
      <c r="BR390" s="230"/>
      <c r="BS390" s="231"/>
      <c r="BT390" s="231"/>
    </row>
    <row r="391" spans="70:72">
      <c r="BR391" s="230"/>
      <c r="BS391" s="231"/>
      <c r="BT391" s="231"/>
    </row>
    <row r="392" spans="70:72">
      <c r="BR392" s="230"/>
      <c r="BS392" s="231"/>
      <c r="BT392" s="231"/>
    </row>
    <row r="393" spans="70:72">
      <c r="BR393" s="230"/>
      <c r="BS393" s="230"/>
      <c r="BT393" s="230"/>
    </row>
    <row r="394" spans="70:72">
      <c r="BR394" s="230"/>
      <c r="BS394" s="230"/>
      <c r="BT394" s="230"/>
    </row>
    <row r="395" spans="70:72">
      <c r="BR395" s="230"/>
      <c r="BS395" s="230"/>
      <c r="BT395" s="230"/>
    </row>
    <row r="396" spans="70:72">
      <c r="BR396" s="230"/>
      <c r="BS396" s="230"/>
      <c r="BT396" s="230"/>
    </row>
    <row r="397" spans="70:72">
      <c r="BR397" s="230"/>
      <c r="BS397" s="230"/>
      <c r="BT397" s="230"/>
    </row>
    <row r="398" spans="70:72">
      <c r="BR398" s="230"/>
      <c r="BS398" s="230"/>
      <c r="BT398" s="230"/>
    </row>
    <row r="399" spans="70:72">
      <c r="BR399" s="230"/>
      <c r="BS399" s="230"/>
      <c r="BT399" s="230"/>
    </row>
    <row r="400" spans="70:72">
      <c r="BR400" s="230"/>
      <c r="BS400" s="230"/>
      <c r="BT400" s="230"/>
    </row>
    <row r="401" spans="70:72">
      <c r="BR401" s="230"/>
      <c r="BS401" s="230"/>
      <c r="BT401" s="230"/>
    </row>
    <row r="402" spans="70:72">
      <c r="BR402" s="230"/>
      <c r="BS402" s="230"/>
      <c r="BT402" s="230"/>
    </row>
    <row r="403" spans="70:72">
      <c r="BR403" s="230"/>
      <c r="BS403" s="230"/>
      <c r="BT403" s="230"/>
    </row>
    <row r="404" spans="70:72">
      <c r="BR404" s="230"/>
      <c r="BS404" s="231"/>
      <c r="BT404" s="231"/>
    </row>
    <row r="405" spans="70:72">
      <c r="BR405" s="230"/>
      <c r="BS405" s="231"/>
      <c r="BT405" s="231"/>
    </row>
    <row r="406" spans="70:72">
      <c r="BR406" s="230"/>
      <c r="BS406" s="231"/>
      <c r="BT406" s="231"/>
    </row>
    <row r="407" spans="70:72">
      <c r="BR407" s="230"/>
      <c r="BS407" s="230"/>
      <c r="BT407" s="230"/>
    </row>
    <row r="408" spans="70:72">
      <c r="BR408" s="230"/>
      <c r="BS408" s="230"/>
      <c r="BT408" s="230"/>
    </row>
    <row r="409" spans="70:72">
      <c r="BR409" s="230"/>
      <c r="BS409" s="230"/>
      <c r="BT409" s="230"/>
    </row>
    <row r="410" spans="70:72">
      <c r="BR410" s="230"/>
      <c r="BS410" s="231"/>
      <c r="BT410" s="231"/>
    </row>
    <row r="411" spans="70:72">
      <c r="BR411" s="230"/>
      <c r="BS411" s="231"/>
      <c r="BT411" s="231"/>
    </row>
    <row r="412" spans="70:72">
      <c r="BR412" s="230"/>
      <c r="BS412" s="231"/>
      <c r="BT412" s="231"/>
    </row>
    <row r="413" spans="70:72">
      <c r="BR413" s="230"/>
      <c r="BS413" s="230"/>
      <c r="BT413" s="230"/>
    </row>
    <row r="414" spans="70:72">
      <c r="BR414" s="230"/>
      <c r="BS414" s="230"/>
      <c r="BT414" s="230"/>
    </row>
    <row r="415" spans="70:72">
      <c r="BR415" s="230"/>
      <c r="BS415" s="230"/>
      <c r="BT415" s="230"/>
    </row>
    <row r="416" spans="70:72">
      <c r="BR416" s="230"/>
      <c r="BS416" s="231"/>
      <c r="BT416" s="231"/>
    </row>
    <row r="417" spans="70:72">
      <c r="BR417" s="230"/>
      <c r="BS417" s="231"/>
      <c r="BT417" s="231"/>
    </row>
    <row r="418" spans="70:72">
      <c r="BR418" s="230"/>
      <c r="BS418" s="231"/>
      <c r="BT418" s="231"/>
    </row>
    <row r="419" spans="70:72">
      <c r="BR419" s="230"/>
      <c r="BS419" s="230"/>
      <c r="BT419" s="230"/>
    </row>
    <row r="420" spans="70:72">
      <c r="BR420" s="230"/>
      <c r="BS420" s="230"/>
      <c r="BT420" s="230"/>
    </row>
    <row r="421" spans="70:72">
      <c r="BR421" s="230"/>
      <c r="BS421" s="230"/>
      <c r="BT421" s="230"/>
    </row>
    <row r="422" spans="70:72">
      <c r="BR422" s="230"/>
      <c r="BS422" s="231"/>
      <c r="BT422" s="231"/>
    </row>
    <row r="423" spans="70:72">
      <c r="BR423" s="230"/>
      <c r="BS423" s="231"/>
      <c r="BT423" s="231"/>
    </row>
    <row r="424" spans="70:72">
      <c r="BR424" s="230"/>
      <c r="BS424" s="231"/>
      <c r="BT424" s="231"/>
    </row>
    <row r="425" spans="70:72">
      <c r="BR425" s="230"/>
      <c r="BS425" s="230"/>
      <c r="BT425" s="230"/>
    </row>
    <row r="426" spans="70:72">
      <c r="BR426" s="230"/>
      <c r="BS426" s="230"/>
      <c r="BT426" s="230"/>
    </row>
    <row r="427" spans="70:72">
      <c r="BR427" s="230"/>
      <c r="BS427" s="230"/>
      <c r="BT427" s="230"/>
    </row>
    <row r="428" spans="70:72">
      <c r="BR428" s="230"/>
      <c r="BS428" s="231"/>
      <c r="BT428" s="231"/>
    </row>
    <row r="429" spans="70:72">
      <c r="BR429" s="230"/>
      <c r="BS429" s="231"/>
      <c r="BT429" s="231"/>
    </row>
    <row r="430" spans="70:72">
      <c r="BR430" s="230"/>
      <c r="BS430" s="231"/>
      <c r="BT430" s="231"/>
    </row>
    <row r="431" spans="70:72">
      <c r="BR431" s="230"/>
      <c r="BS431" s="230"/>
      <c r="BT431" s="230"/>
    </row>
    <row r="432" spans="70:72">
      <c r="BR432" s="230"/>
      <c r="BS432" s="230"/>
      <c r="BT432" s="230"/>
    </row>
    <row r="433" spans="70:72">
      <c r="BR433" s="230"/>
      <c r="BS433" s="230"/>
      <c r="BT433" s="230"/>
    </row>
    <row r="434" spans="70:72">
      <c r="BR434" s="230"/>
      <c r="BS434" s="231"/>
      <c r="BT434" s="231"/>
    </row>
    <row r="435" spans="70:72">
      <c r="BR435" s="230"/>
      <c r="BS435" s="231"/>
      <c r="BT435" s="231"/>
    </row>
    <row r="436" spans="70:72">
      <c r="BR436" s="230"/>
      <c r="BS436" s="231"/>
      <c r="BT436" s="231"/>
    </row>
    <row r="437" spans="70:72">
      <c r="BR437" s="230"/>
      <c r="BS437" s="230"/>
      <c r="BT437" s="230"/>
    </row>
    <row r="438" spans="70:72">
      <c r="BR438" s="230"/>
      <c r="BS438" s="230"/>
      <c r="BT438" s="230"/>
    </row>
    <row r="439" spans="70:72">
      <c r="BR439" s="230"/>
      <c r="BS439" s="230"/>
      <c r="BT439" s="230"/>
    </row>
    <row r="440" spans="70:72">
      <c r="BR440" s="230"/>
      <c r="BS440" s="230"/>
      <c r="BT440" s="230"/>
    </row>
    <row r="441" spans="70:72">
      <c r="BR441" s="230"/>
      <c r="BS441" s="230"/>
      <c r="BT441" s="230"/>
    </row>
    <row r="442" spans="70:72">
      <c r="BR442" s="230"/>
      <c r="BS442" s="230"/>
      <c r="BT442" s="230"/>
    </row>
    <row r="443" spans="70:72">
      <c r="BR443" s="230"/>
      <c r="BS443" s="230"/>
      <c r="BT443" s="230"/>
    </row>
    <row r="444" spans="70:72">
      <c r="BR444" s="230"/>
      <c r="BS444" s="231"/>
      <c r="BT444" s="231"/>
    </row>
    <row r="445" spans="70:72">
      <c r="BR445" s="230"/>
      <c r="BS445" s="231"/>
      <c r="BT445" s="231"/>
    </row>
    <row r="446" spans="70:72">
      <c r="BR446" s="230"/>
      <c r="BS446" s="231"/>
      <c r="BT446" s="231"/>
    </row>
    <row r="447" spans="70:72">
      <c r="BR447" s="230"/>
      <c r="BS447" s="230"/>
      <c r="BT447" s="230"/>
    </row>
    <row r="448" spans="70:72">
      <c r="BR448" s="230"/>
      <c r="BS448" s="230"/>
      <c r="BT448" s="230"/>
    </row>
    <row r="449" spans="70:72">
      <c r="BR449" s="230"/>
      <c r="BS449" s="230"/>
      <c r="BT449" s="230"/>
    </row>
    <row r="450" spans="70:72">
      <c r="BR450" s="230"/>
      <c r="BS450" s="230"/>
      <c r="BT450" s="230"/>
    </row>
    <row r="451" spans="70:72">
      <c r="BR451" s="230"/>
      <c r="BS451" s="230"/>
      <c r="BT451" s="230"/>
    </row>
    <row r="452" spans="70:72">
      <c r="BR452" s="230"/>
      <c r="BS452" s="230"/>
      <c r="BT452" s="230"/>
    </row>
    <row r="453" spans="70:72">
      <c r="BR453" s="230"/>
      <c r="BS453" s="230"/>
      <c r="BT453" s="230"/>
    </row>
    <row r="454" spans="70:72">
      <c r="BR454" s="230"/>
      <c r="BS454" s="230"/>
      <c r="BT454" s="230"/>
    </row>
    <row r="455" spans="70:72">
      <c r="BR455" s="230"/>
      <c r="BS455" s="230"/>
      <c r="BT455" s="230"/>
    </row>
    <row r="456" spans="70:72">
      <c r="BR456" s="230"/>
      <c r="BS456" s="231"/>
      <c r="BT456" s="231"/>
    </row>
    <row r="457" spans="70:72">
      <c r="BR457" s="230"/>
      <c r="BS457" s="231"/>
      <c r="BT457" s="231"/>
    </row>
    <row r="458" spans="70:72">
      <c r="BR458" s="230"/>
      <c r="BS458" s="231"/>
      <c r="BT458" s="231"/>
    </row>
    <row r="459" spans="70:72">
      <c r="BR459" s="230"/>
      <c r="BS459" s="230"/>
      <c r="BT459" s="230"/>
    </row>
    <row r="460" spans="70:72">
      <c r="BR460" s="230"/>
      <c r="BS460" s="230"/>
      <c r="BT460" s="230"/>
    </row>
    <row r="461" spans="70:72">
      <c r="BR461" s="230"/>
      <c r="BS461" s="230"/>
      <c r="BT461" s="230"/>
    </row>
    <row r="462" spans="70:72">
      <c r="BR462" s="230"/>
      <c r="BS462" s="231"/>
      <c r="BT462" s="231"/>
    </row>
    <row r="463" spans="70:72">
      <c r="BR463" s="230"/>
      <c r="BS463" s="231"/>
      <c r="BT463" s="231"/>
    </row>
    <row r="464" spans="70:72">
      <c r="BR464" s="230"/>
      <c r="BS464" s="231"/>
      <c r="BT464" s="231"/>
    </row>
    <row r="465" spans="70:72">
      <c r="BR465" s="230"/>
      <c r="BS465" s="230"/>
      <c r="BT465" s="230"/>
    </row>
    <row r="466" spans="70:72">
      <c r="BR466" s="230"/>
      <c r="BS466" s="230"/>
      <c r="BT466" s="230"/>
    </row>
    <row r="467" spans="70:72">
      <c r="BR467" s="230"/>
      <c r="BS467" s="230"/>
      <c r="BT467" s="230"/>
    </row>
    <row r="468" spans="70:72">
      <c r="BR468" s="230"/>
      <c r="BS468" s="231"/>
      <c r="BT468" s="231"/>
    </row>
    <row r="469" spans="70:72">
      <c r="BR469" s="230"/>
      <c r="BS469" s="231"/>
      <c r="BT469" s="231"/>
    </row>
    <row r="470" spans="70:72">
      <c r="BR470" s="230"/>
      <c r="BS470" s="230"/>
      <c r="BT470" s="230"/>
    </row>
    <row r="471" spans="70:72">
      <c r="BR471" s="230"/>
      <c r="BS471" s="230"/>
      <c r="BT471" s="230"/>
    </row>
    <row r="472" spans="70:72">
      <c r="BR472" s="230"/>
      <c r="BS472" s="230"/>
      <c r="BT472" s="230"/>
    </row>
    <row r="473" spans="70:72">
      <c r="BR473" s="230"/>
      <c r="BS473" s="230"/>
      <c r="BT473" s="230"/>
    </row>
  </sheetData>
  <mergeCells count="1">
    <mergeCell ref="AS7:AX7"/>
  </mergeCells>
  <phoneticPr fontId="46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S126"/>
  <sheetViews>
    <sheetView workbookViewId="0">
      <selection activeCell="N8" sqref="N8"/>
    </sheetView>
  </sheetViews>
  <sheetFormatPr defaultColWidth="8.85546875" defaultRowHeight="12.75"/>
  <cols>
    <col min="1" max="1" width="6" style="3" bestFit="1" customWidth="1"/>
    <col min="2" max="2" width="6" style="3" customWidth="1"/>
    <col min="3" max="3" width="9.85546875" style="3" bestFit="1" customWidth="1"/>
    <col min="4" max="4" width="8.85546875" style="3" bestFit="1" customWidth="1"/>
    <col min="5" max="5" width="14" style="3" bestFit="1" customWidth="1"/>
    <col min="6" max="6" width="10.85546875" style="3" bestFit="1" customWidth="1"/>
    <col min="7" max="9" width="8.85546875" style="3"/>
    <col min="10" max="10" width="9.42578125" style="3" bestFit="1" customWidth="1"/>
    <col min="11" max="11" width="12" style="3" bestFit="1" customWidth="1"/>
    <col min="12" max="12" width="13.42578125" style="3" bestFit="1" customWidth="1"/>
    <col min="13" max="14" width="13.42578125" style="3" customWidth="1"/>
    <col min="15" max="15" width="6.42578125" style="3" bestFit="1" customWidth="1"/>
    <col min="16" max="16" width="6" style="3" bestFit="1" customWidth="1"/>
    <col min="17" max="17" width="6.42578125" style="3" bestFit="1" customWidth="1"/>
    <col min="18" max="18" width="8" style="3" bestFit="1" customWidth="1"/>
    <col min="19" max="19" width="7.42578125" style="3" bestFit="1" customWidth="1"/>
    <col min="20" max="20" width="8.85546875" style="3"/>
    <col min="21" max="21" width="13.140625" style="3" bestFit="1" customWidth="1"/>
    <col min="22" max="22" width="9.7109375" style="3" bestFit="1" customWidth="1"/>
    <col min="23" max="23" width="7.42578125" style="3" bestFit="1" customWidth="1"/>
    <col min="24" max="24" width="6.85546875" style="3" bestFit="1" customWidth="1"/>
    <col min="25" max="25" width="12" style="3" bestFit="1" customWidth="1"/>
    <col min="26" max="16384" width="8.85546875" style="3"/>
  </cols>
  <sheetData>
    <row r="1" spans="1:19">
      <c r="A1" s="3">
        <v>5</v>
      </c>
      <c r="C1" s="3" t="s">
        <v>153</v>
      </c>
      <c r="H1" s="174" t="s">
        <v>119</v>
      </c>
      <c r="I1" s="174"/>
      <c r="J1" s="174" t="s">
        <v>120</v>
      </c>
      <c r="K1" s="174">
        <v>8.3140000000000001</v>
      </c>
    </row>
    <row r="2" spans="1:19">
      <c r="A2" s="3">
        <v>2</v>
      </c>
      <c r="C2" s="3" t="s">
        <v>154</v>
      </c>
      <c r="H2" s="174" t="s">
        <v>121</v>
      </c>
      <c r="I2" s="174"/>
      <c r="J2" s="174" t="s">
        <v>122</v>
      </c>
      <c r="K2" s="174">
        <v>293</v>
      </c>
    </row>
    <row r="3" spans="1:19">
      <c r="A3" s="3">
        <v>67.349999999999994</v>
      </c>
      <c r="C3" s="3" t="s">
        <v>155</v>
      </c>
      <c r="H3" s="174"/>
      <c r="I3" s="174"/>
      <c r="J3" s="174" t="s">
        <v>123</v>
      </c>
      <c r="K3" s="174">
        <v>101.33</v>
      </c>
    </row>
    <row r="4" spans="1:19">
      <c r="H4" s="174"/>
      <c r="I4" s="174"/>
      <c r="J4" s="175" t="s">
        <v>124</v>
      </c>
      <c r="K4" s="175">
        <f>K1*K2/K3</f>
        <v>24.040284219875655</v>
      </c>
    </row>
    <row r="5" spans="1:19">
      <c r="M5" s="3" t="s">
        <v>49</v>
      </c>
      <c r="N5" s="3" t="s">
        <v>51</v>
      </c>
    </row>
    <row r="6" spans="1:19" ht="38.25">
      <c r="A6" s="9" t="s">
        <v>59</v>
      </c>
      <c r="B6" s="9" t="s">
        <v>61</v>
      </c>
      <c r="C6" s="10" t="s">
        <v>79</v>
      </c>
      <c r="D6" s="10" t="s">
        <v>80</v>
      </c>
      <c r="E6" s="10" t="s">
        <v>67</v>
      </c>
      <c r="F6" s="10" t="s">
        <v>156</v>
      </c>
      <c r="G6" s="9" t="s">
        <v>157</v>
      </c>
      <c r="H6" s="9" t="s">
        <v>158</v>
      </c>
      <c r="I6" s="9" t="s">
        <v>159</v>
      </c>
      <c r="J6" s="89" t="s">
        <v>160</v>
      </c>
      <c r="K6" s="90" t="s">
        <v>161</v>
      </c>
      <c r="L6" s="10" t="s">
        <v>162</v>
      </c>
      <c r="M6" s="10" t="s">
        <v>48</v>
      </c>
      <c r="N6" s="173" t="s">
        <v>50</v>
      </c>
      <c r="O6" s="49" t="s">
        <v>163</v>
      </c>
      <c r="P6" s="4" t="s">
        <v>156</v>
      </c>
      <c r="Q6" s="40" t="s">
        <v>157</v>
      </c>
      <c r="R6" s="3" t="s">
        <v>158</v>
      </c>
      <c r="S6" s="3" t="s">
        <v>159</v>
      </c>
    </row>
    <row r="7" spans="1:19">
      <c r="A7" s="15">
        <f>'Exptl Setup'!A8</f>
        <v>1</v>
      </c>
      <c r="B7" s="15" t="str">
        <f>'Exptl Setup'!C8</f>
        <v>a</v>
      </c>
      <c r="C7" s="15">
        <f>'Exptl Setup'!D8</f>
        <v>16</v>
      </c>
      <c r="D7" s="15" t="str">
        <f>'Exptl Setup'!E8</f>
        <v>+</v>
      </c>
      <c r="E7" s="22">
        <f>'Exptl Setup'!K8</f>
        <v>0</v>
      </c>
      <c r="F7" s="91">
        <v>64.12</v>
      </c>
      <c r="G7" s="91">
        <v>64.13</v>
      </c>
      <c r="H7" s="91">
        <v>64.06</v>
      </c>
      <c r="I7" s="91">
        <f>AVERAGE(F7:H7)</f>
        <v>64.103333333333339</v>
      </c>
      <c r="J7" s="123">
        <f>$A$3-$A$2-$A$1</f>
        <v>60.349999999999994</v>
      </c>
      <c r="K7" s="123">
        <f>((I7-$S$7)*$S$13)+$S$12</f>
        <v>942.86889604243811</v>
      </c>
      <c r="L7" s="176">
        <f>((K7/1000000)*J7)*((101.3*273)/(101.3*(273+22)))*(44/22.4)</f>
        <v>0.10343651334268275</v>
      </c>
      <c r="M7" s="177">
        <f>(((J7/1000)/$K$4)*(K7/1000000))*44*1000000</f>
        <v>104.14577646636658</v>
      </c>
      <c r="N7" s="178">
        <f>(((J7/1000)/$K$4)*(K7/1000000))*12*1000000000/5</f>
        <v>5680.6787163472682</v>
      </c>
      <c r="O7" s="92" t="s">
        <v>164</v>
      </c>
      <c r="P7" s="4">
        <v>27.76</v>
      </c>
      <c r="Q7" s="40">
        <v>27.75</v>
      </c>
      <c r="R7" s="3">
        <v>27.81</v>
      </c>
      <c r="S7" s="75">
        <f>AVERAGE(P7:R7)</f>
        <v>27.773333333333337</v>
      </c>
    </row>
    <row r="8" spans="1:19">
      <c r="A8" s="15">
        <f>'Exptl Setup'!A9</f>
        <v>2</v>
      </c>
      <c r="B8" s="15" t="str">
        <f>'Exptl Setup'!C9</f>
        <v>b</v>
      </c>
      <c r="C8" s="15">
        <f>'Exptl Setup'!D9</f>
        <v>16</v>
      </c>
      <c r="D8" s="15" t="str">
        <f>'Exptl Setup'!E9</f>
        <v>+</v>
      </c>
      <c r="E8" s="22">
        <f>'Exptl Setup'!K9</f>
        <v>0</v>
      </c>
      <c r="F8" s="91">
        <v>67.209999999999994</v>
      </c>
      <c r="G8" s="91">
        <v>67.38</v>
      </c>
      <c r="H8" s="91">
        <v>67.2</v>
      </c>
      <c r="I8" s="91">
        <f t="shared" ref="I8:I54" si="0">AVERAGE(F8:H8)</f>
        <v>67.263333333333321</v>
      </c>
      <c r="J8" s="123">
        <f t="shared" ref="J8:J71" si="1">$A$3-$A$2-$A$1</f>
        <v>60.349999999999994</v>
      </c>
      <c r="K8" s="123">
        <f t="shared" ref="K8:K30" si="2">((I8-$S$7)*$S$13)+$S$12</f>
        <v>1023.6687165604576</v>
      </c>
      <c r="L8" s="91">
        <f t="shared" ref="L8:L54" si="3">((K8/1000000)*J8)*((101.3*273)/(101.3*(273+22)))*(44/22.4)</f>
        <v>0.11230057890702427</v>
      </c>
      <c r="M8" s="179">
        <f t="shared" ref="M8:M71" si="4">(((J8/1000)/$K$4)*(K8/1000000))*44*1000000</f>
        <v>113.07062283844741</v>
      </c>
      <c r="N8" s="180">
        <f t="shared" ref="N8:N71" si="5">(((J8/1000)/$K$4)*(K8/1000000))*12*1000000000/5</f>
        <v>6167.4885184607683</v>
      </c>
      <c r="O8" s="29">
        <v>357</v>
      </c>
      <c r="P8" s="4">
        <v>21.61</v>
      </c>
      <c r="Q8" s="40">
        <v>21.79</v>
      </c>
      <c r="R8" s="3">
        <v>21.6</v>
      </c>
      <c r="S8" s="75">
        <f>AVERAGE(P8:R8)</f>
        <v>21.666666666666668</v>
      </c>
    </row>
    <row r="9" spans="1:19">
      <c r="A9" s="15">
        <f>'Exptl Setup'!A10</f>
        <v>3</v>
      </c>
      <c r="B9" s="15" t="str">
        <f>'Exptl Setup'!C10</f>
        <v>c</v>
      </c>
      <c r="C9" s="15">
        <f>'Exptl Setup'!D10</f>
        <v>16</v>
      </c>
      <c r="D9" s="15" t="str">
        <f>'Exptl Setup'!E10</f>
        <v>+</v>
      </c>
      <c r="E9" s="22">
        <f>'Exptl Setup'!K10</f>
        <v>0</v>
      </c>
      <c r="F9" s="91">
        <v>69.61</v>
      </c>
      <c r="G9" s="91">
        <v>69.59</v>
      </c>
      <c r="H9" s="91">
        <v>69.52</v>
      </c>
      <c r="I9" s="91">
        <f t="shared" si="0"/>
        <v>69.573333333333323</v>
      </c>
      <c r="J9" s="123">
        <f t="shared" si="1"/>
        <v>60.349999999999994</v>
      </c>
      <c r="K9" s="123">
        <f t="shared" si="2"/>
        <v>1082.7344081416686</v>
      </c>
      <c r="L9" s="91">
        <f t="shared" si="3"/>
        <v>0.11878032303791956</v>
      </c>
      <c r="M9" s="179">
        <f t="shared" si="4"/>
        <v>119.59479850917742</v>
      </c>
      <c r="N9" s="180">
        <f t="shared" si="5"/>
        <v>6523.3526459551313</v>
      </c>
      <c r="O9" s="93">
        <v>10000</v>
      </c>
      <c r="P9" s="4">
        <v>630.9</v>
      </c>
      <c r="Q9" s="40">
        <v>630.29999999999995</v>
      </c>
      <c r="R9" s="3">
        <v>630.79999999999995</v>
      </c>
      <c r="S9" s="75">
        <f t="shared" ref="S9:S10" si="6">AVERAGE(P9:R9)</f>
        <v>630.66666666666663</v>
      </c>
    </row>
    <row r="10" spans="1:19">
      <c r="A10" s="15">
        <f>'Exptl Setup'!A14</f>
        <v>7</v>
      </c>
      <c r="B10" s="15" t="str">
        <f>'Exptl Setup'!C14</f>
        <v>a</v>
      </c>
      <c r="C10" s="15">
        <f>'Exptl Setup'!D14</f>
        <v>16</v>
      </c>
      <c r="D10" s="15" t="str">
        <f>'Exptl Setup'!E14</f>
        <v>+</v>
      </c>
      <c r="E10" s="22">
        <f>'Exptl Setup'!K14</f>
        <v>5.9999953707848501</v>
      </c>
      <c r="F10" s="91">
        <v>98.6</v>
      </c>
      <c r="G10" s="91">
        <v>98.78</v>
      </c>
      <c r="H10" s="91">
        <v>98.6</v>
      </c>
      <c r="I10" s="91">
        <f t="shared" si="0"/>
        <v>98.660000000000011</v>
      </c>
      <c r="J10" s="123">
        <f t="shared" si="1"/>
        <v>60.349999999999994</v>
      </c>
      <c r="K10" s="123">
        <f t="shared" si="2"/>
        <v>1826.4677771714607</v>
      </c>
      <c r="L10" s="91">
        <f t="shared" si="3"/>
        <v>0.20037086746243937</v>
      </c>
      <c r="M10" s="179">
        <f t="shared" si="4"/>
        <v>201.74480846991344</v>
      </c>
      <c r="N10" s="180">
        <f t="shared" si="5"/>
        <v>11004.262280177096</v>
      </c>
      <c r="O10" s="94">
        <v>50000</v>
      </c>
      <c r="P10" s="4">
        <v>2882</v>
      </c>
      <c r="Q10" s="4">
        <v>288.3</v>
      </c>
      <c r="R10" s="3">
        <v>2879</v>
      </c>
      <c r="S10" s="75">
        <f t="shared" si="6"/>
        <v>2016.4333333333334</v>
      </c>
    </row>
    <row r="11" spans="1:19">
      <c r="A11" s="15">
        <f>'Exptl Setup'!A15</f>
        <v>8</v>
      </c>
      <c r="B11" s="15" t="str">
        <f>'Exptl Setup'!C15</f>
        <v>b</v>
      </c>
      <c r="C11" s="15">
        <f>'Exptl Setup'!D15</f>
        <v>16</v>
      </c>
      <c r="D11" s="15" t="str">
        <f>'Exptl Setup'!E15</f>
        <v>+</v>
      </c>
      <c r="E11" s="22">
        <f>'Exptl Setup'!K15</f>
        <v>5.9986830358393597</v>
      </c>
      <c r="F11" s="91">
        <v>95.42</v>
      </c>
      <c r="G11" s="91">
        <v>95.27</v>
      </c>
      <c r="H11" s="91">
        <v>95.2</v>
      </c>
      <c r="I11" s="91">
        <f t="shared" si="0"/>
        <v>95.296666666666667</v>
      </c>
      <c r="J11" s="123">
        <f t="shared" si="1"/>
        <v>60.349999999999994</v>
      </c>
      <c r="K11" s="123">
        <f t="shared" si="2"/>
        <v>1740.4688120842429</v>
      </c>
      <c r="L11" s="91">
        <f t="shared" si="3"/>
        <v>0.19093643481009684</v>
      </c>
      <c r="M11" s="179">
        <f t="shared" si="4"/>
        <v>192.24568400848975</v>
      </c>
      <c r="N11" s="180">
        <f t="shared" si="5"/>
        <v>10486.128218644897</v>
      </c>
    </row>
    <row r="12" spans="1:19">
      <c r="A12" s="15">
        <f>'Exptl Setup'!A16</f>
        <v>9</v>
      </c>
      <c r="B12" s="15" t="str">
        <f>'Exptl Setup'!C16</f>
        <v>c</v>
      </c>
      <c r="C12" s="15">
        <f>'Exptl Setup'!D16</f>
        <v>16</v>
      </c>
      <c r="D12" s="15" t="str">
        <f>'Exptl Setup'!E16</f>
        <v>+</v>
      </c>
      <c r="E12" s="22">
        <f>'Exptl Setup'!K16</f>
        <v>5.997558634145669</v>
      </c>
      <c r="F12" s="91">
        <v>109.7</v>
      </c>
      <c r="G12" s="91">
        <v>109.1</v>
      </c>
      <c r="H12" s="91">
        <v>108.8</v>
      </c>
      <c r="I12" s="91">
        <f t="shared" si="0"/>
        <v>109.2</v>
      </c>
      <c r="J12" s="123">
        <f t="shared" si="1"/>
        <v>60.349999999999994</v>
      </c>
      <c r="K12" s="123">
        <f t="shared" si="2"/>
        <v>2095.9709759878942</v>
      </c>
      <c r="L12" s="91">
        <f t="shared" si="3"/>
        <v>0.22993645323717363</v>
      </c>
      <c r="M12" s="179">
        <f t="shared" si="4"/>
        <v>231.51312516666414</v>
      </c>
      <c r="N12" s="180">
        <f t="shared" si="5"/>
        <v>12627.988645454407</v>
      </c>
      <c r="R12" s="95" t="s">
        <v>165</v>
      </c>
      <c r="S12" s="40">
        <f>INTERCEPT(O8:O9,S8:S9)</f>
        <v>13.926655719758855</v>
      </c>
    </row>
    <row r="13" spans="1:19">
      <c r="A13" s="15">
        <f>'Exptl Setup'!A20</f>
        <v>13</v>
      </c>
      <c r="B13" s="15" t="str">
        <f>'Exptl Setup'!C20</f>
        <v>a</v>
      </c>
      <c r="C13" s="15">
        <f>'Exptl Setup'!D20</f>
        <v>16</v>
      </c>
      <c r="D13" s="15" t="str">
        <f>'Exptl Setup'!E20</f>
        <v>+</v>
      </c>
      <c r="E13" s="22">
        <f>'Exptl Setup'!K20</f>
        <v>15.998487656583571</v>
      </c>
      <c r="F13" s="91">
        <v>203.3</v>
      </c>
      <c r="G13" s="91">
        <v>202.8</v>
      </c>
      <c r="H13" s="91">
        <v>202.6</v>
      </c>
      <c r="I13" s="91">
        <f t="shared" si="0"/>
        <v>202.9</v>
      </c>
      <c r="J13" s="123">
        <f t="shared" si="1"/>
        <v>60.349999999999994</v>
      </c>
      <c r="K13" s="123">
        <f t="shared" si="2"/>
        <v>4491.8390717279181</v>
      </c>
      <c r="L13" s="91">
        <f t="shared" si="3"/>
        <v>0.49277282772413794</v>
      </c>
      <c r="M13" s="179">
        <f t="shared" si="4"/>
        <v>496.15176600969517</v>
      </c>
      <c r="N13" s="180">
        <f t="shared" si="5"/>
        <v>27062.823600528827</v>
      </c>
      <c r="R13" s="96" t="s">
        <v>166</v>
      </c>
      <c r="S13" s="5">
        <f>SLOPE(O8:O10,S8:S10)</f>
        <v>25.56956345506962</v>
      </c>
    </row>
    <row r="14" spans="1:19">
      <c r="A14" s="15">
        <f>'Exptl Setup'!A21</f>
        <v>14</v>
      </c>
      <c r="B14" s="15" t="str">
        <f>'Exptl Setup'!C21</f>
        <v>b</v>
      </c>
      <c r="C14" s="15">
        <f>'Exptl Setup'!D21</f>
        <v>16</v>
      </c>
      <c r="D14" s="15" t="str">
        <f>'Exptl Setup'!E21</f>
        <v>+</v>
      </c>
      <c r="E14" s="22">
        <f>'Exptl Setup'!K21</f>
        <v>16.000987810929029</v>
      </c>
      <c r="F14" s="91">
        <v>205.5</v>
      </c>
      <c r="G14" s="91">
        <v>205.3</v>
      </c>
      <c r="H14" s="91">
        <v>205.1</v>
      </c>
      <c r="I14" s="91">
        <f t="shared" si="0"/>
        <v>205.29999999999998</v>
      </c>
      <c r="J14" s="123">
        <f t="shared" si="1"/>
        <v>60.349999999999994</v>
      </c>
      <c r="K14" s="123">
        <f t="shared" si="2"/>
        <v>4553.2060240200844</v>
      </c>
      <c r="L14" s="91">
        <f t="shared" si="3"/>
        <v>0.49950502941857444</v>
      </c>
      <c r="M14" s="179">
        <f t="shared" si="4"/>
        <v>502.93013034292096</v>
      </c>
      <c r="N14" s="180">
        <f t="shared" si="5"/>
        <v>27432.552564159327</v>
      </c>
    </row>
    <row r="15" spans="1:19">
      <c r="A15" s="15">
        <f>'Exptl Setup'!A22</f>
        <v>15</v>
      </c>
      <c r="B15" s="15" t="str">
        <f>'Exptl Setup'!C22</f>
        <v>c</v>
      </c>
      <c r="C15" s="15">
        <f>'Exptl Setup'!D22</f>
        <v>16</v>
      </c>
      <c r="D15" s="15" t="str">
        <f>'Exptl Setup'!E22</f>
        <v>+</v>
      </c>
      <c r="E15" s="22">
        <f>'Exptl Setup'!K22</f>
        <v>15.997987719467337</v>
      </c>
      <c r="F15" s="91">
        <v>167.9</v>
      </c>
      <c r="G15" s="91">
        <v>167.9</v>
      </c>
      <c r="H15" s="91">
        <v>167.7</v>
      </c>
      <c r="I15" s="91">
        <f t="shared" si="0"/>
        <v>167.83333333333334</v>
      </c>
      <c r="J15" s="123">
        <f t="shared" si="1"/>
        <v>60.349999999999994</v>
      </c>
      <c r="K15" s="123">
        <f t="shared" si="2"/>
        <v>3595.1997132368097</v>
      </c>
      <c r="L15" s="91">
        <f t="shared" si="3"/>
        <v>0.39440788074431349</v>
      </c>
      <c r="M15" s="179">
        <f t="shared" si="4"/>
        <v>397.11233158533776</v>
      </c>
      <c r="N15" s="180">
        <f t="shared" si="5"/>
        <v>21660.672631927515</v>
      </c>
    </row>
    <row r="16" spans="1:19">
      <c r="A16" s="15">
        <f>'Exptl Setup'!A26</f>
        <v>19</v>
      </c>
      <c r="B16" s="15" t="str">
        <f>'Exptl Setup'!C26</f>
        <v>a</v>
      </c>
      <c r="C16" s="15">
        <f>'Exptl Setup'!D26</f>
        <v>16</v>
      </c>
      <c r="D16" s="15" t="str">
        <f>'Exptl Setup'!E26</f>
        <v>+</v>
      </c>
      <c r="E16" s="22">
        <f>'Exptl Setup'!K26</f>
        <v>19.995610119464533</v>
      </c>
      <c r="F16" s="91">
        <v>118.9</v>
      </c>
      <c r="G16" s="91">
        <v>118.6</v>
      </c>
      <c r="H16" s="91">
        <v>118.1</v>
      </c>
      <c r="I16" s="91">
        <f t="shared" si="0"/>
        <v>118.53333333333335</v>
      </c>
      <c r="J16" s="123">
        <f t="shared" si="1"/>
        <v>60.349999999999994</v>
      </c>
      <c r="K16" s="123">
        <f t="shared" si="2"/>
        <v>2334.6202349018777</v>
      </c>
      <c r="L16" s="91">
        <f t="shared" si="3"/>
        <v>0.25611723760442734</v>
      </c>
      <c r="M16" s="179">
        <f t="shared" si="4"/>
        <v>257.87343090698744</v>
      </c>
      <c r="N16" s="180">
        <f t="shared" si="5"/>
        <v>14065.823504017497</v>
      </c>
    </row>
    <row r="17" spans="1:19">
      <c r="A17" s="15">
        <f>'Exptl Setup'!A27</f>
        <v>20</v>
      </c>
      <c r="B17" s="15" t="str">
        <f>'Exptl Setup'!C27</f>
        <v>b</v>
      </c>
      <c r="C17" s="15">
        <f>'Exptl Setup'!D27</f>
        <v>16</v>
      </c>
      <c r="D17" s="15" t="str">
        <f>'Exptl Setup'!E27</f>
        <v>+</v>
      </c>
      <c r="E17" s="22">
        <f>'Exptl Setup'!K27</f>
        <v>19.996859766994024</v>
      </c>
      <c r="F17" s="91">
        <v>135.1</v>
      </c>
      <c r="G17" s="91">
        <v>135.4</v>
      </c>
      <c r="H17" s="91">
        <v>135.1</v>
      </c>
      <c r="I17" s="91">
        <f t="shared" si="0"/>
        <v>135.20000000000002</v>
      </c>
      <c r="J17" s="123">
        <f t="shared" si="1"/>
        <v>60.349999999999994</v>
      </c>
      <c r="K17" s="123">
        <f t="shared" si="2"/>
        <v>2760.779625819705</v>
      </c>
      <c r="L17" s="91">
        <f t="shared" si="3"/>
        <v>0.30286863826023741</v>
      </c>
      <c r="M17" s="179">
        <f t="shared" si="4"/>
        <v>304.94540544327896</v>
      </c>
      <c r="N17" s="180">
        <f t="shared" si="5"/>
        <v>16633.385751451577</v>
      </c>
    </row>
    <row r="18" spans="1:19">
      <c r="A18" s="15">
        <f>'Exptl Setup'!A28</f>
        <v>21</v>
      </c>
      <c r="B18" s="15" t="str">
        <f>'Exptl Setup'!C28</f>
        <v>c</v>
      </c>
      <c r="C18" s="15">
        <f>'Exptl Setup'!D28</f>
        <v>16</v>
      </c>
      <c r="D18" s="15" t="str">
        <f>'Exptl Setup'!E28</f>
        <v>+</v>
      </c>
      <c r="E18" s="22">
        <f>'Exptl Setup'!K28</f>
        <v>20.001234763661284</v>
      </c>
      <c r="F18" s="91">
        <v>138.9</v>
      </c>
      <c r="G18" s="91">
        <v>138.5</v>
      </c>
      <c r="H18" s="91">
        <v>138.5</v>
      </c>
      <c r="I18" s="91">
        <f t="shared" si="0"/>
        <v>138.63333333333333</v>
      </c>
      <c r="J18" s="123">
        <f t="shared" si="1"/>
        <v>60.349999999999994</v>
      </c>
      <c r="K18" s="123">
        <f t="shared" si="2"/>
        <v>2848.5684603487766</v>
      </c>
      <c r="L18" s="91">
        <f t="shared" si="3"/>
        <v>0.31249942679533416</v>
      </c>
      <c r="M18" s="179">
        <f t="shared" si="4"/>
        <v>314.64223219775494</v>
      </c>
      <c r="N18" s="180">
        <f t="shared" si="5"/>
        <v>17162.303574422996</v>
      </c>
    </row>
    <row r="19" spans="1:19">
      <c r="A19" s="15">
        <f>'Exptl Setup'!A32</f>
        <v>25</v>
      </c>
      <c r="B19" s="15" t="str">
        <f>'Exptl Setup'!C32</f>
        <v>a</v>
      </c>
      <c r="C19" s="15">
        <f>'Exptl Setup'!D32</f>
        <v>16</v>
      </c>
      <c r="D19" s="15" t="str">
        <f>'Exptl Setup'!E32</f>
        <v>-</v>
      </c>
      <c r="E19" s="22">
        <f>'Exptl Setup'!K32</f>
        <v>0</v>
      </c>
      <c r="F19" s="91">
        <v>61.01</v>
      </c>
      <c r="G19" s="91">
        <v>60.79</v>
      </c>
      <c r="H19" s="91">
        <v>60.43</v>
      </c>
      <c r="I19" s="91">
        <f t="shared" si="0"/>
        <v>60.743333333333332</v>
      </c>
      <c r="J19" s="123">
        <f t="shared" si="1"/>
        <v>60.349999999999994</v>
      </c>
      <c r="K19" s="123">
        <f t="shared" si="2"/>
        <v>856.95516283340419</v>
      </c>
      <c r="L19" s="91">
        <f t="shared" si="3"/>
        <v>9.4011430970471419E-2</v>
      </c>
      <c r="M19" s="179">
        <f t="shared" si="4"/>
        <v>94.656066399850204</v>
      </c>
      <c r="N19" s="180">
        <f t="shared" si="5"/>
        <v>5163.0581672645558</v>
      </c>
    </row>
    <row r="20" spans="1:19">
      <c r="A20" s="15">
        <f>'Exptl Setup'!A33</f>
        <v>26</v>
      </c>
      <c r="B20" s="15" t="str">
        <f>'Exptl Setup'!C33</f>
        <v>b</v>
      </c>
      <c r="C20" s="15">
        <f>'Exptl Setup'!D33</f>
        <v>16</v>
      </c>
      <c r="D20" s="15" t="str">
        <f>'Exptl Setup'!E33</f>
        <v>-</v>
      </c>
      <c r="E20" s="22">
        <f>'Exptl Setup'!K33</f>
        <v>0</v>
      </c>
      <c r="F20" s="91">
        <v>60.66</v>
      </c>
      <c r="G20" s="91">
        <v>60.57</v>
      </c>
      <c r="H20" s="91">
        <v>60.21</v>
      </c>
      <c r="I20" s="91">
        <f t="shared" si="0"/>
        <v>60.48</v>
      </c>
      <c r="J20" s="123">
        <f t="shared" si="1"/>
        <v>60.349999999999994</v>
      </c>
      <c r="K20" s="123">
        <f t="shared" si="2"/>
        <v>850.22184445690243</v>
      </c>
      <c r="L20" s="91">
        <f t="shared" si="3"/>
        <v>9.3272758840109632E-2</v>
      </c>
      <c r="M20" s="179">
        <f t="shared" si="4"/>
        <v>93.912329202176807</v>
      </c>
      <c r="N20" s="180">
        <f t="shared" si="5"/>
        <v>5122.490683755098</v>
      </c>
    </row>
    <row r="21" spans="1:19">
      <c r="A21" s="15">
        <f>'Exptl Setup'!A34</f>
        <v>27</v>
      </c>
      <c r="B21" s="15" t="str">
        <f>'Exptl Setup'!C34</f>
        <v>c</v>
      </c>
      <c r="C21" s="15">
        <f>'Exptl Setup'!D34</f>
        <v>16</v>
      </c>
      <c r="D21" s="15" t="str">
        <f>'Exptl Setup'!E34</f>
        <v>-</v>
      </c>
      <c r="E21" s="22">
        <f>'Exptl Setup'!K34</f>
        <v>0</v>
      </c>
      <c r="F21" s="91">
        <v>56.64</v>
      </c>
      <c r="G21" s="91">
        <v>56.65</v>
      </c>
      <c r="H21" s="91">
        <v>56.44</v>
      </c>
      <c r="I21" s="91">
        <f t="shared" si="0"/>
        <v>56.576666666666661</v>
      </c>
      <c r="J21" s="123">
        <f t="shared" si="1"/>
        <v>60.349999999999994</v>
      </c>
      <c r="K21" s="123">
        <f t="shared" si="2"/>
        <v>750.41531510394725</v>
      </c>
      <c r="L21" s="91">
        <f t="shared" si="3"/>
        <v>8.2323580806518887E-2</v>
      </c>
      <c r="M21" s="179">
        <f t="shared" si="4"/>
        <v>82.888072765777309</v>
      </c>
      <c r="N21" s="180">
        <f t="shared" si="5"/>
        <v>4521.1676054060354</v>
      </c>
    </row>
    <row r="22" spans="1:19">
      <c r="A22" s="15">
        <f>'Exptl Setup'!A38</f>
        <v>31</v>
      </c>
      <c r="B22" s="15" t="str">
        <f>'Exptl Setup'!C38</f>
        <v>a</v>
      </c>
      <c r="C22" s="15">
        <f>'Exptl Setup'!D38</f>
        <v>16</v>
      </c>
      <c r="D22" s="15" t="str">
        <f>'Exptl Setup'!E38</f>
        <v>-</v>
      </c>
      <c r="E22" s="22">
        <f>'Exptl Setup'!K38</f>
        <v>5.9992453948002522</v>
      </c>
      <c r="F22" s="91">
        <v>97.18</v>
      </c>
      <c r="G22" s="91">
        <v>97.07</v>
      </c>
      <c r="H22" s="91">
        <v>96.75</v>
      </c>
      <c r="I22" s="91">
        <f t="shared" si="0"/>
        <v>97</v>
      </c>
      <c r="J22" s="123">
        <f t="shared" si="1"/>
        <v>60.349999999999994</v>
      </c>
      <c r="K22" s="123">
        <f t="shared" si="2"/>
        <v>1784.0223018360448</v>
      </c>
      <c r="L22" s="91">
        <f t="shared" si="3"/>
        <v>0.19571442795712063</v>
      </c>
      <c r="M22" s="179">
        <f t="shared" si="4"/>
        <v>197.05643980609878</v>
      </c>
      <c r="N22" s="180">
        <f t="shared" si="5"/>
        <v>10748.53308033266</v>
      </c>
    </row>
    <row r="23" spans="1:19">
      <c r="A23" s="15">
        <f>'Exptl Setup'!A39</f>
        <v>32</v>
      </c>
      <c r="B23" s="15" t="str">
        <f>'Exptl Setup'!C39</f>
        <v>b</v>
      </c>
      <c r="C23" s="15">
        <f>'Exptl Setup'!D39</f>
        <v>16</v>
      </c>
      <c r="D23" s="15" t="str">
        <f>'Exptl Setup'!E39</f>
        <v>-</v>
      </c>
      <c r="E23" s="22">
        <f>'Exptl Setup'!K39</f>
        <v>5.9998078592100397</v>
      </c>
      <c r="F23" s="91">
        <v>84.58</v>
      </c>
      <c r="G23" s="91">
        <v>83.77</v>
      </c>
      <c r="H23" s="91">
        <v>84.27</v>
      </c>
      <c r="I23" s="91">
        <f t="shared" si="0"/>
        <v>84.206666666666663</v>
      </c>
      <c r="J23" s="123">
        <f t="shared" si="1"/>
        <v>60.349999999999994</v>
      </c>
      <c r="K23" s="123">
        <f t="shared" si="2"/>
        <v>1456.9023533675208</v>
      </c>
      <c r="L23" s="91">
        <f t="shared" si="3"/>
        <v>0.15982805281372084</v>
      </c>
      <c r="M23" s="179">
        <f t="shared" si="4"/>
        <v>160.92399215204142</v>
      </c>
      <c r="N23" s="180">
        <f t="shared" si="5"/>
        <v>8777.6722992022587</v>
      </c>
    </row>
    <row r="24" spans="1:19">
      <c r="A24" s="15">
        <f>'Exptl Setup'!A40</f>
        <v>33</v>
      </c>
      <c r="B24" s="15" t="str">
        <f>'Exptl Setup'!C40</f>
        <v>c</v>
      </c>
      <c r="C24" s="15">
        <f>'Exptl Setup'!D40</f>
        <v>16</v>
      </c>
      <c r="D24" s="15" t="str">
        <f>'Exptl Setup'!E40</f>
        <v>-</v>
      </c>
      <c r="E24" s="22">
        <f>'Exptl Setup'!K40</f>
        <v>5.9992453948002522</v>
      </c>
      <c r="F24" s="91">
        <v>99.81</v>
      </c>
      <c r="G24" s="91">
        <v>99.76</v>
      </c>
      <c r="H24" s="91">
        <v>99.8</v>
      </c>
      <c r="I24" s="91">
        <f t="shared" si="0"/>
        <v>99.79</v>
      </c>
      <c r="J24" s="123">
        <f t="shared" si="1"/>
        <v>60.349999999999994</v>
      </c>
      <c r="K24" s="123">
        <f t="shared" si="2"/>
        <v>1855.3613838756892</v>
      </c>
      <c r="L24" s="91">
        <f t="shared" si="3"/>
        <v>0.20354061242690327</v>
      </c>
      <c r="M24" s="179">
        <f t="shared" si="4"/>
        <v>204.93628834347396</v>
      </c>
      <c r="N24" s="180">
        <f t="shared" si="5"/>
        <v>11178.343000553125</v>
      </c>
    </row>
    <row r="25" spans="1:19">
      <c r="A25" s="15">
        <f>'Exptl Setup'!A44</f>
        <v>37</v>
      </c>
      <c r="B25" s="15" t="str">
        <f>'Exptl Setup'!C44</f>
        <v>a</v>
      </c>
      <c r="C25" s="15">
        <f>'Exptl Setup'!D44</f>
        <v>16</v>
      </c>
      <c r="D25" s="15" t="str">
        <f>'Exptl Setup'!E44</f>
        <v>-</v>
      </c>
      <c r="E25" s="22">
        <f>'Exptl Setup'!K44</f>
        <v>16.000487717548268</v>
      </c>
      <c r="F25" s="91">
        <v>260.7</v>
      </c>
      <c r="G25" s="91">
        <v>260.2</v>
      </c>
      <c r="H25" s="91">
        <v>259.8</v>
      </c>
      <c r="I25" s="91">
        <f t="shared" si="0"/>
        <v>260.23333333333335</v>
      </c>
      <c r="J25" s="123">
        <f t="shared" si="1"/>
        <v>60.349999999999994</v>
      </c>
      <c r="K25" s="123">
        <f t="shared" si="2"/>
        <v>5957.8273764852429</v>
      </c>
      <c r="L25" s="91">
        <f t="shared" si="3"/>
        <v>0.6535976459801246</v>
      </c>
      <c r="M25" s="179">
        <f t="shared" si="4"/>
        <v>658.07935841453798</v>
      </c>
      <c r="N25" s="180">
        <f t="shared" si="5"/>
        <v>35895.237731702073</v>
      </c>
    </row>
    <row r="26" spans="1:19">
      <c r="A26" s="15">
        <f>'Exptl Setup'!A45</f>
        <v>38</v>
      </c>
      <c r="B26" s="15" t="str">
        <f>'Exptl Setup'!C45</f>
        <v>b</v>
      </c>
      <c r="C26" s="15">
        <f>'Exptl Setup'!D45</f>
        <v>16</v>
      </c>
      <c r="D26" s="15" t="str">
        <f>'Exptl Setup'!E45</f>
        <v>-</v>
      </c>
      <c r="E26" s="22">
        <f>'Exptl Setup'!K45</f>
        <v>15.999987655426267</v>
      </c>
      <c r="F26" s="91">
        <v>252.5</v>
      </c>
      <c r="G26" s="91">
        <v>252.1</v>
      </c>
      <c r="H26" s="91">
        <v>252.6</v>
      </c>
      <c r="I26" s="91">
        <f t="shared" si="0"/>
        <v>252.4</v>
      </c>
      <c r="J26" s="123">
        <f t="shared" si="1"/>
        <v>60.349999999999994</v>
      </c>
      <c r="K26" s="123">
        <f t="shared" si="2"/>
        <v>5757.5324627538639</v>
      </c>
      <c r="L26" s="91">
        <f t="shared" si="3"/>
        <v>0.63162448767189394</v>
      </c>
      <c r="M26" s="179">
        <f t="shared" si="4"/>
        <v>635.9555303824809</v>
      </c>
      <c r="N26" s="180">
        <f t="shared" si="5"/>
        <v>34688.483475408051</v>
      </c>
    </row>
    <row r="27" spans="1:19">
      <c r="A27" s="15">
        <f>'Exptl Setup'!A46</f>
        <v>39</v>
      </c>
      <c r="B27" s="15" t="str">
        <f>'Exptl Setup'!C46</f>
        <v>c</v>
      </c>
      <c r="C27" s="15">
        <f>'Exptl Setup'!D46</f>
        <v>16</v>
      </c>
      <c r="D27" s="15" t="str">
        <f>'Exptl Setup'!E46</f>
        <v>-</v>
      </c>
      <c r="E27" s="22">
        <f>'Exptl Setup'!K46</f>
        <v>15.996488095571626</v>
      </c>
      <c r="F27" s="91">
        <v>268.39999999999998</v>
      </c>
      <c r="G27" s="91">
        <v>268.2</v>
      </c>
      <c r="H27" s="91">
        <v>267.5</v>
      </c>
      <c r="I27" s="91">
        <f t="shared" si="0"/>
        <v>268.0333333333333</v>
      </c>
      <c r="J27" s="123">
        <f t="shared" si="1"/>
        <v>60.349999999999994</v>
      </c>
      <c r="K27" s="123">
        <f t="shared" si="2"/>
        <v>6157.2699714347846</v>
      </c>
      <c r="L27" s="91">
        <f t="shared" si="3"/>
        <v>0.67547730148704366</v>
      </c>
      <c r="M27" s="179">
        <f t="shared" si="4"/>
        <v>680.1090424975223</v>
      </c>
      <c r="N27" s="180">
        <f t="shared" si="5"/>
        <v>37096.85686350122</v>
      </c>
    </row>
    <row r="28" spans="1:19">
      <c r="A28" s="15">
        <f>'Exptl Setup'!A50</f>
        <v>43</v>
      </c>
      <c r="B28" s="15" t="str">
        <f>'Exptl Setup'!C50</f>
        <v>a</v>
      </c>
      <c r="C28" s="15">
        <f>'Exptl Setup'!D50</f>
        <v>16</v>
      </c>
      <c r="D28" s="15" t="str">
        <f>'Exptl Setup'!E50</f>
        <v>-</v>
      </c>
      <c r="E28" s="22">
        <f>'Exptl Setup'!K50</f>
        <v>19.996234923705366</v>
      </c>
      <c r="F28" s="91">
        <v>137.1</v>
      </c>
      <c r="G28" s="91">
        <v>135.9</v>
      </c>
      <c r="H28" s="91">
        <v>135.69999999999999</v>
      </c>
      <c r="I28" s="91">
        <f t="shared" si="0"/>
        <v>136.23333333333332</v>
      </c>
      <c r="J28" s="123">
        <f t="shared" si="1"/>
        <v>60.349999999999994</v>
      </c>
      <c r="K28" s="123">
        <f t="shared" si="2"/>
        <v>2787.2015080566093</v>
      </c>
      <c r="L28" s="91">
        <f t="shared" si="3"/>
        <v>0.30576722510089754</v>
      </c>
      <c r="M28" s="179">
        <f t="shared" si="4"/>
        <v>307.86386786452897</v>
      </c>
      <c r="N28" s="180">
        <f t="shared" si="5"/>
        <v>16792.574610792486</v>
      </c>
    </row>
    <row r="29" spans="1:19">
      <c r="A29" s="15">
        <f>'Exptl Setup'!A51</f>
        <v>44</v>
      </c>
      <c r="B29" s="15" t="str">
        <f>'Exptl Setup'!C51</f>
        <v>b</v>
      </c>
      <c r="C29" s="15">
        <f>'Exptl Setup'!D51</f>
        <v>16</v>
      </c>
      <c r="D29" s="15" t="str">
        <f>'Exptl Setup'!E51</f>
        <v>-</v>
      </c>
      <c r="E29" s="22">
        <f>'Exptl Setup'!K51</f>
        <v>19.993735940992373</v>
      </c>
      <c r="F29" s="91">
        <v>177.5</v>
      </c>
      <c r="G29" s="91">
        <v>176</v>
      </c>
      <c r="H29" s="91">
        <v>176</v>
      </c>
      <c r="I29" s="91">
        <f t="shared" si="0"/>
        <v>176.5</v>
      </c>
      <c r="J29" s="123">
        <f t="shared" si="1"/>
        <v>60.349999999999994</v>
      </c>
      <c r="K29" s="123">
        <f t="shared" si="2"/>
        <v>3816.8025965140796</v>
      </c>
      <c r="L29" s="91">
        <f t="shared" si="3"/>
        <v>0.4187186090853347</v>
      </c>
      <c r="M29" s="179">
        <f t="shared" si="4"/>
        <v>421.58975834420937</v>
      </c>
      <c r="N29" s="180">
        <f t="shared" si="5"/>
        <v>22995.805000593238</v>
      </c>
    </row>
    <row r="30" spans="1:19" ht="13.5" thickBot="1">
      <c r="A30" s="97">
        <f>'Exptl Setup'!A52</f>
        <v>45</v>
      </c>
      <c r="B30" s="97" t="str">
        <f>'Exptl Setup'!C52</f>
        <v>c</v>
      </c>
      <c r="C30" s="97">
        <f>'Exptl Setup'!D52</f>
        <v>16</v>
      </c>
      <c r="D30" s="97" t="str">
        <f>'Exptl Setup'!E52</f>
        <v>-</v>
      </c>
      <c r="E30" s="98">
        <f>'Exptl Setup'!K52</f>
        <v>19.998109570729465</v>
      </c>
      <c r="F30" s="99">
        <v>166.5</v>
      </c>
      <c r="G30" s="99">
        <v>166.5</v>
      </c>
      <c r="H30" s="99">
        <v>166.7</v>
      </c>
      <c r="I30" s="99">
        <f t="shared" si="0"/>
        <v>166.56666666666666</v>
      </c>
      <c r="J30" s="124">
        <f t="shared" si="1"/>
        <v>60.349999999999994</v>
      </c>
      <c r="K30" s="124">
        <f t="shared" si="2"/>
        <v>3562.8115995270546</v>
      </c>
      <c r="L30" s="99">
        <f t="shared" si="3"/>
        <v>0.39085477429447191</v>
      </c>
      <c r="M30" s="179">
        <f t="shared" si="4"/>
        <v>393.53486152057957</v>
      </c>
      <c r="N30" s="180">
        <f t="shared" si="5"/>
        <v>21465.537901122523</v>
      </c>
    </row>
    <row r="31" spans="1:19">
      <c r="A31" s="14">
        <f>'Exptl Setup'!A56</f>
        <v>49</v>
      </c>
      <c r="B31" s="14" t="str">
        <f>'Exptl Setup'!C56</f>
        <v>a</v>
      </c>
      <c r="C31" s="14">
        <f>'Exptl Setup'!D56</f>
        <v>24</v>
      </c>
      <c r="D31" s="14" t="str">
        <f>'Exptl Setup'!E56</f>
        <v>+</v>
      </c>
      <c r="E31" s="26">
        <f>'Exptl Setup'!K56</f>
        <v>0</v>
      </c>
      <c r="F31" s="91">
        <v>54.47</v>
      </c>
      <c r="G31" s="91">
        <v>55.51</v>
      </c>
      <c r="H31" s="91">
        <v>55.6</v>
      </c>
      <c r="I31" s="125">
        <f t="shared" si="0"/>
        <v>55.193333333333328</v>
      </c>
      <c r="J31" s="123">
        <f t="shared" si="1"/>
        <v>60.349999999999994</v>
      </c>
      <c r="K31" s="126">
        <f>((I31-$S$32)*$S$38)+$S$37</f>
        <v>517.75503533700135</v>
      </c>
      <c r="L31" s="91">
        <f t="shared" si="3"/>
        <v>5.6799811559874007E-2</v>
      </c>
      <c r="M31" s="179">
        <f t="shared" si="4"/>
        <v>57.189287292086128</v>
      </c>
      <c r="N31" s="180">
        <f t="shared" si="5"/>
        <v>3119.415670477425</v>
      </c>
      <c r="O31" s="49" t="s">
        <v>163</v>
      </c>
      <c r="P31" s="4" t="s">
        <v>156</v>
      </c>
      <c r="Q31" s="40" t="s">
        <v>157</v>
      </c>
      <c r="R31" s="3" t="s">
        <v>158</v>
      </c>
      <c r="S31" s="3" t="s">
        <v>159</v>
      </c>
    </row>
    <row r="32" spans="1:19">
      <c r="A32" s="15">
        <f>'Exptl Setup'!A57</f>
        <v>50</v>
      </c>
      <c r="B32" s="15" t="str">
        <f>'Exptl Setup'!C57</f>
        <v>b</v>
      </c>
      <c r="C32" s="15">
        <f>'Exptl Setup'!D57</f>
        <v>24</v>
      </c>
      <c r="D32" s="15" t="str">
        <f>'Exptl Setup'!E57</f>
        <v>+</v>
      </c>
      <c r="E32" s="22">
        <f>'Exptl Setup'!K57</f>
        <v>0</v>
      </c>
      <c r="F32" s="91">
        <v>57.14</v>
      </c>
      <c r="G32" s="91">
        <v>58.34</v>
      </c>
      <c r="H32" s="91">
        <v>58.44</v>
      </c>
      <c r="I32" s="91">
        <f t="shared" si="0"/>
        <v>57.973333333333336</v>
      </c>
      <c r="J32" s="123">
        <f t="shared" si="1"/>
        <v>60.349999999999994</v>
      </c>
      <c r="K32" s="126">
        <f t="shared" ref="K32:K54" si="7">((I32-$S$32)*$S$38)+$S$37</f>
        <v>565.85020991654119</v>
      </c>
      <c r="L32" s="91">
        <f t="shared" si="3"/>
        <v>6.2076045814706521E-2</v>
      </c>
      <c r="M32" s="179">
        <f t="shared" si="4"/>
        <v>62.501700631730522</v>
      </c>
      <c r="N32" s="180">
        <f t="shared" si="5"/>
        <v>3409.1836708216642</v>
      </c>
      <c r="O32" s="92" t="s">
        <v>164</v>
      </c>
      <c r="P32" s="4">
        <v>28.69</v>
      </c>
      <c r="Q32" s="40">
        <v>27.84</v>
      </c>
      <c r="R32" s="3">
        <v>22.66</v>
      </c>
      <c r="S32" s="75">
        <f>AVERAGE(P32:R32)</f>
        <v>26.396666666666665</v>
      </c>
    </row>
    <row r="33" spans="1:19">
      <c r="A33" s="15">
        <f>'Exptl Setup'!A58</f>
        <v>51</v>
      </c>
      <c r="B33" s="15" t="str">
        <f>'Exptl Setup'!C58</f>
        <v>c</v>
      </c>
      <c r="C33" s="15">
        <f>'Exptl Setup'!D58</f>
        <v>24</v>
      </c>
      <c r="D33" s="15" t="str">
        <f>'Exptl Setup'!E58</f>
        <v>+</v>
      </c>
      <c r="E33" s="22">
        <f>'Exptl Setup'!K58</f>
        <v>0</v>
      </c>
      <c r="F33" s="91">
        <v>58</v>
      </c>
      <c r="G33" s="91">
        <v>59.45</v>
      </c>
      <c r="H33" s="91">
        <v>59.48</v>
      </c>
      <c r="I33" s="91">
        <f t="shared" si="0"/>
        <v>58.976666666666667</v>
      </c>
      <c r="J33" s="123">
        <f t="shared" si="1"/>
        <v>60.349999999999994</v>
      </c>
      <c r="K33" s="126">
        <f t="shared" si="7"/>
        <v>583.20830050220229</v>
      </c>
      <c r="L33" s="91">
        <f t="shared" si="3"/>
        <v>6.3980298225623261E-2</v>
      </c>
      <c r="M33" s="179">
        <f t="shared" si="4"/>
        <v>64.419010482129735</v>
      </c>
      <c r="N33" s="180">
        <f t="shared" si="5"/>
        <v>3513.7642081161675</v>
      </c>
      <c r="O33" s="29">
        <v>357</v>
      </c>
      <c r="P33" s="4">
        <v>21.31</v>
      </c>
      <c r="Q33" s="40">
        <v>21.12</v>
      </c>
      <c r="R33" s="3">
        <v>21.16</v>
      </c>
      <c r="S33" s="75">
        <f>AVERAGE(P33:R33)</f>
        <v>21.196666666666669</v>
      </c>
    </row>
    <row r="34" spans="1:19">
      <c r="A34" s="15">
        <f>'Exptl Setup'!A62</f>
        <v>55</v>
      </c>
      <c r="B34" s="15" t="str">
        <f>'Exptl Setup'!C62</f>
        <v>a</v>
      </c>
      <c r="C34" s="15">
        <f>'Exptl Setup'!D62</f>
        <v>24</v>
      </c>
      <c r="D34" s="15" t="str">
        <f>'Exptl Setup'!E62</f>
        <v>+</v>
      </c>
      <c r="E34" s="22">
        <f>'Exptl Setup'!K62</f>
        <v>5.9998078592100397</v>
      </c>
      <c r="F34" s="91">
        <v>85.59</v>
      </c>
      <c r="G34" s="91">
        <v>87.76</v>
      </c>
      <c r="H34" s="91">
        <v>87.88</v>
      </c>
      <c r="I34" s="91">
        <f t="shared" si="0"/>
        <v>87.076666666666668</v>
      </c>
      <c r="J34" s="123">
        <f t="shared" si="1"/>
        <v>60.349999999999994</v>
      </c>
      <c r="K34" s="126">
        <f t="shared" si="7"/>
        <v>1069.3501730507871</v>
      </c>
      <c r="L34" s="91">
        <f t="shared" si="3"/>
        <v>0.11731201857123236</v>
      </c>
      <c r="M34" s="179">
        <f t="shared" si="4"/>
        <v>118.11642589364308</v>
      </c>
      <c r="N34" s="180">
        <f t="shared" si="5"/>
        <v>6442.7141396532597</v>
      </c>
      <c r="O34" s="93">
        <v>10000</v>
      </c>
      <c r="P34" s="4">
        <v>624.29999999999995</v>
      </c>
      <c r="Q34" s="40">
        <v>627.4</v>
      </c>
      <c r="R34" s="3">
        <v>629.1</v>
      </c>
      <c r="S34" s="75">
        <f t="shared" ref="S34:S35" si="8">AVERAGE(P34:R34)</f>
        <v>626.93333333333328</v>
      </c>
    </row>
    <row r="35" spans="1:19">
      <c r="A35" s="15">
        <f>'Exptl Setup'!A63</f>
        <v>56</v>
      </c>
      <c r="B35" s="15" t="str">
        <f>'Exptl Setup'!C63</f>
        <v>b</v>
      </c>
      <c r="C35" s="15">
        <f>'Exptl Setup'!D63</f>
        <v>24</v>
      </c>
      <c r="D35" s="15" t="str">
        <f>'Exptl Setup'!E63</f>
        <v>+</v>
      </c>
      <c r="E35" s="22">
        <f>'Exptl Setup'!K63</f>
        <v>5.9996203593550685</v>
      </c>
      <c r="F35" s="91">
        <v>86.58</v>
      </c>
      <c r="G35" s="91">
        <v>89.18</v>
      </c>
      <c r="H35" s="91">
        <v>89.14</v>
      </c>
      <c r="I35" s="91">
        <f t="shared" si="0"/>
        <v>88.3</v>
      </c>
      <c r="J35" s="123">
        <f t="shared" si="1"/>
        <v>60.349999999999994</v>
      </c>
      <c r="K35" s="126">
        <f t="shared" si="7"/>
        <v>1090.5143565887861</v>
      </c>
      <c r="L35" s="91">
        <f t="shared" si="3"/>
        <v>0.11963381470015745</v>
      </c>
      <c r="M35" s="179">
        <f t="shared" si="4"/>
        <v>120.45414255509331</v>
      </c>
      <c r="N35" s="180">
        <f t="shared" si="5"/>
        <v>6570.225957550545</v>
      </c>
      <c r="O35" s="94">
        <v>50000</v>
      </c>
      <c r="P35" s="4">
        <v>2899</v>
      </c>
      <c r="Q35" s="4">
        <v>2901</v>
      </c>
      <c r="R35" s="3">
        <v>2919</v>
      </c>
      <c r="S35" s="75">
        <f t="shared" si="8"/>
        <v>2906.3333333333335</v>
      </c>
    </row>
    <row r="36" spans="1:19">
      <c r="A36" s="15">
        <f>'Exptl Setup'!A64</f>
        <v>57</v>
      </c>
      <c r="B36" s="15" t="str">
        <f>'Exptl Setup'!C64</f>
        <v>c</v>
      </c>
      <c r="C36" s="15">
        <f>'Exptl Setup'!D64</f>
        <v>24</v>
      </c>
      <c r="D36" s="15" t="str">
        <f>'Exptl Setup'!E64</f>
        <v>+</v>
      </c>
      <c r="E36" s="22">
        <f>'Exptl Setup'!K64</f>
        <v>5.9994328712188389</v>
      </c>
      <c r="F36" s="91">
        <v>80.31</v>
      </c>
      <c r="G36" s="91">
        <v>81.98</v>
      </c>
      <c r="H36" s="91">
        <v>82</v>
      </c>
      <c r="I36" s="91">
        <f t="shared" si="0"/>
        <v>81.430000000000007</v>
      </c>
      <c r="J36" s="123">
        <f t="shared" si="1"/>
        <v>60.349999999999994</v>
      </c>
      <c r="K36" s="126">
        <f t="shared" si="7"/>
        <v>971.66045394078697</v>
      </c>
      <c r="L36" s="91">
        <f t="shared" si="3"/>
        <v>0.10659506314235197</v>
      </c>
      <c r="M36" s="179">
        <f t="shared" si="4"/>
        <v>107.3259844100009</v>
      </c>
      <c r="N36" s="180">
        <f t="shared" si="5"/>
        <v>5854.1446041818663</v>
      </c>
    </row>
    <row r="37" spans="1:19">
      <c r="A37" s="15">
        <f>'Exptl Setup'!A68</f>
        <v>61</v>
      </c>
      <c r="B37" s="15" t="str">
        <f>'Exptl Setup'!C68</f>
        <v>a</v>
      </c>
      <c r="C37" s="15">
        <f>'Exptl Setup'!D68</f>
        <v>24</v>
      </c>
      <c r="D37" s="15" t="str">
        <f>'Exptl Setup'!E68</f>
        <v>+</v>
      </c>
      <c r="E37" s="22">
        <f>'Exptl Setup'!K68</f>
        <v>16.000487717548268</v>
      </c>
      <c r="F37" s="91">
        <v>329.1</v>
      </c>
      <c r="G37" s="91">
        <v>343.8</v>
      </c>
      <c r="H37" s="91">
        <v>344.1</v>
      </c>
      <c r="I37" s="91">
        <f t="shared" si="0"/>
        <v>339.00000000000006</v>
      </c>
      <c r="J37" s="123">
        <f t="shared" si="1"/>
        <v>60.349999999999994</v>
      </c>
      <c r="K37" s="126">
        <f t="shared" si="7"/>
        <v>5427.7302800026737</v>
      </c>
      <c r="L37" s="91">
        <f t="shared" si="3"/>
        <v>0.59544386063055599</v>
      </c>
      <c r="M37" s="179">
        <f t="shared" si="4"/>
        <v>599.52681314820359</v>
      </c>
      <c r="N37" s="180">
        <f t="shared" si="5"/>
        <v>32701.462535356557</v>
      </c>
      <c r="R37" s="95" t="s">
        <v>165</v>
      </c>
      <c r="S37" s="40">
        <f>INTERCEPT(O33:O34,S33:S34)</f>
        <v>19.560535106013958</v>
      </c>
    </row>
    <row r="38" spans="1:19">
      <c r="A38" s="15">
        <f>'Exptl Setup'!A69</f>
        <v>62</v>
      </c>
      <c r="B38" s="15" t="str">
        <f>'Exptl Setup'!C69</f>
        <v>b</v>
      </c>
      <c r="C38" s="15">
        <f>'Exptl Setup'!D69</f>
        <v>24</v>
      </c>
      <c r="D38" s="15" t="str">
        <f>'Exptl Setup'!E69</f>
        <v>+</v>
      </c>
      <c r="E38" s="22">
        <f>'Exptl Setup'!K69</f>
        <v>15.996987938964294</v>
      </c>
      <c r="F38" s="91">
        <v>372.3</v>
      </c>
      <c r="G38" s="91">
        <v>384.1</v>
      </c>
      <c r="H38" s="91">
        <v>384.7</v>
      </c>
      <c r="I38" s="91">
        <f t="shared" si="0"/>
        <v>380.36666666666673</v>
      </c>
      <c r="J38" s="123">
        <f t="shared" si="1"/>
        <v>60.349999999999994</v>
      </c>
      <c r="K38" s="126">
        <f t="shared" si="7"/>
        <v>6143.3910911922276</v>
      </c>
      <c r="L38" s="91">
        <f t="shared" si="3"/>
        <v>0.67395473245606119</v>
      </c>
      <c r="M38" s="179">
        <f t="shared" si="4"/>
        <v>678.57603322612533</v>
      </c>
      <c r="N38" s="180">
        <f t="shared" si="5"/>
        <v>37013.238175970466</v>
      </c>
      <c r="R38" s="96" t="s">
        <v>166</v>
      </c>
      <c r="S38" s="5">
        <f>SLOPE(O33:O35,S33:S35)</f>
        <v>17.300422510625793</v>
      </c>
    </row>
    <row r="39" spans="1:19">
      <c r="A39" s="15">
        <f>'Exptl Setup'!A70</f>
        <v>63</v>
      </c>
      <c r="B39" s="15" t="str">
        <f>'Exptl Setup'!C70</f>
        <v>c</v>
      </c>
      <c r="C39" s="15">
        <f>'Exptl Setup'!D70</f>
        <v>24</v>
      </c>
      <c r="D39" s="15" t="str">
        <f>'Exptl Setup'!E70</f>
        <v>+</v>
      </c>
      <c r="E39" s="22">
        <f>'Exptl Setup'!K70</f>
        <v>15.995988283414286</v>
      </c>
      <c r="F39" s="91">
        <v>337.1</v>
      </c>
      <c r="G39" s="91">
        <v>346.2</v>
      </c>
      <c r="H39" s="91">
        <v>346.6</v>
      </c>
      <c r="I39" s="91">
        <f t="shared" si="0"/>
        <v>343.3</v>
      </c>
      <c r="J39" s="123">
        <f t="shared" si="1"/>
        <v>60.349999999999994</v>
      </c>
      <c r="K39" s="126">
        <f t="shared" si="7"/>
        <v>5502.1220967983636</v>
      </c>
      <c r="L39" s="91">
        <f t="shared" si="3"/>
        <v>0.60360494239162765</v>
      </c>
      <c r="M39" s="179">
        <f t="shared" si="4"/>
        <v>607.74385536420016</v>
      </c>
      <c r="N39" s="180">
        <f t="shared" si="5"/>
        <v>33149.664838047276</v>
      </c>
    </row>
    <row r="40" spans="1:19">
      <c r="A40" s="15">
        <f>'Exptl Setup'!A74</f>
        <v>67</v>
      </c>
      <c r="B40" s="15" t="str">
        <f>'Exptl Setup'!C74</f>
        <v>a</v>
      </c>
      <c r="C40" s="15">
        <f>'Exptl Setup'!D74</f>
        <v>24</v>
      </c>
      <c r="D40" s="15" t="str">
        <f>'Exptl Setup'!E74</f>
        <v>+</v>
      </c>
      <c r="E40" s="22">
        <f>'Exptl Setup'!K74</f>
        <v>19.999984569282837</v>
      </c>
      <c r="F40" s="91">
        <v>143.1</v>
      </c>
      <c r="G40" s="91">
        <v>147</v>
      </c>
      <c r="H40" s="91">
        <v>147.19999999999999</v>
      </c>
      <c r="I40" s="91">
        <f t="shared" si="0"/>
        <v>145.76666666666668</v>
      </c>
      <c r="J40" s="123">
        <f t="shared" si="1"/>
        <v>60.349999999999994</v>
      </c>
      <c r="K40" s="126">
        <f t="shared" si="7"/>
        <v>2084.7119701994152</v>
      </c>
      <c r="L40" s="91">
        <f t="shared" si="3"/>
        <v>0.22870129497990843</v>
      </c>
      <c r="M40" s="179">
        <f t="shared" si="4"/>
        <v>230.26949744174692</v>
      </c>
      <c r="N40" s="180">
        <f t="shared" si="5"/>
        <v>12560.154405913469</v>
      </c>
    </row>
    <row r="41" spans="1:19">
      <c r="A41" s="15">
        <f>'Exptl Setup'!A75</f>
        <v>68</v>
      </c>
      <c r="B41" s="15" t="str">
        <f>'Exptl Setup'!C75</f>
        <v>b</v>
      </c>
      <c r="C41" s="15">
        <f>'Exptl Setup'!D75</f>
        <v>24</v>
      </c>
      <c r="D41" s="15" t="str">
        <f>'Exptl Setup'!E75</f>
        <v>+</v>
      </c>
      <c r="E41" s="22">
        <f>'Exptl Setup'!K75</f>
        <v>19.998109570729465</v>
      </c>
      <c r="F41" s="91">
        <v>142.30000000000001</v>
      </c>
      <c r="G41" s="91">
        <v>147.4</v>
      </c>
      <c r="H41" s="91">
        <v>147.6</v>
      </c>
      <c r="I41" s="91">
        <f t="shared" si="0"/>
        <v>145.76666666666668</v>
      </c>
      <c r="J41" s="123">
        <f t="shared" si="1"/>
        <v>60.349999999999994</v>
      </c>
      <c r="K41" s="126">
        <f t="shared" si="7"/>
        <v>2084.7119701994152</v>
      </c>
      <c r="L41" s="91">
        <f t="shared" si="3"/>
        <v>0.22870129497990843</v>
      </c>
      <c r="M41" s="179">
        <f t="shared" si="4"/>
        <v>230.26949744174692</v>
      </c>
      <c r="N41" s="180">
        <f t="shared" si="5"/>
        <v>12560.154405913469</v>
      </c>
    </row>
    <row r="42" spans="1:19">
      <c r="A42" s="15">
        <f>'Exptl Setup'!A76</f>
        <v>69</v>
      </c>
      <c r="B42" s="15" t="str">
        <f>'Exptl Setup'!C76</f>
        <v>c</v>
      </c>
      <c r="C42" s="15">
        <f>'Exptl Setup'!D76</f>
        <v>24</v>
      </c>
      <c r="D42" s="15" t="str">
        <f>'Exptl Setup'!E76</f>
        <v>+</v>
      </c>
      <c r="E42" s="22">
        <f>'Exptl Setup'!K76</f>
        <v>19.999984569282837</v>
      </c>
      <c r="F42" s="91">
        <v>146.9</v>
      </c>
      <c r="G42" s="91">
        <v>152</v>
      </c>
      <c r="H42" s="91">
        <v>152.30000000000001</v>
      </c>
      <c r="I42" s="91">
        <f t="shared" si="0"/>
        <v>150.4</v>
      </c>
      <c r="J42" s="123">
        <f t="shared" si="1"/>
        <v>60.349999999999994</v>
      </c>
      <c r="K42" s="126">
        <f t="shared" si="7"/>
        <v>2164.8705944986477</v>
      </c>
      <c r="L42" s="91">
        <f t="shared" si="3"/>
        <v>0.23749501873796255</v>
      </c>
      <c r="M42" s="179">
        <f t="shared" si="4"/>
        <v>239.12351967448754</v>
      </c>
      <c r="N42" s="180">
        <f t="shared" si="5"/>
        <v>13043.101073153866</v>
      </c>
    </row>
    <row r="43" spans="1:19">
      <c r="A43" s="15">
        <f>'Exptl Setup'!A80</f>
        <v>73</v>
      </c>
      <c r="B43" s="15" t="str">
        <f>'Exptl Setup'!C80</f>
        <v>a</v>
      </c>
      <c r="C43" s="15">
        <f>'Exptl Setup'!D80</f>
        <v>24</v>
      </c>
      <c r="D43" s="15" t="str">
        <f>'Exptl Setup'!E80</f>
        <v>-</v>
      </c>
      <c r="E43" s="22">
        <f>'Exptl Setup'!K80</f>
        <v>0</v>
      </c>
      <c r="F43" s="91">
        <v>62.85</v>
      </c>
      <c r="G43" s="91">
        <v>64.7</v>
      </c>
      <c r="H43" s="91">
        <v>64.680000000000007</v>
      </c>
      <c r="I43" s="91">
        <f t="shared" si="0"/>
        <v>64.076666666666668</v>
      </c>
      <c r="J43" s="123">
        <f t="shared" si="1"/>
        <v>60.349999999999994</v>
      </c>
      <c r="K43" s="126">
        <f t="shared" si="7"/>
        <v>671.44045530639391</v>
      </c>
      <c r="L43" s="91">
        <f t="shared" si="3"/>
        <v>7.3659720779452695E-2</v>
      </c>
      <c r="M43" s="179">
        <f t="shared" si="4"/>
        <v>74.164804738311886</v>
      </c>
      <c r="N43" s="180">
        <f t="shared" si="5"/>
        <v>4045.3529857261028</v>
      </c>
    </row>
    <row r="44" spans="1:19">
      <c r="A44" s="15">
        <f>'Exptl Setup'!A81</f>
        <v>74</v>
      </c>
      <c r="B44" s="15" t="str">
        <f>'Exptl Setup'!C81</f>
        <v>b</v>
      </c>
      <c r="C44" s="15">
        <f>'Exptl Setup'!D81</f>
        <v>24</v>
      </c>
      <c r="D44" s="15" t="str">
        <f>'Exptl Setup'!E81</f>
        <v>-</v>
      </c>
      <c r="E44" s="22">
        <f>'Exptl Setup'!K81</f>
        <v>0</v>
      </c>
      <c r="F44" s="91">
        <v>63.02</v>
      </c>
      <c r="G44" s="91">
        <v>64.25</v>
      </c>
      <c r="H44" s="91">
        <v>63.8</v>
      </c>
      <c r="I44" s="91">
        <f t="shared" si="0"/>
        <v>63.69</v>
      </c>
      <c r="J44" s="123">
        <f t="shared" si="1"/>
        <v>60.349999999999994</v>
      </c>
      <c r="K44" s="126">
        <f t="shared" si="7"/>
        <v>664.75095860228532</v>
      </c>
      <c r="L44" s="91">
        <f t="shared" si="3"/>
        <v>7.2925856062953209E-2</v>
      </c>
      <c r="M44" s="179">
        <f t="shared" si="4"/>
        <v>73.425907918888925</v>
      </c>
      <c r="N44" s="180">
        <f t="shared" si="5"/>
        <v>4005.049522848486</v>
      </c>
    </row>
    <row r="45" spans="1:19">
      <c r="A45" s="15">
        <f>'Exptl Setup'!A82</f>
        <v>75</v>
      </c>
      <c r="B45" s="15" t="str">
        <f>'Exptl Setup'!C82</f>
        <v>c</v>
      </c>
      <c r="C45" s="15">
        <f>'Exptl Setup'!D82</f>
        <v>24</v>
      </c>
      <c r="D45" s="15" t="str">
        <f>'Exptl Setup'!E82</f>
        <v>-</v>
      </c>
      <c r="E45" s="22">
        <f>'Exptl Setup'!K82</f>
        <v>0</v>
      </c>
      <c r="F45" s="91">
        <v>60.98</v>
      </c>
      <c r="G45" s="91">
        <v>61.85</v>
      </c>
      <c r="H45" s="91">
        <v>62.05</v>
      </c>
      <c r="I45" s="91">
        <f t="shared" si="0"/>
        <v>61.626666666666665</v>
      </c>
      <c r="J45" s="123">
        <f t="shared" si="1"/>
        <v>60.349999999999994</v>
      </c>
      <c r="K45" s="126">
        <f t="shared" si="7"/>
        <v>629.05442015536073</v>
      </c>
      <c r="L45" s="91">
        <f t="shared" si="3"/>
        <v>6.900980210163267E-2</v>
      </c>
      <c r="M45" s="179">
        <f t="shared" si="4"/>
        <v>69.483001615243992</v>
      </c>
      <c r="N45" s="180">
        <f t="shared" si="5"/>
        <v>3789.9819062860356</v>
      </c>
    </row>
    <row r="46" spans="1:19">
      <c r="A46" s="15">
        <f>'Exptl Setup'!A86</f>
        <v>79</v>
      </c>
      <c r="B46" s="15" t="str">
        <f>'Exptl Setup'!C86</f>
        <v>a</v>
      </c>
      <c r="C46" s="15">
        <f>'Exptl Setup'!D86</f>
        <v>24</v>
      </c>
      <c r="D46" s="15" t="str">
        <f>'Exptl Setup'!E86</f>
        <v>-</v>
      </c>
      <c r="E46" s="22">
        <f>'Exptl Setup'!K86</f>
        <v>5.9999953707848501</v>
      </c>
      <c r="F46" s="91">
        <v>69.510000000000005</v>
      </c>
      <c r="G46" s="91">
        <v>69.33</v>
      </c>
      <c r="H46" s="91">
        <v>69.41</v>
      </c>
      <c r="I46" s="91">
        <f t="shared" si="0"/>
        <v>69.416666666666671</v>
      </c>
      <c r="J46" s="123">
        <f t="shared" si="1"/>
        <v>60.349999999999994</v>
      </c>
      <c r="K46" s="126">
        <f t="shared" si="7"/>
        <v>763.82471151313575</v>
      </c>
      <c r="L46" s="91">
        <f t="shared" si="3"/>
        <v>8.3794645571109355E-2</v>
      </c>
      <c r="M46" s="179">
        <f t="shared" si="4"/>
        <v>84.369224606549651</v>
      </c>
      <c r="N46" s="180">
        <f t="shared" si="5"/>
        <v>4601.9577058117993</v>
      </c>
    </row>
    <row r="47" spans="1:19">
      <c r="A47" s="15">
        <f>'Exptl Setup'!A87</f>
        <v>80</v>
      </c>
      <c r="B47" s="15" t="str">
        <f>'Exptl Setup'!C87</f>
        <v>b</v>
      </c>
      <c r="C47" s="15">
        <f>'Exptl Setup'!D87</f>
        <v>24</v>
      </c>
      <c r="D47" s="15" t="str">
        <f>'Exptl Setup'!E87</f>
        <v>-</v>
      </c>
      <c r="E47" s="22">
        <f>'Exptl Setup'!K87</f>
        <v>6.0001828940805995</v>
      </c>
      <c r="F47" s="130">
        <v>84.34</v>
      </c>
      <c r="G47" s="130">
        <v>86.67</v>
      </c>
      <c r="H47" s="130">
        <v>86.13</v>
      </c>
      <c r="I47" s="130">
        <f t="shared" si="0"/>
        <v>85.713333333333324</v>
      </c>
      <c r="J47" s="123">
        <f t="shared" si="1"/>
        <v>60.349999999999994</v>
      </c>
      <c r="K47" s="126">
        <f t="shared" si="7"/>
        <v>1045.7639303613005</v>
      </c>
      <c r="L47" s="130">
        <f t="shared" si="3"/>
        <v>0.11472451280357467</v>
      </c>
      <c r="M47" s="179">
        <f t="shared" si="4"/>
        <v>115.51117762516039</v>
      </c>
      <c r="N47" s="180">
        <f t="shared" si="5"/>
        <v>6300.6096886451114</v>
      </c>
    </row>
    <row r="48" spans="1:19">
      <c r="A48" s="15">
        <f>'Exptl Setup'!A88</f>
        <v>81</v>
      </c>
      <c r="B48" s="15" t="str">
        <f>'Exptl Setup'!C88</f>
        <v>c</v>
      </c>
      <c r="C48" s="15">
        <f>'Exptl Setup'!D88</f>
        <v>24</v>
      </c>
      <c r="D48" s="15" t="str">
        <f>'Exptl Setup'!E88</f>
        <v>-</v>
      </c>
      <c r="E48" s="115">
        <f>'Exptl Setup'!K88</f>
        <v>5.997558634145669</v>
      </c>
      <c r="F48" s="91">
        <v>85.2</v>
      </c>
      <c r="G48" s="91">
        <v>86.92</v>
      </c>
      <c r="H48" s="91">
        <v>86.99</v>
      </c>
      <c r="I48" s="91">
        <f t="shared" si="0"/>
        <v>86.37</v>
      </c>
      <c r="J48" s="123">
        <f t="shared" si="1"/>
        <v>60.349999999999994</v>
      </c>
      <c r="K48" s="126">
        <f t="shared" si="7"/>
        <v>1057.1245411432783</v>
      </c>
      <c r="L48" s="91">
        <f t="shared" si="3"/>
        <v>0.11597081753762983</v>
      </c>
      <c r="M48" s="179">
        <f t="shared" si="4"/>
        <v>116.76602825814595</v>
      </c>
      <c r="N48" s="180">
        <f t="shared" si="5"/>
        <v>6369.056086807961</v>
      </c>
    </row>
    <row r="49" spans="1:19">
      <c r="A49" s="15">
        <f>'Exptl Setup'!A92</f>
        <v>85</v>
      </c>
      <c r="B49" s="15" t="str">
        <f>'Exptl Setup'!C92</f>
        <v>a</v>
      </c>
      <c r="C49" s="15">
        <f>'Exptl Setup'!D92</f>
        <v>24</v>
      </c>
      <c r="D49" s="15" t="str">
        <f>'Exptl Setup'!E92</f>
        <v>-</v>
      </c>
      <c r="E49" s="115">
        <f>'Exptl Setup'!K92</f>
        <v>16.000487717548268</v>
      </c>
      <c r="F49" s="91">
        <v>310.60000000000002</v>
      </c>
      <c r="G49" s="91">
        <v>318.7</v>
      </c>
      <c r="H49" s="91">
        <v>319.60000000000002</v>
      </c>
      <c r="I49" s="91">
        <f t="shared" si="0"/>
        <v>316.3</v>
      </c>
      <c r="J49" s="123">
        <f t="shared" si="1"/>
        <v>60.349999999999994</v>
      </c>
      <c r="K49" s="126">
        <f t="shared" si="7"/>
        <v>5035.0106890114675</v>
      </c>
      <c r="L49" s="91">
        <f t="shared" si="3"/>
        <v>0.55236094063606023</v>
      </c>
      <c r="M49" s="179">
        <f t="shared" si="4"/>
        <v>556.1484740079419</v>
      </c>
      <c r="N49" s="180">
        <f t="shared" si="5"/>
        <v>30335.3713095241</v>
      </c>
    </row>
    <row r="50" spans="1:19">
      <c r="A50" s="15">
        <f>'Exptl Setup'!A93</f>
        <v>86</v>
      </c>
      <c r="B50" s="15" t="str">
        <f>'Exptl Setup'!C93</f>
        <v>b</v>
      </c>
      <c r="C50" s="15">
        <f>'Exptl Setup'!D93</f>
        <v>24</v>
      </c>
      <c r="D50" s="15" t="str">
        <f>'Exptl Setup'!E93</f>
        <v>-</v>
      </c>
      <c r="E50" s="115">
        <f>'Exptl Setup'!K93</f>
        <v>15.999987655426267</v>
      </c>
      <c r="F50" s="91">
        <v>288.10000000000002</v>
      </c>
      <c r="G50" s="91">
        <v>290.10000000000002</v>
      </c>
      <c r="H50" s="91">
        <v>290.8</v>
      </c>
      <c r="I50" s="91">
        <f t="shared" si="0"/>
        <v>289.66666666666669</v>
      </c>
      <c r="J50" s="123">
        <f t="shared" si="1"/>
        <v>60.349999999999994</v>
      </c>
      <c r="K50" s="126">
        <f t="shared" si="7"/>
        <v>4574.2427694784674</v>
      </c>
      <c r="L50" s="91">
        <f t="shared" si="3"/>
        <v>0.50181284507717339</v>
      </c>
      <c r="M50" s="179">
        <f t="shared" si="4"/>
        <v>505.25377067010186</v>
      </c>
      <c r="N50" s="180">
        <f t="shared" si="5"/>
        <v>27559.296582005551</v>
      </c>
    </row>
    <row r="51" spans="1:19">
      <c r="A51" s="15">
        <f>'Exptl Setup'!A94</f>
        <v>87</v>
      </c>
      <c r="B51" s="15" t="str">
        <f>'Exptl Setup'!C94</f>
        <v>c</v>
      </c>
      <c r="C51" s="15">
        <f>'Exptl Setup'!D94</f>
        <v>24</v>
      </c>
      <c r="D51" s="15" t="str">
        <f>'Exptl Setup'!E94</f>
        <v>-</v>
      </c>
      <c r="E51" s="115">
        <f>'Exptl Setup'!K94</f>
        <v>15.998987624946851</v>
      </c>
      <c r="F51" s="91">
        <v>337.8</v>
      </c>
      <c r="G51" s="91">
        <v>344.9</v>
      </c>
      <c r="H51" s="91">
        <v>348</v>
      </c>
      <c r="I51" s="91">
        <f t="shared" si="0"/>
        <v>343.56666666666666</v>
      </c>
      <c r="J51" s="123">
        <f t="shared" si="1"/>
        <v>60.349999999999994</v>
      </c>
      <c r="K51" s="126">
        <f t="shared" si="7"/>
        <v>5506.735542801197</v>
      </c>
      <c r="L51" s="91">
        <f t="shared" si="3"/>
        <v>0.60411105598921355</v>
      </c>
      <c r="M51" s="179">
        <f t="shared" si="4"/>
        <v>608.25343937759533</v>
      </c>
      <c r="N51" s="180">
        <f t="shared" si="5"/>
        <v>33177.460329687012</v>
      </c>
    </row>
    <row r="52" spans="1:19">
      <c r="A52" s="15">
        <f>'Exptl Setup'!A98</f>
        <v>91</v>
      </c>
      <c r="B52" s="15" t="str">
        <f>'Exptl Setup'!C98</f>
        <v>a</v>
      </c>
      <c r="C52" s="15">
        <f>'Exptl Setup'!D98</f>
        <v>24</v>
      </c>
      <c r="D52" s="15" t="str">
        <f>'Exptl Setup'!E98</f>
        <v>-</v>
      </c>
      <c r="E52" s="115">
        <f>'Exptl Setup'!K98</f>
        <v>20.001859919464366</v>
      </c>
      <c r="F52" s="91">
        <v>165.3</v>
      </c>
      <c r="G52" s="91">
        <v>167.7</v>
      </c>
      <c r="H52" s="91">
        <v>168.2</v>
      </c>
      <c r="I52" s="91">
        <f t="shared" si="0"/>
        <v>167.06666666666666</v>
      </c>
      <c r="J52" s="123">
        <f t="shared" si="1"/>
        <v>60.349999999999994</v>
      </c>
      <c r="K52" s="126">
        <f t="shared" si="7"/>
        <v>2453.2109696757443</v>
      </c>
      <c r="L52" s="91">
        <f t="shared" si="3"/>
        <v>0.26912711858707822</v>
      </c>
      <c r="M52" s="179">
        <f t="shared" si="4"/>
        <v>270.97252051168408</v>
      </c>
      <c r="N52" s="180">
        <f t="shared" si="5"/>
        <v>14780.319300637313</v>
      </c>
    </row>
    <row r="53" spans="1:19">
      <c r="A53" s="15">
        <f>'Exptl Setup'!A99</f>
        <v>92</v>
      </c>
      <c r="B53" s="15" t="str">
        <f>'Exptl Setup'!C99</f>
        <v>b</v>
      </c>
      <c r="C53" s="15">
        <f>'Exptl Setup'!D99</f>
        <v>24</v>
      </c>
      <c r="D53" s="15" t="str">
        <f>'Exptl Setup'!E99</f>
        <v>-</v>
      </c>
      <c r="E53" s="115">
        <f>'Exptl Setup'!K99</f>
        <v>19.992486683849631</v>
      </c>
      <c r="F53" s="91">
        <v>172.1</v>
      </c>
      <c r="G53" s="91">
        <v>174.9</v>
      </c>
      <c r="H53" s="91">
        <v>175.2</v>
      </c>
      <c r="I53" s="91">
        <f t="shared" si="0"/>
        <v>174.06666666666669</v>
      </c>
      <c r="J53" s="123">
        <f t="shared" si="1"/>
        <v>60.349999999999994</v>
      </c>
      <c r="K53" s="126">
        <f t="shared" si="7"/>
        <v>2574.3139272501253</v>
      </c>
      <c r="L53" s="91">
        <f t="shared" si="3"/>
        <v>0.28241260052370687</v>
      </c>
      <c r="M53" s="179">
        <f t="shared" si="4"/>
        <v>284.34910086330666</v>
      </c>
      <c r="N53" s="180">
        <f t="shared" si="5"/>
        <v>15509.950956180362</v>
      </c>
    </row>
    <row r="54" spans="1:19" ht="13.5" thickBot="1">
      <c r="A54" s="97">
        <f>'Exptl Setup'!A100</f>
        <v>93</v>
      </c>
      <c r="B54" s="97" t="str">
        <f>'Exptl Setup'!C100</f>
        <v>c</v>
      </c>
      <c r="C54" s="97">
        <f>'Exptl Setup'!D100</f>
        <v>24</v>
      </c>
      <c r="D54" s="97" t="str">
        <f>'Exptl Setup'!E100</f>
        <v>-</v>
      </c>
      <c r="E54" s="117">
        <f>'Exptl Setup'!K100</f>
        <v>19.999984569282837</v>
      </c>
      <c r="F54" s="99">
        <v>160.80000000000001</v>
      </c>
      <c r="G54" s="99">
        <v>164.3</v>
      </c>
      <c r="H54" s="99">
        <v>164.9</v>
      </c>
      <c r="I54" s="99">
        <f t="shared" si="0"/>
        <v>163.33333333333334</v>
      </c>
      <c r="J54" s="99">
        <f t="shared" si="1"/>
        <v>60.349999999999994</v>
      </c>
      <c r="K54" s="124">
        <f t="shared" si="7"/>
        <v>2388.6227256360748</v>
      </c>
      <c r="L54" s="99">
        <f t="shared" si="3"/>
        <v>0.26204152822087629</v>
      </c>
      <c r="M54" s="179">
        <f t="shared" si="4"/>
        <v>263.83834432415205</v>
      </c>
      <c r="N54" s="180">
        <f t="shared" si="5"/>
        <v>14391.182417681019</v>
      </c>
    </row>
    <row r="55" spans="1:19">
      <c r="A55" s="14">
        <f>'Exptl Setup'!A104</f>
        <v>97</v>
      </c>
      <c r="B55" s="14" t="str">
        <f>'Exptl Setup'!C104</f>
        <v>a</v>
      </c>
      <c r="C55" s="14">
        <f>'Exptl Setup'!D104</f>
        <v>32</v>
      </c>
      <c r="D55" s="14" t="str">
        <f>'Exptl Setup'!E104</f>
        <v>+</v>
      </c>
      <c r="E55" s="116">
        <f>'Exptl Setup'!K104</f>
        <v>0</v>
      </c>
      <c r="F55" s="125">
        <v>44.6</v>
      </c>
      <c r="G55" s="125">
        <v>44.71</v>
      </c>
      <c r="H55" s="125">
        <v>44.45</v>
      </c>
      <c r="I55" s="91">
        <f t="shared" ref="I55:I78" si="9">AVERAGE(F55:H55)</f>
        <v>44.586666666666666</v>
      </c>
      <c r="J55" s="123">
        <f t="shared" si="1"/>
        <v>60.349999999999994</v>
      </c>
      <c r="K55" s="126">
        <f>((I55-$S$32)*$S$62)+$S$61</f>
        <v>330.81541775507714</v>
      </c>
      <c r="L55" s="91">
        <f t="shared" ref="L55:L78" si="10">((K55/1000000)*J55)*((101.3*273)/(101.3*(273+22)))*(44/22.4)</f>
        <v>3.6291782999964446E-2</v>
      </c>
      <c r="M55" s="179">
        <f t="shared" si="4"/>
        <v>36.540635388185748</v>
      </c>
      <c r="N55" s="180">
        <f t="shared" si="5"/>
        <v>1993.1255666283137</v>
      </c>
      <c r="O55" s="153" t="s">
        <v>163</v>
      </c>
      <c r="P55" s="4" t="s">
        <v>156</v>
      </c>
      <c r="Q55" s="40" t="s">
        <v>157</v>
      </c>
      <c r="R55" s="3" t="s">
        <v>158</v>
      </c>
      <c r="S55" s="3" t="s">
        <v>159</v>
      </c>
    </row>
    <row r="56" spans="1:19">
      <c r="A56" s="15">
        <f>'Exptl Setup'!A105</f>
        <v>98</v>
      </c>
      <c r="B56" s="15" t="str">
        <f>'Exptl Setup'!C105</f>
        <v>b</v>
      </c>
      <c r="C56" s="15">
        <f>'Exptl Setup'!D105</f>
        <v>32</v>
      </c>
      <c r="D56" s="15" t="str">
        <f>'Exptl Setup'!E105</f>
        <v>+</v>
      </c>
      <c r="E56" s="115">
        <f>'Exptl Setup'!K105</f>
        <v>0</v>
      </c>
      <c r="F56" s="91">
        <v>44.83</v>
      </c>
      <c r="G56" s="91">
        <v>44.98</v>
      </c>
      <c r="H56" s="91">
        <v>44.88</v>
      </c>
      <c r="I56" s="91">
        <f t="shared" si="9"/>
        <v>44.896666666666668</v>
      </c>
      <c r="J56" s="123">
        <f t="shared" si="1"/>
        <v>60.349999999999994</v>
      </c>
      <c r="K56" s="126">
        <f t="shared" ref="K56:K78" si="11">((I56-$S$32)*$S$62)+$S$61</f>
        <v>336.23540053997488</v>
      </c>
      <c r="L56" s="91">
        <f t="shared" si="10"/>
        <v>3.6886376929195039E-2</v>
      </c>
      <c r="M56" s="179">
        <f t="shared" si="4"/>
        <v>37.139306441962987</v>
      </c>
      <c r="N56" s="180">
        <f t="shared" si="5"/>
        <v>2025.7803513797994</v>
      </c>
      <c r="O56" s="92" t="s">
        <v>164</v>
      </c>
      <c r="P56" s="4">
        <v>28.57</v>
      </c>
      <c r="Q56" s="40">
        <v>25.63</v>
      </c>
      <c r="R56" s="3">
        <v>25.09</v>
      </c>
      <c r="S56" s="75">
        <f>AVERAGE(P56:R56)</f>
        <v>26.430000000000003</v>
      </c>
    </row>
    <row r="57" spans="1:19">
      <c r="A57" s="15">
        <f>'Exptl Setup'!A106</f>
        <v>99</v>
      </c>
      <c r="B57" s="15" t="str">
        <f>'Exptl Setup'!C106</f>
        <v>c</v>
      </c>
      <c r="C57" s="15">
        <f>'Exptl Setup'!D106</f>
        <v>32</v>
      </c>
      <c r="D57" s="15" t="str">
        <f>'Exptl Setup'!E106</f>
        <v>+</v>
      </c>
      <c r="E57" s="115">
        <f>'Exptl Setup'!K106</f>
        <v>0</v>
      </c>
      <c r="F57" s="91">
        <v>42.59</v>
      </c>
      <c r="G57" s="91">
        <v>42.93</v>
      </c>
      <c r="H57" s="91">
        <v>42.84</v>
      </c>
      <c r="I57" s="91">
        <f t="shared" si="9"/>
        <v>42.786666666666669</v>
      </c>
      <c r="J57" s="123">
        <f t="shared" si="1"/>
        <v>60.349999999999994</v>
      </c>
      <c r="K57" s="126">
        <f t="shared" si="11"/>
        <v>299.34454997180012</v>
      </c>
      <c r="L57" s="91">
        <f t="shared" si="10"/>
        <v>3.283930212056102E-2</v>
      </c>
      <c r="M57" s="179">
        <f t="shared" si="4"/>
        <v>33.064480882382405</v>
      </c>
      <c r="N57" s="180">
        <f t="shared" si="5"/>
        <v>1803.5171390390406</v>
      </c>
      <c r="O57" s="29">
        <v>357</v>
      </c>
      <c r="P57" s="4">
        <v>21.74</v>
      </c>
      <c r="Q57" s="40">
        <v>21.61</v>
      </c>
      <c r="R57" s="3">
        <v>21.69</v>
      </c>
      <c r="S57" s="75">
        <f>AVERAGE(P57:R57)</f>
        <v>21.679999999999996</v>
      </c>
    </row>
    <row r="58" spans="1:19">
      <c r="A58" s="15">
        <f>'Exptl Setup'!A110</f>
        <v>103</v>
      </c>
      <c r="B58" s="15" t="str">
        <f>'Exptl Setup'!C110</f>
        <v>a</v>
      </c>
      <c r="C58" s="15">
        <f>'Exptl Setup'!D110</f>
        <v>32</v>
      </c>
      <c r="D58" s="15" t="str">
        <f>'Exptl Setup'!E110</f>
        <v>+</v>
      </c>
      <c r="E58" s="115">
        <f>'Exptl Setup'!K110</f>
        <v>6.0009331044949628</v>
      </c>
      <c r="F58" s="91">
        <v>57.34</v>
      </c>
      <c r="G58" s="91">
        <v>57.48</v>
      </c>
      <c r="H58" s="91">
        <v>57.52</v>
      </c>
      <c r="I58" s="91">
        <f t="shared" si="9"/>
        <v>57.446666666666665</v>
      </c>
      <c r="J58" s="123">
        <f t="shared" si="1"/>
        <v>60.349999999999994</v>
      </c>
      <c r="K58" s="126">
        <f t="shared" si="11"/>
        <v>555.65728425115663</v>
      </c>
      <c r="L58" s="91">
        <f t="shared" si="10"/>
        <v>6.0957840838368992E-2</v>
      </c>
      <c r="M58" s="179">
        <f t="shared" si="4"/>
        <v>61.375828135203022</v>
      </c>
      <c r="N58" s="180">
        <f t="shared" si="5"/>
        <v>3347.7724437383463</v>
      </c>
      <c r="O58" s="93">
        <v>10000</v>
      </c>
      <c r="P58" s="4">
        <v>628.6</v>
      </c>
      <c r="Q58" s="40">
        <v>630.5</v>
      </c>
      <c r="R58" s="3">
        <v>628</v>
      </c>
      <c r="S58" s="75">
        <f t="shared" ref="S58:S59" si="12">AVERAGE(P58:R58)</f>
        <v>629.0333333333333</v>
      </c>
    </row>
    <row r="59" spans="1:19">
      <c r="A59" s="15">
        <f>'Exptl Setup'!A111</f>
        <v>104</v>
      </c>
      <c r="B59" s="15" t="str">
        <f>'Exptl Setup'!C111</f>
        <v>b</v>
      </c>
      <c r="C59" s="15">
        <f>'Exptl Setup'!D111</f>
        <v>32</v>
      </c>
      <c r="D59" s="15" t="str">
        <f>'Exptl Setup'!E111</f>
        <v>+</v>
      </c>
      <c r="E59" s="115">
        <f>'Exptl Setup'!K111</f>
        <v>6.0005579758393095</v>
      </c>
      <c r="F59" s="91">
        <v>63.23</v>
      </c>
      <c r="G59" s="91">
        <v>63.86</v>
      </c>
      <c r="H59" s="91">
        <v>64.2</v>
      </c>
      <c r="I59" s="91">
        <f t="shared" si="9"/>
        <v>63.763333333333343</v>
      </c>
      <c r="J59" s="123">
        <f t="shared" si="1"/>
        <v>60.349999999999994</v>
      </c>
      <c r="K59" s="126">
        <f t="shared" si="11"/>
        <v>666.09671841654563</v>
      </c>
      <c r="L59" s="91">
        <f t="shared" si="10"/>
        <v>7.3073491331831053E-2</v>
      </c>
      <c r="M59" s="179">
        <f t="shared" si="4"/>
        <v>73.574555521309208</v>
      </c>
      <c r="N59" s="180">
        <f t="shared" si="5"/>
        <v>4013.1575738895931</v>
      </c>
      <c r="O59" s="94">
        <v>50000</v>
      </c>
      <c r="P59" s="4">
        <v>2871</v>
      </c>
      <c r="Q59" s="4">
        <v>2882</v>
      </c>
      <c r="R59" s="3">
        <v>2884</v>
      </c>
      <c r="S59" s="75">
        <f t="shared" si="12"/>
        <v>2879</v>
      </c>
    </row>
    <row r="60" spans="1:19">
      <c r="A60" s="15">
        <f>'Exptl Setup'!A112</f>
        <v>105</v>
      </c>
      <c r="B60" s="15" t="str">
        <f>'Exptl Setup'!C112</f>
        <v>c</v>
      </c>
      <c r="C60" s="15">
        <f>'Exptl Setup'!D112</f>
        <v>32</v>
      </c>
      <c r="D60" s="15" t="str">
        <f>'Exptl Setup'!E112</f>
        <v>+</v>
      </c>
      <c r="E60" s="115">
        <f>'Exptl Setup'!K112</f>
        <v>5.9981207822977121</v>
      </c>
      <c r="F60" s="91">
        <v>65.900000000000006</v>
      </c>
      <c r="G60" s="91">
        <v>66.680000000000007</v>
      </c>
      <c r="H60" s="91">
        <v>66.25</v>
      </c>
      <c r="I60" s="91">
        <f t="shared" si="9"/>
        <v>66.276666666666671</v>
      </c>
      <c r="J60" s="123">
        <f t="shared" si="1"/>
        <v>60.349999999999994</v>
      </c>
      <c r="K60" s="126">
        <f t="shared" si="11"/>
        <v>710.03937454356594</v>
      </c>
      <c r="L60" s="91">
        <f t="shared" si="10"/>
        <v>7.789417759677586E-2</v>
      </c>
      <c r="M60" s="179">
        <f t="shared" si="4"/>
        <v>78.428297183116129</v>
      </c>
      <c r="N60" s="180">
        <f t="shared" si="5"/>
        <v>4277.9071190790619</v>
      </c>
    </row>
    <row r="61" spans="1:19">
      <c r="A61" s="15">
        <f>'Exptl Setup'!A116</f>
        <v>109</v>
      </c>
      <c r="B61" s="15" t="str">
        <f>'Exptl Setup'!C116</f>
        <v>a</v>
      </c>
      <c r="C61" s="15">
        <f>'Exptl Setup'!D116</f>
        <v>32</v>
      </c>
      <c r="D61" s="15" t="str">
        <f>'Exptl Setup'!E116</f>
        <v>+</v>
      </c>
      <c r="E61" s="115">
        <f>'Exptl Setup'!K116</f>
        <v>16.000987810929029</v>
      </c>
      <c r="F61" s="91">
        <v>220</v>
      </c>
      <c r="G61" s="91">
        <v>217.9</v>
      </c>
      <c r="H61" s="91">
        <v>218.7</v>
      </c>
      <c r="I61" s="91">
        <f t="shared" si="9"/>
        <v>218.86666666666665</v>
      </c>
      <c r="J61" s="123">
        <f t="shared" si="1"/>
        <v>60.349999999999994</v>
      </c>
      <c r="K61" s="126">
        <f t="shared" si="11"/>
        <v>3377.8947717937026</v>
      </c>
      <c r="L61" s="91">
        <f t="shared" si="10"/>
        <v>0.37056865392353694</v>
      </c>
      <c r="M61" s="179">
        <f t="shared" si="4"/>
        <v>373.10963942785662</v>
      </c>
      <c r="N61" s="180">
        <f t="shared" si="5"/>
        <v>20351.434877883086</v>
      </c>
      <c r="R61" s="95" t="s">
        <v>165</v>
      </c>
      <c r="S61" s="40">
        <f>INTERCEPT(O57:O58,S57:S58)</f>
        <v>12.784814989627193</v>
      </c>
    </row>
    <row r="62" spans="1:19">
      <c r="A62" s="15">
        <f>'Exptl Setup'!A117</f>
        <v>110</v>
      </c>
      <c r="B62" s="15" t="str">
        <f>'Exptl Setup'!C117</f>
        <v>b</v>
      </c>
      <c r="C62" s="15">
        <f>'Exptl Setup'!D117</f>
        <v>32</v>
      </c>
      <c r="D62" s="15" t="str">
        <f>'Exptl Setup'!E117</f>
        <v>+</v>
      </c>
      <c r="E62" s="115">
        <f>'Exptl Setup'!K117</f>
        <v>15.999487624560107</v>
      </c>
      <c r="F62" s="91">
        <v>243.4</v>
      </c>
      <c r="G62" s="91">
        <v>247.1</v>
      </c>
      <c r="H62" s="91">
        <v>247</v>
      </c>
      <c r="I62" s="91">
        <f t="shared" si="9"/>
        <v>245.83333333333334</v>
      </c>
      <c r="J62" s="123">
        <f t="shared" si="1"/>
        <v>60.349999999999994</v>
      </c>
      <c r="K62" s="126">
        <f t="shared" si="11"/>
        <v>3849.3749946950206</v>
      </c>
      <c r="L62" s="91">
        <f t="shared" si="10"/>
        <v>0.42229193228348849</v>
      </c>
      <c r="M62" s="179">
        <f t="shared" si="4"/>
        <v>425.18758378331796</v>
      </c>
      <c r="N62" s="180">
        <f t="shared" si="5"/>
        <v>23192.05002454462</v>
      </c>
      <c r="R62" s="96" t="s">
        <v>166</v>
      </c>
      <c r="S62" s="5">
        <f>SLOPE(O57:O59,S57:S59)</f>
        <v>17.483815435153925</v>
      </c>
    </row>
    <row r="63" spans="1:19">
      <c r="A63" s="15">
        <f>'Exptl Setup'!A118</f>
        <v>111</v>
      </c>
      <c r="B63" s="15" t="str">
        <f>'Exptl Setup'!C118</f>
        <v>c</v>
      </c>
      <c r="C63" s="15">
        <f>'Exptl Setup'!D118</f>
        <v>32</v>
      </c>
      <c r="D63" s="15" t="str">
        <f>'Exptl Setup'!E118</f>
        <v>+</v>
      </c>
      <c r="E63" s="115">
        <f>'Exptl Setup'!K118</f>
        <v>16.000487717548268</v>
      </c>
      <c r="F63" s="91">
        <v>404.7</v>
      </c>
      <c r="G63" s="91">
        <v>407.7</v>
      </c>
      <c r="H63" s="91">
        <v>408.2</v>
      </c>
      <c r="I63" s="91">
        <f t="shared" si="9"/>
        <v>406.86666666666662</v>
      </c>
      <c r="J63" s="123">
        <f t="shared" si="1"/>
        <v>60.349999999999994</v>
      </c>
      <c r="K63" s="126">
        <f t="shared" si="11"/>
        <v>6664.8520736026403</v>
      </c>
      <c r="L63" s="91">
        <f t="shared" si="10"/>
        <v>0.7311611013278958</v>
      </c>
      <c r="M63" s="179">
        <f t="shared" si="4"/>
        <v>736.1746655895397</v>
      </c>
      <c r="N63" s="180">
        <f t="shared" si="5"/>
        <v>40154.981759429444</v>
      </c>
    </row>
    <row r="64" spans="1:19">
      <c r="A64" s="15">
        <f>'Exptl Setup'!A122</f>
        <v>115</v>
      </c>
      <c r="B64" s="15" t="str">
        <f>'Exptl Setup'!C122</f>
        <v>a</v>
      </c>
      <c r="C64" s="15">
        <f>'Exptl Setup'!D122</f>
        <v>32</v>
      </c>
      <c r="D64" s="15" t="str">
        <f>'Exptl Setup'!E122</f>
        <v>+</v>
      </c>
      <c r="E64" s="115">
        <f>'Exptl Setup'!K122</f>
        <v>19.994985354267858</v>
      </c>
      <c r="F64" s="91">
        <v>95.94</v>
      </c>
      <c r="G64" s="91">
        <v>96.45</v>
      </c>
      <c r="H64" s="91">
        <v>96.54</v>
      </c>
      <c r="I64" s="91">
        <f t="shared" si="9"/>
        <v>96.31</v>
      </c>
      <c r="J64" s="123">
        <f t="shared" si="1"/>
        <v>60.349999999999994</v>
      </c>
      <c r="K64" s="126">
        <f t="shared" si="11"/>
        <v>1235.1366314460222</v>
      </c>
      <c r="L64" s="91">
        <f t="shared" si="10"/>
        <v>0.13549946041793315</v>
      </c>
      <c r="M64" s="179">
        <f t="shared" si="4"/>
        <v>136.42857884476089</v>
      </c>
      <c r="N64" s="180">
        <f t="shared" si="5"/>
        <v>7441.558846077869</v>
      </c>
    </row>
    <row r="65" spans="1:19">
      <c r="A65" s="15">
        <f>'Exptl Setup'!A123</f>
        <v>116</v>
      </c>
      <c r="B65" s="15" t="str">
        <f>'Exptl Setup'!C123</f>
        <v>b</v>
      </c>
      <c r="C65" s="15">
        <f>'Exptl Setup'!D123</f>
        <v>32</v>
      </c>
      <c r="D65" s="15" t="str">
        <f>'Exptl Setup'!E123</f>
        <v>+</v>
      </c>
      <c r="E65" s="115">
        <f>'Exptl Setup'!K123</f>
        <v>19.999984569282837</v>
      </c>
      <c r="F65" s="91">
        <v>105</v>
      </c>
      <c r="G65" s="91">
        <v>106</v>
      </c>
      <c r="H65" s="91">
        <v>105.9</v>
      </c>
      <c r="I65" s="91">
        <f t="shared" si="9"/>
        <v>105.63333333333333</v>
      </c>
      <c r="J65" s="123">
        <f t="shared" si="1"/>
        <v>60.349999999999994</v>
      </c>
      <c r="K65" s="126">
        <f t="shared" si="11"/>
        <v>1398.1440706864403</v>
      </c>
      <c r="L65" s="91">
        <f t="shared" si="10"/>
        <v>0.1533820326766209</v>
      </c>
      <c r="M65" s="179">
        <f t="shared" si="4"/>
        <v>154.43377172019044</v>
      </c>
      <c r="N65" s="180">
        <f t="shared" si="5"/>
        <v>8423.660275646751</v>
      </c>
    </row>
    <row r="66" spans="1:19">
      <c r="A66" s="15">
        <f>'Exptl Setup'!A124</f>
        <v>117</v>
      </c>
      <c r="B66" s="15" t="str">
        <f>'Exptl Setup'!C124</f>
        <v>c</v>
      </c>
      <c r="C66" s="15">
        <f>'Exptl Setup'!D124</f>
        <v>32</v>
      </c>
      <c r="D66" s="15" t="str">
        <f>'Exptl Setup'!E124</f>
        <v>+</v>
      </c>
      <c r="E66" s="115">
        <f>'Exptl Setup'!K124</f>
        <v>20.000609646935334</v>
      </c>
      <c r="F66" s="91">
        <v>104.7</v>
      </c>
      <c r="G66" s="91">
        <v>107.1</v>
      </c>
      <c r="H66" s="91">
        <v>107</v>
      </c>
      <c r="I66" s="91">
        <f t="shared" si="9"/>
        <v>106.26666666666667</v>
      </c>
      <c r="J66" s="123">
        <f t="shared" si="1"/>
        <v>60.349999999999994</v>
      </c>
      <c r="K66" s="126">
        <f t="shared" si="11"/>
        <v>1409.2171537953714</v>
      </c>
      <c r="L66" s="91">
        <f t="shared" si="10"/>
        <v>0.15459679446752217</v>
      </c>
      <c r="M66" s="179">
        <f t="shared" si="4"/>
        <v>155.65686312038051</v>
      </c>
      <c r="N66" s="180">
        <f t="shared" si="5"/>
        <v>8490.3743520207554</v>
      </c>
    </row>
    <row r="67" spans="1:19">
      <c r="A67" s="15">
        <f>'Exptl Setup'!A128</f>
        <v>121</v>
      </c>
      <c r="B67" s="15" t="str">
        <f>'Exptl Setup'!C128</f>
        <v>a</v>
      </c>
      <c r="C67" s="15">
        <f>'Exptl Setup'!D128</f>
        <v>32</v>
      </c>
      <c r="D67" s="15" t="str">
        <f>'Exptl Setup'!E128</f>
        <v>-</v>
      </c>
      <c r="E67" s="115">
        <f>'Exptl Setup'!K128</f>
        <v>0</v>
      </c>
      <c r="F67" s="91">
        <v>47.53</v>
      </c>
      <c r="G67" s="91">
        <v>48.04</v>
      </c>
      <c r="H67" s="91">
        <v>47.84</v>
      </c>
      <c r="I67" s="91">
        <f t="shared" si="9"/>
        <v>47.803333333333335</v>
      </c>
      <c r="J67" s="123">
        <f t="shared" si="1"/>
        <v>60.349999999999994</v>
      </c>
      <c r="K67" s="126">
        <f t="shared" si="11"/>
        <v>387.05502407148896</v>
      </c>
      <c r="L67" s="91">
        <f t="shared" si="10"/>
        <v>4.2461494201120588E-2</v>
      </c>
      <c r="M67" s="179">
        <f t="shared" si="4"/>
        <v>42.752652236519516</v>
      </c>
      <c r="N67" s="180">
        <f t="shared" si="5"/>
        <v>2331.9628492647012</v>
      </c>
    </row>
    <row r="68" spans="1:19">
      <c r="A68" s="15">
        <f>'Exptl Setup'!A129</f>
        <v>122</v>
      </c>
      <c r="B68" s="15" t="str">
        <f>'Exptl Setup'!C129</f>
        <v>b</v>
      </c>
      <c r="C68" s="15">
        <f>'Exptl Setup'!D129</f>
        <v>32</v>
      </c>
      <c r="D68" s="15" t="str">
        <f>'Exptl Setup'!E129</f>
        <v>-</v>
      </c>
      <c r="E68" s="115">
        <f>'Exptl Setup'!K129</f>
        <v>0</v>
      </c>
      <c r="F68" s="91">
        <v>53.57</v>
      </c>
      <c r="G68" s="91">
        <v>54.35</v>
      </c>
      <c r="H68" s="91">
        <v>54.42</v>
      </c>
      <c r="I68" s="91">
        <f t="shared" si="9"/>
        <v>54.113333333333337</v>
      </c>
      <c r="J68" s="123">
        <f t="shared" si="1"/>
        <v>60.349999999999994</v>
      </c>
      <c r="K68" s="126">
        <f t="shared" si="11"/>
        <v>497.37789946731027</v>
      </c>
      <c r="L68" s="91">
        <f t="shared" si="10"/>
        <v>5.4564357728362635E-2</v>
      </c>
      <c r="M68" s="179">
        <f t="shared" si="4"/>
        <v>54.938504976307925</v>
      </c>
      <c r="N68" s="180">
        <f t="shared" si="5"/>
        <v>2996.645725980432</v>
      </c>
    </row>
    <row r="69" spans="1:19">
      <c r="A69" s="15">
        <f>'Exptl Setup'!A130</f>
        <v>123</v>
      </c>
      <c r="B69" s="15" t="str">
        <f>'Exptl Setup'!C130</f>
        <v>c</v>
      </c>
      <c r="C69" s="15">
        <f>'Exptl Setup'!D130</f>
        <v>32</v>
      </c>
      <c r="D69" s="15" t="str">
        <f>'Exptl Setup'!E130</f>
        <v>-</v>
      </c>
      <c r="E69" s="115">
        <f>'Exptl Setup'!K130</f>
        <v>0</v>
      </c>
      <c r="F69" s="91">
        <v>47.34</v>
      </c>
      <c r="G69" s="91">
        <v>48.04</v>
      </c>
      <c r="H69" s="91">
        <v>47.54</v>
      </c>
      <c r="I69" s="91">
        <f t="shared" si="9"/>
        <v>47.639999999999993</v>
      </c>
      <c r="J69" s="123">
        <f t="shared" si="1"/>
        <v>60.349999999999994</v>
      </c>
      <c r="K69" s="126">
        <f t="shared" si="11"/>
        <v>384.19933421708032</v>
      </c>
      <c r="L69" s="91">
        <f t="shared" si="10"/>
        <v>4.2148213528730258E-2</v>
      </c>
      <c r="M69" s="179">
        <f t="shared" si="4"/>
        <v>42.43722340173364</v>
      </c>
      <c r="N69" s="180">
        <f t="shared" si="5"/>
        <v>2314.7576400945618</v>
      </c>
    </row>
    <row r="70" spans="1:19">
      <c r="A70" s="15">
        <f>'Exptl Setup'!A134</f>
        <v>127</v>
      </c>
      <c r="B70" s="15" t="str">
        <f>'Exptl Setup'!C134</f>
        <v>a</v>
      </c>
      <c r="C70" s="15">
        <f>'Exptl Setup'!D134</f>
        <v>32</v>
      </c>
      <c r="D70" s="15" t="str">
        <f>'Exptl Setup'!E134</f>
        <v>-</v>
      </c>
      <c r="E70" s="115">
        <f>'Exptl Setup'!K134</f>
        <v>5.9996203593550685</v>
      </c>
      <c r="F70" s="91">
        <v>64.36</v>
      </c>
      <c r="G70" s="91">
        <v>65.17</v>
      </c>
      <c r="H70" s="91">
        <v>65.319999999999993</v>
      </c>
      <c r="I70" s="91">
        <f t="shared" si="9"/>
        <v>64.95</v>
      </c>
      <c r="J70" s="123">
        <f t="shared" si="1"/>
        <v>60.349999999999994</v>
      </c>
      <c r="K70" s="126">
        <f t="shared" si="11"/>
        <v>686.84417939959496</v>
      </c>
      <c r="L70" s="91">
        <f t="shared" si="10"/>
        <v>7.5349571318993308E-2</v>
      </c>
      <c r="M70" s="179">
        <f t="shared" si="4"/>
        <v>75.866242565875851</v>
      </c>
      <c r="N70" s="180">
        <f t="shared" si="5"/>
        <v>4138.1586854114112</v>
      </c>
    </row>
    <row r="71" spans="1:19">
      <c r="A71" s="15">
        <f>'Exptl Setup'!A135</f>
        <v>128</v>
      </c>
      <c r="B71" s="15" t="str">
        <f>'Exptl Setup'!C135</f>
        <v>b</v>
      </c>
      <c r="C71" s="15">
        <f>'Exptl Setup'!D135</f>
        <v>32</v>
      </c>
      <c r="D71" s="15" t="str">
        <f>'Exptl Setup'!E135</f>
        <v>-</v>
      </c>
      <c r="E71" s="115">
        <f>'Exptl Setup'!K135</f>
        <v>5.9994328712188389</v>
      </c>
      <c r="F71" s="91">
        <v>70.39</v>
      </c>
      <c r="G71" s="91">
        <v>71.900000000000006</v>
      </c>
      <c r="H71" s="91">
        <v>71.72</v>
      </c>
      <c r="I71" s="91">
        <f t="shared" si="9"/>
        <v>71.336666666666673</v>
      </c>
      <c r="J71" s="123">
        <f t="shared" si="1"/>
        <v>60.349999999999994</v>
      </c>
      <c r="K71" s="126">
        <f t="shared" si="11"/>
        <v>798.50748064544484</v>
      </c>
      <c r="L71" s="91">
        <f t="shared" si="10"/>
        <v>8.7599484957765511E-2</v>
      </c>
      <c r="M71" s="179">
        <f t="shared" si="4"/>
        <v>88.200153738318875</v>
      </c>
      <c r="N71" s="180">
        <f t="shared" si="5"/>
        <v>4810.9174766355745</v>
      </c>
    </row>
    <row r="72" spans="1:19">
      <c r="A72" s="15">
        <f>'Exptl Setup'!A136</f>
        <v>129</v>
      </c>
      <c r="B72" s="15" t="str">
        <f>'Exptl Setup'!C136</f>
        <v>c</v>
      </c>
      <c r="C72" s="15">
        <f>'Exptl Setup'!D136</f>
        <v>32</v>
      </c>
      <c r="D72" s="15" t="str">
        <f>'Exptl Setup'!E136</f>
        <v>-</v>
      </c>
      <c r="E72" s="115">
        <f>'Exptl Setup'!K136</f>
        <v>5.9971839272461223</v>
      </c>
      <c r="F72" s="91">
        <v>75.25</v>
      </c>
      <c r="G72" s="91">
        <v>76.47</v>
      </c>
      <c r="H72" s="91">
        <v>76.28</v>
      </c>
      <c r="I72" s="91">
        <f t="shared" si="9"/>
        <v>76</v>
      </c>
      <c r="J72" s="123">
        <f t="shared" ref="J72:J78" si="13">$A$3-$A$2-$A$1</f>
        <v>60.349999999999994</v>
      </c>
      <c r="K72" s="126">
        <f t="shared" si="11"/>
        <v>880.04033995804582</v>
      </c>
      <c r="L72" s="91">
        <f t="shared" si="10"/>
        <v>9.6543967828664409E-2</v>
      </c>
      <c r="M72" s="179">
        <f t="shared" ref="M72:M126" si="14">(((J72/1000)/$K$4)*(K72/1000000))*44*1000000</f>
        <v>97.205968837613085</v>
      </c>
      <c r="N72" s="180">
        <f t="shared" ref="N72:N126" si="15">(((J72/1000)/$K$4)*(K72/1000000))*12*1000000000/5</f>
        <v>5302.1437547788955</v>
      </c>
    </row>
    <row r="73" spans="1:19">
      <c r="A73" s="15">
        <f>'Exptl Setup'!A140</f>
        <v>133</v>
      </c>
      <c r="B73" s="15" t="str">
        <f>'Exptl Setup'!C140</f>
        <v>a</v>
      </c>
      <c r="C73" s="15">
        <f>'Exptl Setup'!D140</f>
        <v>32</v>
      </c>
      <c r="D73" s="15" t="str">
        <f>'Exptl Setup'!E140</f>
        <v>-</v>
      </c>
      <c r="E73" s="115">
        <f>'Exptl Setup'!K140</f>
        <v>15.998487656583571</v>
      </c>
      <c r="F73" s="91">
        <v>309.8</v>
      </c>
      <c r="G73" s="91">
        <v>314.3</v>
      </c>
      <c r="H73" s="91">
        <v>313.39999999999998</v>
      </c>
      <c r="I73" s="91">
        <f t="shared" si="9"/>
        <v>312.5</v>
      </c>
      <c r="J73" s="123">
        <f t="shared" si="13"/>
        <v>60.349999999999994</v>
      </c>
      <c r="K73" s="126">
        <f t="shared" si="11"/>
        <v>5014.9626903719491</v>
      </c>
      <c r="L73" s="91">
        <f t="shared" si="10"/>
        <v>0.55016159448361579</v>
      </c>
      <c r="M73" s="179">
        <f t="shared" si="14"/>
        <v>553.93404696121979</v>
      </c>
      <c r="N73" s="180">
        <f t="shared" si="15"/>
        <v>30214.584379702901</v>
      </c>
    </row>
    <row r="74" spans="1:19">
      <c r="A74" s="15">
        <f>'Exptl Setup'!A141</f>
        <v>134</v>
      </c>
      <c r="B74" s="15" t="str">
        <f>'Exptl Setup'!C141</f>
        <v>b</v>
      </c>
      <c r="C74" s="15">
        <f>'Exptl Setup'!D141</f>
        <v>32</v>
      </c>
      <c r="D74" s="15" t="str">
        <f>'Exptl Setup'!E141</f>
        <v>-</v>
      </c>
      <c r="E74" s="115">
        <f>'Exptl Setup'!K141</f>
        <v>15.996987938964294</v>
      </c>
      <c r="F74" s="91">
        <v>299.89999999999998</v>
      </c>
      <c r="G74" s="91">
        <v>300.89999999999998</v>
      </c>
      <c r="H74" s="91">
        <v>302</v>
      </c>
      <c r="I74" s="91">
        <f t="shared" si="9"/>
        <v>300.93333333333334</v>
      </c>
      <c r="J74" s="123">
        <f t="shared" si="13"/>
        <v>60.349999999999994</v>
      </c>
      <c r="K74" s="126">
        <f t="shared" si="11"/>
        <v>4812.7332251720027</v>
      </c>
      <c r="L74" s="91">
        <f t="shared" si="10"/>
        <v>0.52797620809189372</v>
      </c>
      <c r="M74" s="179">
        <f t="shared" si="14"/>
        <v>531.59653559985395</v>
      </c>
      <c r="N74" s="180">
        <f t="shared" si="15"/>
        <v>28996.174669082946</v>
      </c>
    </row>
    <row r="75" spans="1:19">
      <c r="A75" s="15">
        <f>'Exptl Setup'!A142</f>
        <v>135</v>
      </c>
      <c r="B75" s="15" t="str">
        <f>'Exptl Setup'!C142</f>
        <v>c</v>
      </c>
      <c r="C75" s="15">
        <f>'Exptl Setup'!D142</f>
        <v>32</v>
      </c>
      <c r="D75" s="15" t="str">
        <f>'Exptl Setup'!E142</f>
        <v>-</v>
      </c>
      <c r="E75" s="115">
        <f>'Exptl Setup'!K142</f>
        <v>15.993989347079705</v>
      </c>
      <c r="F75" s="91">
        <v>373</v>
      </c>
      <c r="G75" s="91">
        <v>373.3</v>
      </c>
      <c r="H75" s="91">
        <v>372.9</v>
      </c>
      <c r="I75" s="91">
        <f t="shared" si="9"/>
        <v>373.06666666666661</v>
      </c>
      <c r="J75" s="123">
        <f t="shared" si="13"/>
        <v>60.349999999999994</v>
      </c>
      <c r="K75" s="126">
        <f t="shared" si="11"/>
        <v>6073.8991118944377</v>
      </c>
      <c r="L75" s="91">
        <f t="shared" si="10"/>
        <v>0.66633118259243118</v>
      </c>
      <c r="M75" s="179">
        <f t="shared" si="14"/>
        <v>670.90020875834352</v>
      </c>
      <c r="N75" s="180">
        <f t="shared" si="15"/>
        <v>36594.556841364189</v>
      </c>
    </row>
    <row r="76" spans="1:19">
      <c r="A76" s="15">
        <f>'Exptl Setup'!A146</f>
        <v>139</v>
      </c>
      <c r="B76" s="15" t="str">
        <f>'Exptl Setup'!C146</f>
        <v>a</v>
      </c>
      <c r="C76" s="15">
        <f>'Exptl Setup'!D146</f>
        <v>32</v>
      </c>
      <c r="D76" s="15" t="str">
        <f>'Exptl Setup'!E146</f>
        <v>-</v>
      </c>
      <c r="E76" s="115">
        <f>'Exptl Setup'!K146</f>
        <v>20.001859919464366</v>
      </c>
      <c r="F76" s="91">
        <v>130</v>
      </c>
      <c r="G76" s="91">
        <v>131.6</v>
      </c>
      <c r="H76" s="91">
        <v>131.30000000000001</v>
      </c>
      <c r="I76" s="91">
        <f t="shared" si="9"/>
        <v>130.96666666666667</v>
      </c>
      <c r="J76" s="123">
        <f t="shared" si="13"/>
        <v>60.349999999999994</v>
      </c>
      <c r="K76" s="126">
        <f t="shared" si="11"/>
        <v>1841.0673950436733</v>
      </c>
      <c r="L76" s="91">
        <f t="shared" si="10"/>
        <v>0.2019725043126693</v>
      </c>
      <c r="M76" s="179">
        <f t="shared" si="14"/>
        <v>203.35742772779312</v>
      </c>
      <c r="N76" s="180">
        <f t="shared" si="15"/>
        <v>11092.223330606899</v>
      </c>
    </row>
    <row r="77" spans="1:19">
      <c r="A77" s="15">
        <f>'Exptl Setup'!A147</f>
        <v>140</v>
      </c>
      <c r="B77" s="15" t="str">
        <f>'Exptl Setup'!C147</f>
        <v>b</v>
      </c>
      <c r="C77" s="15">
        <f>'Exptl Setup'!D147</f>
        <v>32</v>
      </c>
      <c r="D77" s="15" t="str">
        <f>'Exptl Setup'!E147</f>
        <v>-</v>
      </c>
      <c r="E77" s="115">
        <f>'Exptl Setup'!K147</f>
        <v>19.989364223881516</v>
      </c>
      <c r="F77" s="91">
        <v>134</v>
      </c>
      <c r="G77" s="91">
        <v>133.9</v>
      </c>
      <c r="H77" s="91">
        <v>132.80000000000001</v>
      </c>
      <c r="I77" s="91">
        <f t="shared" si="9"/>
        <v>133.56666666666666</v>
      </c>
      <c r="J77" s="123">
        <f t="shared" si="13"/>
        <v>60.349999999999994</v>
      </c>
      <c r="K77" s="126">
        <f t="shared" si="11"/>
        <v>1886.5253151750735</v>
      </c>
      <c r="L77" s="91">
        <f t="shared" si="10"/>
        <v>0.20695942113847426</v>
      </c>
      <c r="M77" s="179">
        <f t="shared" si="14"/>
        <v>208.3785397917313</v>
      </c>
      <c r="N77" s="180">
        <f t="shared" si="15"/>
        <v>11366.102170458071</v>
      </c>
    </row>
    <row r="78" spans="1:19" ht="13.5" thickBot="1">
      <c r="A78" s="97">
        <f>'Exptl Setup'!A148</f>
        <v>141</v>
      </c>
      <c r="B78" s="97" t="str">
        <f>'Exptl Setup'!C148</f>
        <v>c</v>
      </c>
      <c r="C78" s="97">
        <f>'Exptl Setup'!D148</f>
        <v>32</v>
      </c>
      <c r="D78" s="97" t="str">
        <f>'Exptl Setup'!E148</f>
        <v>-</v>
      </c>
      <c r="E78" s="117">
        <f>'Exptl Setup'!K148</f>
        <v>19.999984569282837</v>
      </c>
      <c r="F78" s="99">
        <v>127.4</v>
      </c>
      <c r="G78" s="99">
        <v>129.69999999999999</v>
      </c>
      <c r="H78" s="99">
        <v>129.69999999999999</v>
      </c>
      <c r="I78" s="99">
        <f t="shared" si="9"/>
        <v>128.93333333333334</v>
      </c>
      <c r="J78" s="124">
        <f t="shared" si="13"/>
        <v>60.349999999999994</v>
      </c>
      <c r="K78" s="124">
        <f t="shared" si="11"/>
        <v>1805.5169703255269</v>
      </c>
      <c r="L78" s="99">
        <f t="shared" si="10"/>
        <v>0.19807247961556543</v>
      </c>
      <c r="M78" s="179">
        <f t="shared" si="14"/>
        <v>199.43066060086716</v>
      </c>
      <c r="N78" s="180">
        <f t="shared" si="15"/>
        <v>10878.036032774571</v>
      </c>
    </row>
    <row r="79" spans="1:19">
      <c r="A79" s="14">
        <f>'Exptl Setup'!A152</f>
        <v>145</v>
      </c>
      <c r="B79" s="14" t="str">
        <f>'Exptl Setup'!C152</f>
        <v>a</v>
      </c>
      <c r="C79" s="14">
        <f>'Exptl Setup'!D152</f>
        <v>40</v>
      </c>
      <c r="D79" s="14" t="str">
        <f>'Exptl Setup'!E152</f>
        <v>+</v>
      </c>
      <c r="E79" s="116">
        <f>'Exptl Setup'!K152</f>
        <v>0</v>
      </c>
      <c r="F79" s="125">
        <v>55.62</v>
      </c>
      <c r="G79" s="125">
        <v>55.38</v>
      </c>
      <c r="H79" s="125">
        <v>55.17</v>
      </c>
      <c r="I79" s="125">
        <f>AVERAGE(F79:H79)</f>
        <v>55.390000000000008</v>
      </c>
      <c r="J79" s="126">
        <f t="shared" ref="J79:J102" si="16">$A$3-$A$2-$A$1</f>
        <v>60.349999999999994</v>
      </c>
      <c r="K79" s="126">
        <f>((I79-$S$80)*$S$86)+$S$85</f>
        <v>553.42073708548912</v>
      </c>
      <c r="L79" s="125">
        <f t="shared" ref="L79" si="17">((K79/1000000)*J79)*((101.3*273)/(101.3*(273+22)))*(44/22.4)</f>
        <v>6.0712482611245226E-2</v>
      </c>
      <c r="M79" s="179">
        <f t="shared" si="14"/>
        <v>61.128787489202509</v>
      </c>
      <c r="N79" s="180">
        <f t="shared" si="15"/>
        <v>3334.2974994110468</v>
      </c>
      <c r="O79" s="152" t="s">
        <v>163</v>
      </c>
      <c r="P79" s="4" t="s">
        <v>156</v>
      </c>
      <c r="Q79" s="40" t="s">
        <v>157</v>
      </c>
      <c r="R79" s="3" t="s">
        <v>158</v>
      </c>
      <c r="S79" s="3" t="s">
        <v>159</v>
      </c>
    </row>
    <row r="80" spans="1:19">
      <c r="A80" s="15">
        <f>'Exptl Setup'!A153</f>
        <v>146</v>
      </c>
      <c r="B80" s="15" t="str">
        <f>'Exptl Setup'!C153</f>
        <v>b</v>
      </c>
      <c r="C80" s="15">
        <f>'Exptl Setup'!D153</f>
        <v>40</v>
      </c>
      <c r="D80" s="15" t="str">
        <f>'Exptl Setup'!E153</f>
        <v>+</v>
      </c>
      <c r="E80" s="115">
        <f>'Exptl Setup'!K153</f>
        <v>0</v>
      </c>
      <c r="F80" s="91">
        <v>55.42</v>
      </c>
      <c r="G80" s="91">
        <v>55.46</v>
      </c>
      <c r="H80" s="91">
        <v>55.34</v>
      </c>
      <c r="I80" s="125">
        <f>AVERAGE(F80:H80)</f>
        <v>55.406666666666666</v>
      </c>
      <c r="J80" s="123">
        <f t="shared" si="16"/>
        <v>60.349999999999994</v>
      </c>
      <c r="K80" s="126">
        <f t="shared" ref="K80:K102" si="18">((I80-$S$80)*$S$86)+$S$85</f>
        <v>553.85776545880492</v>
      </c>
      <c r="L80" s="91">
        <f t="shared" ref="L80" si="19">((K80/1000000)*J80)*((101.3*273)/(101.3*(273+22)))*(44/22.4)</f>
        <v>6.0760426383022356E-2</v>
      </c>
      <c r="M80" s="179">
        <f t="shared" si="14"/>
        <v>61.177060010936813</v>
      </c>
      <c r="N80" s="180">
        <f t="shared" si="15"/>
        <v>3336.9305460510986</v>
      </c>
      <c r="O80" s="92" t="s">
        <v>164</v>
      </c>
      <c r="P80" s="4">
        <v>35.99</v>
      </c>
      <c r="Q80" s="40">
        <v>35.4</v>
      </c>
      <c r="R80" s="3">
        <v>33.409999999999997</v>
      </c>
      <c r="S80" s="75">
        <f>AVERAGE(P80:R80)</f>
        <v>34.93333333333333</v>
      </c>
    </row>
    <row r="81" spans="1:19">
      <c r="A81" s="15">
        <f>'Exptl Setup'!A154</f>
        <v>147</v>
      </c>
      <c r="B81" s="15" t="str">
        <f>'Exptl Setup'!C154</f>
        <v>c</v>
      </c>
      <c r="C81" s="15">
        <f>'Exptl Setup'!D154</f>
        <v>40</v>
      </c>
      <c r="D81" s="15" t="str">
        <f>'Exptl Setup'!E154</f>
        <v>+</v>
      </c>
      <c r="E81" s="115">
        <f>'Exptl Setup'!K154</f>
        <v>0</v>
      </c>
      <c r="F81" s="91">
        <v>57.74</v>
      </c>
      <c r="G81" s="91">
        <v>57.65</v>
      </c>
      <c r="H81" s="91">
        <v>57.51</v>
      </c>
      <c r="I81" s="125">
        <f t="shared" ref="I81:I102" si="20">AVERAGE(F81:H81)</f>
        <v>57.633333333333333</v>
      </c>
      <c r="J81" s="123">
        <f t="shared" si="16"/>
        <v>60.349999999999994</v>
      </c>
      <c r="K81" s="126">
        <f t="shared" si="18"/>
        <v>612.24475613382322</v>
      </c>
      <c r="L81" s="91">
        <f t="shared" ref="L81:L102" si="21">((K81/1000000)*J81)*((101.3*273)/(101.3*(273+22)))*(44/22.4)</f>
        <v>6.7165714292449594E-2</v>
      </c>
      <c r="M81" s="179">
        <f t="shared" si="14"/>
        <v>67.626268914642765</v>
      </c>
      <c r="N81" s="180">
        <f t="shared" si="15"/>
        <v>3688.7055771623332</v>
      </c>
      <c r="O81" s="29">
        <v>357</v>
      </c>
      <c r="P81" s="4">
        <v>21.78</v>
      </c>
      <c r="Q81" s="40">
        <v>21.82</v>
      </c>
      <c r="R81" s="3">
        <v>21.84</v>
      </c>
      <c r="S81" s="75">
        <f>AVERAGE(P81:R81)</f>
        <v>21.813333333333333</v>
      </c>
    </row>
    <row r="82" spans="1:19">
      <c r="A82" s="15">
        <f>'Exptl Setup'!A158</f>
        <v>151</v>
      </c>
      <c r="B82" s="15" t="str">
        <f>'Exptl Setup'!C158</f>
        <v>a</v>
      </c>
      <c r="C82" s="15">
        <f>'Exptl Setup'!D158</f>
        <v>40</v>
      </c>
      <c r="D82" s="15" t="str">
        <f>'Exptl Setup'!E158</f>
        <v>+</v>
      </c>
      <c r="E82" s="115">
        <f>'Exptl Setup'!K158</f>
        <v>5.9990579300982079</v>
      </c>
      <c r="F82" s="91">
        <v>78.959999999999994</v>
      </c>
      <c r="G82" s="91">
        <v>78.45</v>
      </c>
      <c r="H82" s="91">
        <v>78.319999999999993</v>
      </c>
      <c r="I82" s="125">
        <f t="shared" si="20"/>
        <v>78.576666666666668</v>
      </c>
      <c r="J82" s="123">
        <f t="shared" si="16"/>
        <v>60.349999999999994</v>
      </c>
      <c r="K82" s="126">
        <f t="shared" si="18"/>
        <v>1161.4146100427151</v>
      </c>
      <c r="L82" s="91">
        <f t="shared" si="21"/>
        <v>0.12741185790761608</v>
      </c>
      <c r="M82" s="179">
        <f t="shared" si="14"/>
        <v>128.28551972599666</v>
      </c>
      <c r="N82" s="180">
        <f t="shared" si="15"/>
        <v>6997.3919850543634</v>
      </c>
      <c r="O82" s="93">
        <v>10000</v>
      </c>
      <c r="P82" s="4">
        <v>642</v>
      </c>
      <c r="Q82" s="40">
        <v>640.5</v>
      </c>
      <c r="R82" s="3">
        <v>639</v>
      </c>
      <c r="S82" s="75">
        <f t="shared" ref="S82:S83" si="22">AVERAGE(P82:R82)</f>
        <v>640.5</v>
      </c>
    </row>
    <row r="83" spans="1:19">
      <c r="A83" s="15">
        <f>'Exptl Setup'!A159</f>
        <v>152</v>
      </c>
      <c r="B83" s="15" t="str">
        <f>'Exptl Setup'!C159</f>
        <v>b</v>
      </c>
      <c r="C83" s="15">
        <f>'Exptl Setup'!D159</f>
        <v>40</v>
      </c>
      <c r="D83" s="15" t="str">
        <f>'Exptl Setup'!E159</f>
        <v>+</v>
      </c>
      <c r="E83" s="115">
        <f>'Exptl Setup'!K159</f>
        <v>5.9999953707848501</v>
      </c>
      <c r="F83" s="91">
        <v>78.36</v>
      </c>
      <c r="G83" s="91">
        <v>78.37</v>
      </c>
      <c r="H83" s="91">
        <v>78.19</v>
      </c>
      <c r="I83" s="125">
        <f t="shared" si="20"/>
        <v>78.306666666666672</v>
      </c>
      <c r="J83" s="123">
        <f t="shared" si="16"/>
        <v>60.349999999999994</v>
      </c>
      <c r="K83" s="126">
        <f t="shared" si="18"/>
        <v>1154.3347503949958</v>
      </c>
      <c r="L83" s="91">
        <f t="shared" si="21"/>
        <v>0.12663516880482628</v>
      </c>
      <c r="M83" s="179">
        <f t="shared" si="14"/>
        <v>127.50350487390061</v>
      </c>
      <c r="N83" s="180">
        <f t="shared" si="15"/>
        <v>6954.7366294854892</v>
      </c>
      <c r="O83" s="94">
        <v>50000</v>
      </c>
      <c r="P83" s="4">
        <v>2969</v>
      </c>
      <c r="Q83" s="4">
        <v>29.23</v>
      </c>
      <c r="R83" s="3">
        <v>2910</v>
      </c>
      <c r="S83" s="75">
        <f t="shared" si="22"/>
        <v>1969.4099999999999</v>
      </c>
    </row>
    <row r="84" spans="1:19">
      <c r="A84" s="15">
        <f>'Exptl Setup'!A160</f>
        <v>153</v>
      </c>
      <c r="B84" s="15" t="str">
        <f>'Exptl Setup'!C160</f>
        <v>c</v>
      </c>
      <c r="C84" s="15">
        <f>'Exptl Setup'!D160</f>
        <v>40</v>
      </c>
      <c r="D84" s="15" t="str">
        <f>'Exptl Setup'!E160</f>
        <v>+</v>
      </c>
      <c r="E84" s="115">
        <f>'Exptl Setup'!K160</f>
        <v>5.9994328712188389</v>
      </c>
      <c r="F84" s="91">
        <v>80.319999999999993</v>
      </c>
      <c r="G84" s="91">
        <v>81.16</v>
      </c>
      <c r="H84" s="91">
        <v>80.489999999999995</v>
      </c>
      <c r="I84" s="125">
        <f t="shared" si="20"/>
        <v>80.656666666666652</v>
      </c>
      <c r="J84" s="123">
        <f t="shared" si="16"/>
        <v>60.349999999999994</v>
      </c>
      <c r="K84" s="126">
        <f t="shared" si="18"/>
        <v>1215.9557510325521</v>
      </c>
      <c r="L84" s="91">
        <f t="shared" si="21"/>
        <v>0.13339524062540437</v>
      </c>
      <c r="M84" s="179">
        <f t="shared" si="14"/>
        <v>134.30993043844055</v>
      </c>
      <c r="N84" s="180">
        <f t="shared" si="15"/>
        <v>7325.9962057331195</v>
      </c>
    </row>
    <row r="85" spans="1:19">
      <c r="A85" s="15">
        <f>'Exptl Setup'!A164</f>
        <v>157</v>
      </c>
      <c r="B85" s="15" t="str">
        <f>'Exptl Setup'!C164</f>
        <v>a</v>
      </c>
      <c r="C85" s="15">
        <f>'Exptl Setup'!D164</f>
        <v>40</v>
      </c>
      <c r="D85" s="15" t="str">
        <f>'Exptl Setup'!E164</f>
        <v>+</v>
      </c>
      <c r="E85" s="115">
        <f>'Exptl Setup'!K164</f>
        <v>15.995488502489355</v>
      </c>
      <c r="F85" s="91">
        <v>404.7</v>
      </c>
      <c r="G85" s="91">
        <v>406.7</v>
      </c>
      <c r="H85" s="91">
        <v>403.8</v>
      </c>
      <c r="I85" s="125">
        <f t="shared" si="20"/>
        <v>405.06666666666666</v>
      </c>
      <c r="J85" s="123">
        <f t="shared" si="16"/>
        <v>60.349999999999994</v>
      </c>
      <c r="K85" s="126">
        <f t="shared" si="18"/>
        <v>9722.5382262792627</v>
      </c>
      <c r="L85" s="91">
        <f t="shared" si="21"/>
        <v>1.0666015807589155</v>
      </c>
      <c r="M85" s="179">
        <f t="shared" si="14"/>
        <v>1073.9152569884004</v>
      </c>
      <c r="N85" s="180">
        <f t="shared" si="15"/>
        <v>58577.195835730934</v>
      </c>
      <c r="R85" s="95" t="s">
        <v>165</v>
      </c>
      <c r="S85" s="40">
        <f>INTERCEPT(O81:O82,S81:S82)</f>
        <v>17.0121116774244</v>
      </c>
    </row>
    <row r="86" spans="1:19">
      <c r="A86" s="15">
        <f>'Exptl Setup'!A165</f>
        <v>158</v>
      </c>
      <c r="B86" s="15" t="str">
        <f>'Exptl Setup'!C165</f>
        <v>b</v>
      </c>
      <c r="C86" s="15">
        <f>'Exptl Setup'!D165</f>
        <v>40</v>
      </c>
      <c r="D86" s="15" t="str">
        <f>'Exptl Setup'!E165</f>
        <v>+</v>
      </c>
      <c r="E86" s="115">
        <f>'Exptl Setup'!K165</f>
        <v>15.999987655426267</v>
      </c>
      <c r="F86" s="91">
        <v>447</v>
      </c>
      <c r="G86" s="91">
        <v>447.1</v>
      </c>
      <c r="H86" s="91">
        <v>446.7</v>
      </c>
      <c r="I86" s="125">
        <f t="shared" si="20"/>
        <v>446.93333333333334</v>
      </c>
      <c r="J86" s="123">
        <f t="shared" si="16"/>
        <v>60.349999999999994</v>
      </c>
      <c r="K86" s="126">
        <f t="shared" si="18"/>
        <v>10820.353500049066</v>
      </c>
      <c r="L86" s="91">
        <f t="shared" si="21"/>
        <v>1.1870363354631157</v>
      </c>
      <c r="M86" s="179">
        <f t="shared" si="14"/>
        <v>1195.175831585027</v>
      </c>
      <c r="N86" s="180">
        <f t="shared" si="15"/>
        <v>65191.408995546924</v>
      </c>
      <c r="R86" s="96" t="s">
        <v>166</v>
      </c>
      <c r="S86" s="5">
        <f>SLOPE(O81:O83,S81:S83)</f>
        <v>26.221702398960296</v>
      </c>
    </row>
    <row r="87" spans="1:19">
      <c r="A87" s="15">
        <f>'Exptl Setup'!A166</f>
        <v>159</v>
      </c>
      <c r="B87" s="15" t="str">
        <f>'Exptl Setup'!C166</f>
        <v>c</v>
      </c>
      <c r="C87" s="15">
        <f>'Exptl Setup'!D166</f>
        <v>40</v>
      </c>
      <c r="D87" s="15" t="str">
        <f>'Exptl Setup'!E166</f>
        <v>+</v>
      </c>
      <c r="E87" s="115">
        <f>'Exptl Setup'!K166</f>
        <v>16.000987810929029</v>
      </c>
      <c r="F87" s="91">
        <v>452.3</v>
      </c>
      <c r="G87" s="91">
        <v>452.9</v>
      </c>
      <c r="H87" s="91">
        <v>452.1</v>
      </c>
      <c r="I87" s="125">
        <f t="shared" si="20"/>
        <v>452.43333333333339</v>
      </c>
      <c r="J87" s="123">
        <f t="shared" si="16"/>
        <v>60.349999999999994</v>
      </c>
      <c r="K87" s="126">
        <f t="shared" si="18"/>
        <v>10964.572863243349</v>
      </c>
      <c r="L87" s="91">
        <f t="shared" si="21"/>
        <v>1.2028577801495755</v>
      </c>
      <c r="M87" s="179">
        <f t="shared" si="14"/>
        <v>1211.1057637573547</v>
      </c>
      <c r="N87" s="180">
        <f t="shared" si="15"/>
        <v>66060.314386764803</v>
      </c>
    </row>
    <row r="88" spans="1:19">
      <c r="A88" s="15">
        <f>'Exptl Setup'!A170</f>
        <v>163</v>
      </c>
      <c r="B88" s="15" t="str">
        <f>'Exptl Setup'!C170</f>
        <v>a</v>
      </c>
      <c r="C88" s="15">
        <f>'Exptl Setup'!D170</f>
        <v>40</v>
      </c>
      <c r="D88" s="15" t="str">
        <f>'Exptl Setup'!E170</f>
        <v>+</v>
      </c>
      <c r="E88" s="115">
        <f>'Exptl Setup'!K170</f>
        <v>19.991862113818897</v>
      </c>
      <c r="F88" s="91">
        <v>155.30000000000001</v>
      </c>
      <c r="G88" s="91">
        <v>154.9</v>
      </c>
      <c r="H88" s="91">
        <v>154.80000000000001</v>
      </c>
      <c r="I88" s="125">
        <f t="shared" si="20"/>
        <v>155.00000000000003</v>
      </c>
      <c r="J88" s="123">
        <f t="shared" si="16"/>
        <v>60.349999999999994</v>
      </c>
      <c r="K88" s="126">
        <f t="shared" si="18"/>
        <v>3165.3645130459245</v>
      </c>
      <c r="L88" s="91">
        <f t="shared" si="21"/>
        <v>0.34725322901455902</v>
      </c>
      <c r="M88" s="179">
        <f t="shared" si="14"/>
        <v>349.63434088657465</v>
      </c>
      <c r="N88" s="180">
        <f t="shared" si="15"/>
        <v>19070.964048358619</v>
      </c>
    </row>
    <row r="89" spans="1:19">
      <c r="A89" s="15">
        <f>'Exptl Setup'!A171</f>
        <v>164</v>
      </c>
      <c r="B89" s="15" t="str">
        <f>'Exptl Setup'!C171</f>
        <v>b</v>
      </c>
      <c r="C89" s="15">
        <f>'Exptl Setup'!D171</f>
        <v>40</v>
      </c>
      <c r="D89" s="15" t="str">
        <f>'Exptl Setup'!E171</f>
        <v>+</v>
      </c>
      <c r="E89" s="115">
        <f>'Exptl Setup'!K171</f>
        <v>19.994360628111693</v>
      </c>
      <c r="F89" s="91">
        <v>236.6</v>
      </c>
      <c r="G89" s="91">
        <v>236.1</v>
      </c>
      <c r="H89" s="91">
        <v>236.1</v>
      </c>
      <c r="I89" s="125">
        <f t="shared" si="20"/>
        <v>236.26666666666665</v>
      </c>
      <c r="J89" s="123">
        <f t="shared" si="16"/>
        <v>60.349999999999994</v>
      </c>
      <c r="K89" s="126">
        <f t="shared" si="18"/>
        <v>5296.3148613347639</v>
      </c>
      <c r="L89" s="91">
        <f t="shared" si="21"/>
        <v>0.58102706019994166</v>
      </c>
      <c r="M89" s="179">
        <f t="shared" si="14"/>
        <v>585.01115686314768</v>
      </c>
      <c r="N89" s="180">
        <f t="shared" si="15"/>
        <v>31909.699465262605</v>
      </c>
    </row>
    <row r="90" spans="1:19">
      <c r="A90" s="15">
        <f>'Exptl Setup'!A172</f>
        <v>165</v>
      </c>
      <c r="B90" s="15" t="str">
        <f>'Exptl Setup'!C172</f>
        <v>c</v>
      </c>
      <c r="C90" s="15">
        <f>'Exptl Setup'!D172</f>
        <v>40</v>
      </c>
      <c r="D90" s="15" t="str">
        <f>'Exptl Setup'!E172</f>
        <v>+</v>
      </c>
      <c r="E90" s="115">
        <f>'Exptl Setup'!K172</f>
        <v>19.998109570729465</v>
      </c>
      <c r="F90" s="91">
        <v>198.1</v>
      </c>
      <c r="G90" s="91">
        <v>196.9</v>
      </c>
      <c r="H90" s="91">
        <v>196.5</v>
      </c>
      <c r="I90" s="125">
        <f t="shared" si="20"/>
        <v>197.16666666666666</v>
      </c>
      <c r="J90" s="123">
        <f t="shared" si="16"/>
        <v>60.349999999999994</v>
      </c>
      <c r="K90" s="126">
        <f t="shared" si="18"/>
        <v>4271.0462975354158</v>
      </c>
      <c r="L90" s="91">
        <f t="shared" si="21"/>
        <v>0.46855097161074805</v>
      </c>
      <c r="M90" s="179">
        <f t="shared" si="14"/>
        <v>471.76382087441908</v>
      </c>
      <c r="N90" s="180">
        <f t="shared" si="15"/>
        <v>25732.572047695583</v>
      </c>
    </row>
    <row r="91" spans="1:19">
      <c r="A91" s="15">
        <f>'Exptl Setup'!A176</f>
        <v>169</v>
      </c>
      <c r="B91" s="15" t="str">
        <f>'Exptl Setup'!C176</f>
        <v>a</v>
      </c>
      <c r="C91" s="15">
        <f>'Exptl Setup'!D176</f>
        <v>40</v>
      </c>
      <c r="D91" s="15" t="str">
        <f>'Exptl Setup'!E176</f>
        <v>-</v>
      </c>
      <c r="E91" s="115">
        <f>'Exptl Setup'!K176</f>
        <v>0</v>
      </c>
      <c r="F91" s="91">
        <v>59.2</v>
      </c>
      <c r="G91" s="91">
        <v>58.89</v>
      </c>
      <c r="H91" s="91">
        <v>58.85</v>
      </c>
      <c r="I91" s="125">
        <f t="shared" si="20"/>
        <v>58.98</v>
      </c>
      <c r="J91" s="123">
        <f t="shared" si="16"/>
        <v>60.349999999999994</v>
      </c>
      <c r="K91" s="126">
        <f t="shared" si="18"/>
        <v>647.55664869775637</v>
      </c>
      <c r="L91" s="91">
        <f t="shared" si="21"/>
        <v>7.1039571052043282E-2</v>
      </c>
      <c r="M91" s="179">
        <f t="shared" si="14"/>
        <v>71.526688670776295</v>
      </c>
      <c r="N91" s="180">
        <f t="shared" si="15"/>
        <v>3901.4557456787065</v>
      </c>
    </row>
    <row r="92" spans="1:19">
      <c r="A92" s="15">
        <f>'Exptl Setup'!A177</f>
        <v>170</v>
      </c>
      <c r="B92" s="15" t="str">
        <f>'Exptl Setup'!C177</f>
        <v>b</v>
      </c>
      <c r="C92" s="15">
        <f>'Exptl Setup'!D177</f>
        <v>40</v>
      </c>
      <c r="D92" s="15" t="str">
        <f>'Exptl Setup'!E177</f>
        <v>-</v>
      </c>
      <c r="E92" s="115">
        <f>'Exptl Setup'!K177</f>
        <v>0</v>
      </c>
      <c r="F92" s="91">
        <v>59.39</v>
      </c>
      <c r="G92" s="91">
        <v>59.36</v>
      </c>
      <c r="H92" s="91">
        <v>59.25</v>
      </c>
      <c r="I92" s="125">
        <f t="shared" si="20"/>
        <v>59.333333333333336</v>
      </c>
      <c r="J92" s="123">
        <f t="shared" si="16"/>
        <v>60.349999999999994</v>
      </c>
      <c r="K92" s="126">
        <f t="shared" si="18"/>
        <v>656.82165021205583</v>
      </c>
      <c r="L92" s="91">
        <f t="shared" si="21"/>
        <v>7.2055979013718865E-2</v>
      </c>
      <c r="M92" s="179">
        <f t="shared" si="14"/>
        <v>72.550066131544014</v>
      </c>
      <c r="N92" s="180">
        <f t="shared" si="15"/>
        <v>3957.2763344478544</v>
      </c>
    </row>
    <row r="93" spans="1:19">
      <c r="A93" s="15">
        <f>'Exptl Setup'!A178</f>
        <v>171</v>
      </c>
      <c r="B93" s="15" t="str">
        <f>'Exptl Setup'!C178</f>
        <v>c</v>
      </c>
      <c r="C93" s="15">
        <f>'Exptl Setup'!D178</f>
        <v>40</v>
      </c>
      <c r="D93" s="15" t="str">
        <f>'Exptl Setup'!E178</f>
        <v>-</v>
      </c>
      <c r="E93" s="115">
        <f>'Exptl Setup'!K178</f>
        <v>0</v>
      </c>
      <c r="F93" s="91">
        <v>59.97</v>
      </c>
      <c r="G93" s="91">
        <v>60.13</v>
      </c>
      <c r="H93" s="91">
        <v>59.98</v>
      </c>
      <c r="I93" s="125">
        <f t="shared" si="20"/>
        <v>60.026666666666664</v>
      </c>
      <c r="J93" s="123">
        <f t="shared" si="16"/>
        <v>60.349999999999994</v>
      </c>
      <c r="K93" s="126">
        <f t="shared" si="18"/>
        <v>675.00203054200142</v>
      </c>
      <c r="L93" s="91">
        <f t="shared" si="21"/>
        <v>7.4050439919648298E-2</v>
      </c>
      <c r="M93" s="179">
        <f t="shared" si="14"/>
        <v>74.558203035691946</v>
      </c>
      <c r="N93" s="180">
        <f t="shared" si="15"/>
        <v>4066.8110746741067</v>
      </c>
    </row>
    <row r="94" spans="1:19">
      <c r="A94" s="15">
        <f>'Exptl Setup'!A182</f>
        <v>175</v>
      </c>
      <c r="B94" s="15" t="str">
        <f>'Exptl Setup'!C182</f>
        <v>a</v>
      </c>
      <c r="C94" s="15">
        <f>'Exptl Setup'!D182</f>
        <v>40</v>
      </c>
      <c r="D94" s="15" t="str">
        <f>'Exptl Setup'!E182</f>
        <v>-</v>
      </c>
      <c r="E94" s="115">
        <f>'Exptl Setup'!K182</f>
        <v>5.9969965913536027</v>
      </c>
      <c r="F94" s="91">
        <v>91.11</v>
      </c>
      <c r="G94" s="91">
        <v>91.51</v>
      </c>
      <c r="H94" s="91">
        <v>91.21</v>
      </c>
      <c r="I94" s="125">
        <f t="shared" si="20"/>
        <v>91.276666666666657</v>
      </c>
      <c r="J94" s="123">
        <f t="shared" si="16"/>
        <v>60.349999999999994</v>
      </c>
      <c r="K94" s="126">
        <f t="shared" si="18"/>
        <v>1494.4302305095105</v>
      </c>
      <c r="L94" s="91">
        <f t="shared" si="21"/>
        <v>0.16394501200180425</v>
      </c>
      <c r="M94" s="179">
        <f t="shared" si="14"/>
        <v>165.06918128755296</v>
      </c>
      <c r="N94" s="180">
        <f t="shared" si="15"/>
        <v>9003.7735247756173</v>
      </c>
    </row>
    <row r="95" spans="1:19">
      <c r="A95" s="15">
        <f>'Exptl Setup'!A183</f>
        <v>176</v>
      </c>
      <c r="B95" s="15" t="str">
        <f>'Exptl Setup'!C183</f>
        <v>b</v>
      </c>
      <c r="C95" s="15">
        <f>'Exptl Setup'!D183</f>
        <v>40</v>
      </c>
      <c r="D95" s="15" t="str">
        <f>'Exptl Setup'!E183</f>
        <v>-</v>
      </c>
      <c r="E95" s="115">
        <f>'Exptl Setup'!K183</f>
        <v>6.0007455343044693</v>
      </c>
      <c r="F95" s="91">
        <v>95.75</v>
      </c>
      <c r="G95" s="91">
        <v>95.7</v>
      </c>
      <c r="H95" s="91">
        <v>95.39</v>
      </c>
      <c r="I95" s="125">
        <f t="shared" si="20"/>
        <v>95.61333333333333</v>
      </c>
      <c r="J95" s="123">
        <f t="shared" si="16"/>
        <v>60.349999999999994</v>
      </c>
      <c r="K95" s="126">
        <f t="shared" si="18"/>
        <v>1608.1450132463351</v>
      </c>
      <c r="L95" s="91">
        <f t="shared" si="21"/>
        <v>0.17641998141821866</v>
      </c>
      <c r="M95" s="179">
        <f t="shared" si="14"/>
        <v>177.62969144282457</v>
      </c>
      <c r="N95" s="180">
        <f t="shared" si="15"/>
        <v>9688.8922605177031</v>
      </c>
    </row>
    <row r="96" spans="1:19">
      <c r="A96" s="15">
        <f>'Exptl Setup'!A184</f>
        <v>177</v>
      </c>
      <c r="B96" s="15" t="str">
        <f>'Exptl Setup'!C184</f>
        <v>c</v>
      </c>
      <c r="C96" s="15">
        <f>'Exptl Setup'!D184</f>
        <v>40</v>
      </c>
      <c r="D96" s="15" t="str">
        <f>'Exptl Setup'!E184</f>
        <v>-</v>
      </c>
      <c r="E96" s="115">
        <f>'Exptl Setup'!K184</f>
        <v>5.9992453948002522</v>
      </c>
      <c r="F96" s="91">
        <v>87.27</v>
      </c>
      <c r="G96" s="91">
        <v>87.058000000000007</v>
      </c>
      <c r="H96" s="91">
        <v>86.92</v>
      </c>
      <c r="I96" s="125">
        <f t="shared" si="20"/>
        <v>87.082666666666668</v>
      </c>
      <c r="J96" s="123">
        <f t="shared" si="16"/>
        <v>60.349999999999994</v>
      </c>
      <c r="K96" s="126">
        <f t="shared" si="18"/>
        <v>1384.4564106482715</v>
      </c>
      <c r="L96" s="91">
        <f t="shared" si="21"/>
        <v>0.15188044127180231</v>
      </c>
      <c r="M96" s="179">
        <f t="shared" si="14"/>
        <v>152.92188391832727</v>
      </c>
      <c r="N96" s="180">
        <f t="shared" si="15"/>
        <v>8341.1936682723972</v>
      </c>
    </row>
    <row r="97" spans="1:19">
      <c r="A97" s="15">
        <f>'Exptl Setup'!A188</f>
        <v>181</v>
      </c>
      <c r="B97" s="15" t="str">
        <f>'Exptl Setup'!C188</f>
        <v>a</v>
      </c>
      <c r="C97" s="15">
        <f>'Exptl Setup'!D188</f>
        <v>40</v>
      </c>
      <c r="D97" s="15" t="str">
        <f>'Exptl Setup'!E188</f>
        <v>-</v>
      </c>
      <c r="E97" s="115">
        <f>'Exptl Setup'!K188</f>
        <v>15.996987938964294</v>
      </c>
      <c r="F97" s="91">
        <v>596.20000000000005</v>
      </c>
      <c r="G97" s="91">
        <v>595.5</v>
      </c>
      <c r="H97" s="91">
        <v>595</v>
      </c>
      <c r="I97" s="125">
        <f t="shared" si="20"/>
        <v>595.56666666666672</v>
      </c>
      <c r="J97" s="123">
        <f t="shared" si="16"/>
        <v>60.349999999999994</v>
      </c>
      <c r="K97" s="126">
        <f t="shared" si="18"/>
        <v>14717.772533281201</v>
      </c>
      <c r="L97" s="91">
        <f t="shared" si="21"/>
        <v>1.6145988921717382</v>
      </c>
      <c r="M97" s="179">
        <f t="shared" si="14"/>
        <v>1625.6701804117456</v>
      </c>
      <c r="N97" s="180">
        <f t="shared" si="15"/>
        <v>88672.91893154975</v>
      </c>
    </row>
    <row r="98" spans="1:19">
      <c r="A98" s="15">
        <f>'Exptl Setup'!A189</f>
        <v>182</v>
      </c>
      <c r="B98" s="15" t="str">
        <f>'Exptl Setup'!C189</f>
        <v>b</v>
      </c>
      <c r="C98" s="15">
        <f>'Exptl Setup'!D189</f>
        <v>40</v>
      </c>
      <c r="D98" s="15" t="str">
        <f>'Exptl Setup'!E189</f>
        <v>-</v>
      </c>
      <c r="E98" s="115">
        <f>'Exptl Setup'!K189</f>
        <v>16.000987810929029</v>
      </c>
      <c r="F98" s="91">
        <v>495.6</v>
      </c>
      <c r="G98" s="91">
        <v>494.2</v>
      </c>
      <c r="H98" s="91">
        <v>492.5</v>
      </c>
      <c r="I98" s="125">
        <f t="shared" si="20"/>
        <v>494.09999999999997</v>
      </c>
      <c r="J98" s="123">
        <f t="shared" si="16"/>
        <v>60.349999999999994</v>
      </c>
      <c r="K98" s="126">
        <f t="shared" si="18"/>
        <v>12057.143796533359</v>
      </c>
      <c r="L98" s="91">
        <f t="shared" si="21"/>
        <v>1.3227172095924495</v>
      </c>
      <c r="M98" s="179">
        <f t="shared" si="14"/>
        <v>1331.7870680931692</v>
      </c>
      <c r="N98" s="180">
        <f t="shared" si="15"/>
        <v>72642.930986900144</v>
      </c>
    </row>
    <row r="99" spans="1:19">
      <c r="A99" s="15">
        <f>'Exptl Setup'!A190</f>
        <v>183</v>
      </c>
      <c r="B99" s="15" t="str">
        <f>'Exptl Setup'!C190</f>
        <v>c</v>
      </c>
      <c r="C99" s="15">
        <f>'Exptl Setup'!D190</f>
        <v>40</v>
      </c>
      <c r="D99" s="15" t="str">
        <f>'Exptl Setup'!E190</f>
        <v>-</v>
      </c>
      <c r="E99" s="115">
        <f>'Exptl Setup'!K190</f>
        <v>16.002988497098379</v>
      </c>
      <c r="F99" s="91">
        <v>497.6</v>
      </c>
      <c r="G99" s="91">
        <v>496.3</v>
      </c>
      <c r="H99" s="91">
        <v>492.2</v>
      </c>
      <c r="I99" s="125">
        <f t="shared" si="20"/>
        <v>495.36666666666673</v>
      </c>
      <c r="J99" s="123">
        <f t="shared" si="16"/>
        <v>60.349999999999994</v>
      </c>
      <c r="K99" s="126">
        <f t="shared" si="18"/>
        <v>12090.357952905379</v>
      </c>
      <c r="L99" s="91">
        <f t="shared" si="21"/>
        <v>1.3263609362475135</v>
      </c>
      <c r="M99" s="179">
        <f t="shared" si="14"/>
        <v>1335.4557797449784</v>
      </c>
      <c r="N99" s="180">
        <f t="shared" si="15"/>
        <v>72843.04253154427</v>
      </c>
    </row>
    <row r="100" spans="1:19">
      <c r="A100" s="15">
        <f>'Exptl Setup'!A194</f>
        <v>187</v>
      </c>
      <c r="B100" s="15" t="str">
        <f>'Exptl Setup'!C194</f>
        <v>a</v>
      </c>
      <c r="C100" s="15">
        <f>'Exptl Setup'!D194</f>
        <v>40</v>
      </c>
      <c r="D100" s="15" t="str">
        <f>'Exptl Setup'!E194</f>
        <v>-</v>
      </c>
      <c r="E100" s="115">
        <f>'Exptl Setup'!K194</f>
        <v>20.002485114348229</v>
      </c>
      <c r="F100" s="91">
        <v>203.8</v>
      </c>
      <c r="G100" s="91">
        <v>203.6</v>
      </c>
      <c r="H100" s="91">
        <v>203.1</v>
      </c>
      <c r="I100" s="125">
        <f t="shared" si="20"/>
        <v>203.5</v>
      </c>
      <c r="J100" s="123">
        <f t="shared" si="16"/>
        <v>60.349999999999994</v>
      </c>
      <c r="K100" s="126">
        <f t="shared" si="18"/>
        <v>4437.117079395498</v>
      </c>
      <c r="L100" s="91">
        <f t="shared" si="21"/>
        <v>0.48676960488606497</v>
      </c>
      <c r="M100" s="179">
        <f t="shared" si="14"/>
        <v>490.10737913346293</v>
      </c>
      <c r="N100" s="180">
        <f t="shared" si="15"/>
        <v>26733.129770916166</v>
      </c>
    </row>
    <row r="101" spans="1:19">
      <c r="A101" s="15">
        <f>'Exptl Setup'!A195</f>
        <v>188</v>
      </c>
      <c r="B101" s="15" t="str">
        <f>'Exptl Setup'!C195</f>
        <v>b</v>
      </c>
      <c r="C101" s="15">
        <f>'Exptl Setup'!D195</f>
        <v>40</v>
      </c>
      <c r="D101" s="15" t="str">
        <f>'Exptl Setup'!E195</f>
        <v>-</v>
      </c>
      <c r="E101" s="115">
        <f>'Exptl Setup'!K195</f>
        <v>19.993735940992373</v>
      </c>
      <c r="F101" s="91">
        <v>204.9</v>
      </c>
      <c r="G101" s="91">
        <v>202.5</v>
      </c>
      <c r="H101" s="91">
        <v>201.5</v>
      </c>
      <c r="I101" s="125">
        <f t="shared" si="20"/>
        <v>202.96666666666667</v>
      </c>
      <c r="J101" s="123">
        <f t="shared" si="16"/>
        <v>60.349999999999994</v>
      </c>
      <c r="K101" s="126">
        <f t="shared" si="18"/>
        <v>4423.1321714493861</v>
      </c>
      <c r="L101" s="91">
        <f t="shared" si="21"/>
        <v>0.4852354041891962</v>
      </c>
      <c r="M101" s="179">
        <f t="shared" si="14"/>
        <v>488.56265843796444</v>
      </c>
      <c r="N101" s="180">
        <f t="shared" si="15"/>
        <v>26648.872278434428</v>
      </c>
    </row>
    <row r="102" spans="1:19" ht="13.5" thickBot="1">
      <c r="A102" s="97">
        <f>'Exptl Setup'!A196</f>
        <v>189</v>
      </c>
      <c r="B102" s="97" t="str">
        <f>'Exptl Setup'!C196</f>
        <v>c</v>
      </c>
      <c r="C102" s="97">
        <f>'Exptl Setup'!D196</f>
        <v>40</v>
      </c>
      <c r="D102" s="97" t="str">
        <f>'Exptl Setup'!E196</f>
        <v>-</v>
      </c>
      <c r="E102" s="117">
        <f>'Exptl Setup'!K196</f>
        <v>19.995610119464533</v>
      </c>
      <c r="F102" s="99">
        <v>252.6</v>
      </c>
      <c r="G102" s="99">
        <v>251</v>
      </c>
      <c r="H102" s="99">
        <v>250.4</v>
      </c>
      <c r="I102" s="99">
        <f t="shared" si="20"/>
        <v>251.33333333333334</v>
      </c>
      <c r="J102" s="124">
        <f t="shared" si="16"/>
        <v>60.349999999999994</v>
      </c>
      <c r="K102" s="124">
        <f t="shared" si="18"/>
        <v>5691.3885108124323</v>
      </c>
      <c r="L102" s="99">
        <f t="shared" si="21"/>
        <v>0.62436822988648522</v>
      </c>
      <c r="M102" s="179">
        <f t="shared" si="14"/>
        <v>628.64951651097829</v>
      </c>
      <c r="N102" s="180">
        <f t="shared" si="15"/>
        <v>34289.973627871543</v>
      </c>
    </row>
    <row r="103" spans="1:19">
      <c r="A103" s="14">
        <f>'Exptl Setup'!A200</f>
        <v>193</v>
      </c>
      <c r="B103" s="14" t="str">
        <f>'Exptl Setup'!C200</f>
        <v>a</v>
      </c>
      <c r="C103" s="14">
        <f>'Exptl Setup'!D200</f>
        <v>48</v>
      </c>
      <c r="D103" s="14" t="str">
        <f>'Exptl Setup'!E200</f>
        <v>+</v>
      </c>
      <c r="E103" s="116">
        <f>'Exptl Setup'!K200</f>
        <v>0</v>
      </c>
      <c r="F103" s="125">
        <v>50.37</v>
      </c>
      <c r="G103" s="125">
        <v>49.99</v>
      </c>
      <c r="H103" s="125">
        <v>49.8</v>
      </c>
      <c r="I103" s="125">
        <f t="shared" ref="I103:I126" si="23">AVERAGE(F103:H103)</f>
        <v>50.053333333333335</v>
      </c>
      <c r="J103" s="126">
        <f t="shared" ref="J103:J126" si="24">$A$3-$A$2-$A$1</f>
        <v>60.349999999999994</v>
      </c>
      <c r="K103" s="126">
        <f>((I103-$S$104)*$S$110)+$S$109</f>
        <v>673.40362517667108</v>
      </c>
      <c r="L103" s="125">
        <f t="shared" ref="L103" si="25">((K103/1000000)*J103)*((101.3*273)/(101.3*(273+22)))*(44/22.4)</f>
        <v>7.3875088416812673E-2</v>
      </c>
      <c r="M103" s="179">
        <f t="shared" si="14"/>
        <v>74.381649149378532</v>
      </c>
      <c r="N103" s="180">
        <f t="shared" si="15"/>
        <v>4057.1808626933744</v>
      </c>
      <c r="O103" s="152" t="s">
        <v>163</v>
      </c>
      <c r="P103" s="4" t="s">
        <v>156</v>
      </c>
      <c r="Q103" s="40" t="s">
        <v>157</v>
      </c>
      <c r="R103" s="3" t="s">
        <v>158</v>
      </c>
      <c r="S103" s="3" t="s">
        <v>159</v>
      </c>
    </row>
    <row r="104" spans="1:19">
      <c r="A104" s="15">
        <f>'Exptl Setup'!A201</f>
        <v>194</v>
      </c>
      <c r="B104" s="15" t="str">
        <f>'Exptl Setup'!C201</f>
        <v>b</v>
      </c>
      <c r="C104" s="15">
        <f>'Exptl Setup'!D201</f>
        <v>48</v>
      </c>
      <c r="D104" s="15" t="str">
        <f>'Exptl Setup'!E201</f>
        <v>+</v>
      </c>
      <c r="E104" s="115">
        <f>'Exptl Setup'!K201</f>
        <v>0</v>
      </c>
      <c r="F104" s="91">
        <v>47.52</v>
      </c>
      <c r="G104" s="91">
        <v>47.35</v>
      </c>
      <c r="H104" s="91">
        <v>47.28</v>
      </c>
      <c r="I104" s="91">
        <f t="shared" si="23"/>
        <v>47.383333333333333</v>
      </c>
      <c r="J104" s="126">
        <f t="shared" si="24"/>
        <v>60.349999999999994</v>
      </c>
      <c r="K104" s="126">
        <f t="shared" ref="K104:K126" si="26">((I104-$S$104)*$S$110)+$S$109</f>
        <v>602.74223934223755</v>
      </c>
      <c r="L104" s="125">
        <f t="shared" ref="L104:L126" si="27">((K104/1000000)*J104)*((101.3*273)/(101.3*(273+22)))*(44/22.4)</f>
        <v>6.6123249948756055E-2</v>
      </c>
      <c r="M104" s="179">
        <f t="shared" si="14"/>
        <v>66.576656403509674</v>
      </c>
      <c r="N104" s="180">
        <f t="shared" si="15"/>
        <v>3631.4539856459828</v>
      </c>
      <c r="O104" s="92" t="s">
        <v>164</v>
      </c>
      <c r="P104" s="4">
        <v>25.42</v>
      </c>
      <c r="Q104" s="40">
        <v>25.27</v>
      </c>
      <c r="R104" s="3">
        <v>25.12</v>
      </c>
      <c r="S104" s="75">
        <f>AVERAGE(P104:R104)</f>
        <v>25.27</v>
      </c>
    </row>
    <row r="105" spans="1:19">
      <c r="A105" s="15">
        <f>'Exptl Setup'!A202</f>
        <v>195</v>
      </c>
      <c r="B105" s="15" t="str">
        <f>'Exptl Setup'!C202</f>
        <v>c</v>
      </c>
      <c r="C105" s="15">
        <f>'Exptl Setup'!D202</f>
        <v>48</v>
      </c>
      <c r="D105" s="15" t="str">
        <f>'Exptl Setup'!E202</f>
        <v>+</v>
      </c>
      <c r="E105" s="115">
        <f>'Exptl Setup'!K202</f>
        <v>0</v>
      </c>
      <c r="F105" s="91">
        <v>46.39</v>
      </c>
      <c r="G105" s="91">
        <v>46.1</v>
      </c>
      <c r="H105" s="91">
        <v>46</v>
      </c>
      <c r="I105" s="91">
        <f t="shared" si="23"/>
        <v>46.163333333333334</v>
      </c>
      <c r="J105" s="126">
        <f t="shared" si="24"/>
        <v>60.349999999999994</v>
      </c>
      <c r="K105" s="126">
        <f t="shared" si="26"/>
        <v>570.4550143542192</v>
      </c>
      <c r="L105" s="125">
        <f t="shared" si="27"/>
        <v>6.2581211397808839E-2</v>
      </c>
      <c r="M105" s="179">
        <f t="shared" si="14"/>
        <v>63.010330130116422</v>
      </c>
      <c r="N105" s="180">
        <f t="shared" si="15"/>
        <v>3436.9270980063507</v>
      </c>
      <c r="O105" s="29">
        <v>357</v>
      </c>
      <c r="P105" s="4">
        <v>21.81</v>
      </c>
      <c r="Q105" s="40">
        <v>21.76</v>
      </c>
      <c r="R105" s="3">
        <v>21.61</v>
      </c>
      <c r="S105" s="75">
        <f>AVERAGE(P105:R105)</f>
        <v>21.72666666666667</v>
      </c>
    </row>
    <row r="106" spans="1:19">
      <c r="A106" s="15">
        <f>'Exptl Setup'!A206</f>
        <v>199</v>
      </c>
      <c r="B106" s="15" t="str">
        <f>'Exptl Setup'!C206</f>
        <v>a</v>
      </c>
      <c r="C106" s="15">
        <f>'Exptl Setup'!D206</f>
        <v>48</v>
      </c>
      <c r="D106" s="15" t="str">
        <f>'Exptl Setup'!E206</f>
        <v>+</v>
      </c>
      <c r="E106" s="115">
        <f>'Exptl Setup'!K206</f>
        <v>5.9990579300982079</v>
      </c>
      <c r="F106" s="91">
        <v>70.36</v>
      </c>
      <c r="G106" s="91">
        <v>70.31</v>
      </c>
      <c r="H106" s="91">
        <v>70.34</v>
      </c>
      <c r="I106" s="91">
        <f t="shared" si="23"/>
        <v>70.336666666666673</v>
      </c>
      <c r="J106" s="126">
        <f t="shared" si="24"/>
        <v>60.349999999999994</v>
      </c>
      <c r="K106" s="126">
        <f t="shared" si="26"/>
        <v>1210.2007947179047</v>
      </c>
      <c r="L106" s="125">
        <f t="shared" si="27"/>
        <v>0.13276389875154984</v>
      </c>
      <c r="M106" s="179">
        <f t="shared" si="14"/>
        <v>133.67425945975549</v>
      </c>
      <c r="N106" s="180">
        <f t="shared" si="15"/>
        <v>7291.3232432593913</v>
      </c>
      <c r="O106" s="93">
        <v>10000</v>
      </c>
      <c r="P106" s="4">
        <v>642.6</v>
      </c>
      <c r="Q106" s="40">
        <v>637.1</v>
      </c>
      <c r="R106" s="3">
        <v>636.9</v>
      </c>
      <c r="S106" s="75">
        <f t="shared" ref="S106:S107" si="28">AVERAGE(P106:R106)</f>
        <v>638.86666666666667</v>
      </c>
    </row>
    <row r="107" spans="1:19">
      <c r="A107" s="15">
        <f>'Exptl Setup'!A207</f>
        <v>200</v>
      </c>
      <c r="B107" s="15" t="str">
        <f>'Exptl Setup'!C207</f>
        <v>b</v>
      </c>
      <c r="C107" s="15">
        <f>'Exptl Setup'!D207</f>
        <v>48</v>
      </c>
      <c r="D107" s="15" t="str">
        <f>'Exptl Setup'!E207</f>
        <v>+</v>
      </c>
      <c r="E107" s="115">
        <f>'Exptl Setup'!K207</f>
        <v>6.0001828940805995</v>
      </c>
      <c r="F107" s="91">
        <v>73.62</v>
      </c>
      <c r="G107" s="91">
        <v>73.290000000000006</v>
      </c>
      <c r="H107" s="91">
        <v>73.3</v>
      </c>
      <c r="I107" s="91">
        <f t="shared" si="23"/>
        <v>73.40333333333335</v>
      </c>
      <c r="J107" s="126">
        <f t="shared" si="24"/>
        <v>60.349999999999994</v>
      </c>
      <c r="K107" s="126">
        <f t="shared" si="26"/>
        <v>1291.3599394965304</v>
      </c>
      <c r="L107" s="125">
        <f t="shared" si="27"/>
        <v>0.14166738363371226</v>
      </c>
      <c r="M107" s="179">
        <f t="shared" si="14"/>
        <v>142.63879544752001</v>
      </c>
      <c r="N107" s="180">
        <f t="shared" si="15"/>
        <v>7780.2979335010914</v>
      </c>
      <c r="O107" s="94">
        <v>50000</v>
      </c>
      <c r="P107" s="4">
        <v>29.28</v>
      </c>
      <c r="Q107" s="4">
        <v>2921</v>
      </c>
      <c r="R107" s="3">
        <v>2905</v>
      </c>
      <c r="S107" s="75">
        <f t="shared" si="28"/>
        <v>1951.7600000000002</v>
      </c>
    </row>
    <row r="108" spans="1:19">
      <c r="A108" s="15">
        <f>'Exptl Setup'!A208</f>
        <v>201</v>
      </c>
      <c r="B108" s="15" t="str">
        <f>'Exptl Setup'!C208</f>
        <v>c</v>
      </c>
      <c r="C108" s="15">
        <f>'Exptl Setup'!D208</f>
        <v>48</v>
      </c>
      <c r="D108" s="15" t="str">
        <f>'Exptl Setup'!E208</f>
        <v>+</v>
      </c>
      <c r="E108" s="115">
        <f>'Exptl Setup'!K208</f>
        <v>5.9996203593550685</v>
      </c>
      <c r="F108" s="91">
        <v>82.62</v>
      </c>
      <c r="G108" s="91">
        <v>82.72</v>
      </c>
      <c r="H108" s="91">
        <v>82.71</v>
      </c>
      <c r="I108" s="91">
        <f t="shared" si="23"/>
        <v>82.683333333333337</v>
      </c>
      <c r="J108" s="126">
        <f t="shared" si="24"/>
        <v>60.349999999999994</v>
      </c>
      <c r="K108" s="126">
        <f t="shared" si="26"/>
        <v>1536.9545689135873</v>
      </c>
      <c r="L108" s="125">
        <f t="shared" si="27"/>
        <v>0.16861010310321234</v>
      </c>
      <c r="M108" s="179">
        <f t="shared" si="14"/>
        <v>169.76626087136376</v>
      </c>
      <c r="N108" s="180">
        <f t="shared" si="15"/>
        <v>9259.977865710749</v>
      </c>
    </row>
    <row r="109" spans="1:19">
      <c r="A109" s="15">
        <f>'Exptl Setup'!A212</f>
        <v>205</v>
      </c>
      <c r="B109" s="15" t="str">
        <f>'Exptl Setup'!C212</f>
        <v>a</v>
      </c>
      <c r="C109" s="15">
        <f>'Exptl Setup'!D212</f>
        <v>48</v>
      </c>
      <c r="D109" s="15" t="str">
        <f>'Exptl Setup'!E212</f>
        <v>+</v>
      </c>
      <c r="E109" s="115">
        <f>'Exptl Setup'!K212</f>
        <v>16.000487717548268</v>
      </c>
      <c r="F109" s="91">
        <v>495</v>
      </c>
      <c r="G109" s="91">
        <v>495</v>
      </c>
      <c r="H109" s="91">
        <v>494</v>
      </c>
      <c r="I109" s="91">
        <f t="shared" si="23"/>
        <v>494.66666666666669</v>
      </c>
      <c r="J109" s="126">
        <f t="shared" si="24"/>
        <v>60.349999999999994</v>
      </c>
      <c r="K109" s="126">
        <f t="shared" si="26"/>
        <v>12440.068154689881</v>
      </c>
      <c r="L109" s="125">
        <f t="shared" si="27"/>
        <v>1.3647255531150178</v>
      </c>
      <c r="M109" s="179">
        <f t="shared" si="14"/>
        <v>1374.083462401526</v>
      </c>
      <c r="N109" s="180">
        <f t="shared" si="15"/>
        <v>74950.007040083234</v>
      </c>
      <c r="R109" s="95" t="s">
        <v>165</v>
      </c>
      <c r="S109" s="40">
        <f>INTERCEPT(O105:O106,S105:S106)</f>
        <v>17.51423231897661</v>
      </c>
    </row>
    <row r="110" spans="1:19">
      <c r="A110" s="15">
        <f>'Exptl Setup'!A213</f>
        <v>206</v>
      </c>
      <c r="B110" s="15" t="str">
        <f>'Exptl Setup'!C213</f>
        <v>b</v>
      </c>
      <c r="C110" s="15">
        <f>'Exptl Setup'!D213</f>
        <v>48</v>
      </c>
      <c r="D110" s="15" t="str">
        <f>'Exptl Setup'!E213</f>
        <v>+</v>
      </c>
      <c r="E110" s="115">
        <f>'Exptl Setup'!K213</f>
        <v>15.998487656583571</v>
      </c>
      <c r="F110" s="91">
        <v>443.9</v>
      </c>
      <c r="G110" s="91">
        <v>444.4</v>
      </c>
      <c r="H110" s="91">
        <v>439.1</v>
      </c>
      <c r="I110" s="91">
        <f t="shared" si="23"/>
        <v>442.4666666666667</v>
      </c>
      <c r="J110" s="126">
        <f t="shared" si="24"/>
        <v>60.349999999999994</v>
      </c>
      <c r="K110" s="126">
        <f t="shared" si="26"/>
        <v>11058.598364218935</v>
      </c>
      <c r="L110" s="125">
        <f t="shared" si="27"/>
        <v>1.2131727560990799</v>
      </c>
      <c r="M110" s="179">
        <f t="shared" si="14"/>
        <v>1221.491469392405</v>
      </c>
      <c r="N110" s="180">
        <f t="shared" si="15"/>
        <v>66626.807421403908</v>
      </c>
      <c r="R110" s="96" t="s">
        <v>166</v>
      </c>
      <c r="S110" s="5">
        <f>SLOPE(O105:O107,S105:S107)</f>
        <v>26.464938514769109</v>
      </c>
    </row>
    <row r="111" spans="1:19">
      <c r="A111" s="15">
        <f>'Exptl Setup'!A214</f>
        <v>207</v>
      </c>
      <c r="B111" s="15" t="str">
        <f>'Exptl Setup'!C214</f>
        <v>c</v>
      </c>
      <c r="C111" s="15">
        <f>'Exptl Setup'!D214</f>
        <v>48</v>
      </c>
      <c r="D111" s="15" t="str">
        <f>'Exptl Setup'!E214</f>
        <v>+</v>
      </c>
      <c r="E111" s="115">
        <f>'Exptl Setup'!K214</f>
        <v>15.996987938964294</v>
      </c>
      <c r="F111" s="91">
        <v>531.9</v>
      </c>
      <c r="G111" s="91">
        <v>527.1</v>
      </c>
      <c r="H111" s="91">
        <v>526</v>
      </c>
      <c r="I111" s="91">
        <f t="shared" si="23"/>
        <v>528.33333333333337</v>
      </c>
      <c r="J111" s="126">
        <f t="shared" si="24"/>
        <v>60.349999999999994</v>
      </c>
      <c r="K111" s="126">
        <f t="shared" si="26"/>
        <v>13331.054418020442</v>
      </c>
      <c r="L111" s="125">
        <f t="shared" si="27"/>
        <v>1.4624703327996267</v>
      </c>
      <c r="M111" s="179">
        <f t="shared" si="14"/>
        <v>1472.4984770498099</v>
      </c>
      <c r="N111" s="180">
        <f t="shared" si="15"/>
        <v>80318.09874817144</v>
      </c>
    </row>
    <row r="112" spans="1:19">
      <c r="A112" s="15">
        <f>'Exptl Setup'!A218</f>
        <v>211</v>
      </c>
      <c r="B112" s="15" t="str">
        <f>'Exptl Setup'!C218</f>
        <v>a</v>
      </c>
      <c r="C112" s="15">
        <f>'Exptl Setup'!D218</f>
        <v>48</v>
      </c>
      <c r="D112" s="15" t="str">
        <f>'Exptl Setup'!E218</f>
        <v>+</v>
      </c>
      <c r="E112" s="115">
        <f>'Exptl Setup'!K218</f>
        <v>19.993111292906235</v>
      </c>
      <c r="F112" s="91">
        <v>397.2</v>
      </c>
      <c r="G112" s="91">
        <v>393.6</v>
      </c>
      <c r="H112" s="91">
        <v>392.8</v>
      </c>
      <c r="I112" s="91">
        <f t="shared" si="23"/>
        <v>394.5333333333333</v>
      </c>
      <c r="J112" s="126">
        <f t="shared" si="24"/>
        <v>60.349999999999994</v>
      </c>
      <c r="K112" s="126">
        <f t="shared" si="26"/>
        <v>9790.0456447443321</v>
      </c>
      <c r="L112" s="125">
        <f t="shared" si="27"/>
        <v>1.0740074163104976</v>
      </c>
      <c r="M112" s="179">
        <f t="shared" si="14"/>
        <v>1081.3718742793033</v>
      </c>
      <c r="N112" s="180">
        <f t="shared" si="15"/>
        <v>58983.92041523473</v>
      </c>
    </row>
    <row r="113" spans="1:14">
      <c r="A113" s="15">
        <f>'Exptl Setup'!A219</f>
        <v>212</v>
      </c>
      <c r="B113" s="15" t="str">
        <f>'Exptl Setup'!C219</f>
        <v>b</v>
      </c>
      <c r="C113" s="15">
        <f>'Exptl Setup'!D219</f>
        <v>48</v>
      </c>
      <c r="D113" s="15" t="str">
        <f>'Exptl Setup'!E219</f>
        <v>+</v>
      </c>
      <c r="E113" s="115">
        <f>'Exptl Setup'!K219</f>
        <v>19.999984569282837</v>
      </c>
      <c r="F113" s="91">
        <v>306.39999999999998</v>
      </c>
      <c r="G113" s="91">
        <v>304.7</v>
      </c>
      <c r="H113" s="91">
        <v>305.7</v>
      </c>
      <c r="I113" s="91">
        <f t="shared" si="23"/>
        <v>305.59999999999997</v>
      </c>
      <c r="J113" s="126">
        <f t="shared" si="24"/>
        <v>60.349999999999994</v>
      </c>
      <c r="K113" s="126">
        <f t="shared" si="26"/>
        <v>7436.4304461642005</v>
      </c>
      <c r="L113" s="125">
        <f t="shared" si="27"/>
        <v>0.81580635472778829</v>
      </c>
      <c r="M113" s="179">
        <f t="shared" si="14"/>
        <v>821.40033063413387</v>
      </c>
      <c r="N113" s="180">
        <f t="shared" si="15"/>
        <v>44803.654398225488</v>
      </c>
    </row>
    <row r="114" spans="1:14">
      <c r="A114" s="15">
        <f>'Exptl Setup'!A220</f>
        <v>213</v>
      </c>
      <c r="B114" s="15" t="str">
        <f>'Exptl Setup'!C220</f>
        <v>c</v>
      </c>
      <c r="C114" s="15">
        <f>'Exptl Setup'!D220</f>
        <v>48</v>
      </c>
      <c r="D114" s="15" t="str">
        <f>'Exptl Setup'!E220</f>
        <v>+</v>
      </c>
      <c r="E114" s="115">
        <f>'Exptl Setup'!K220</f>
        <v>19.993735940992373</v>
      </c>
      <c r="F114" s="91">
        <v>453.3</v>
      </c>
      <c r="G114" s="91">
        <v>451.3</v>
      </c>
      <c r="H114" s="91">
        <v>449.5</v>
      </c>
      <c r="I114" s="91">
        <f t="shared" si="23"/>
        <v>451.36666666666662</v>
      </c>
      <c r="J114" s="126">
        <f t="shared" si="24"/>
        <v>60.349999999999994</v>
      </c>
      <c r="K114" s="126">
        <f t="shared" si="26"/>
        <v>11294.136317000379</v>
      </c>
      <c r="L114" s="125">
        <f t="shared" si="27"/>
        <v>1.2390122176592684</v>
      </c>
      <c r="M114" s="179">
        <f t="shared" si="14"/>
        <v>1247.5081118786343</v>
      </c>
      <c r="N114" s="180">
        <f t="shared" si="15"/>
        <v>68045.897011561872</v>
      </c>
    </row>
    <row r="115" spans="1:14">
      <c r="A115" s="15">
        <f>'Exptl Setup'!A224</f>
        <v>217</v>
      </c>
      <c r="B115" s="15" t="str">
        <f>'Exptl Setup'!C224</f>
        <v>a</v>
      </c>
      <c r="C115" s="15">
        <f>'Exptl Setup'!D224</f>
        <v>48</v>
      </c>
      <c r="D115" s="15" t="str">
        <f>'Exptl Setup'!E224</f>
        <v>-</v>
      </c>
      <c r="E115" s="115">
        <f>'Exptl Setup'!K224</f>
        <v>0</v>
      </c>
      <c r="F115" s="91">
        <v>52.21</v>
      </c>
      <c r="G115" s="91">
        <v>52.13</v>
      </c>
      <c r="H115" s="91">
        <v>52.09</v>
      </c>
      <c r="I115" s="91">
        <f t="shared" si="23"/>
        <v>52.143333333333338</v>
      </c>
      <c r="J115" s="126">
        <f t="shared" si="24"/>
        <v>60.349999999999994</v>
      </c>
      <c r="K115" s="126">
        <f t="shared" si="26"/>
        <v>728.71534667253866</v>
      </c>
      <c r="L115" s="125">
        <f t="shared" si="27"/>
        <v>7.9943006918025528E-2</v>
      </c>
      <c r="M115" s="179">
        <f t="shared" si="14"/>
        <v>80.491175306257162</v>
      </c>
      <c r="N115" s="180">
        <f t="shared" si="15"/>
        <v>4390.4277439776633</v>
      </c>
    </row>
    <row r="116" spans="1:14">
      <c r="A116" s="15">
        <f>'Exptl Setup'!A225</f>
        <v>218</v>
      </c>
      <c r="B116" s="15" t="str">
        <f>'Exptl Setup'!C225</f>
        <v>b</v>
      </c>
      <c r="C116" s="15">
        <f>'Exptl Setup'!D225</f>
        <v>48</v>
      </c>
      <c r="D116" s="15" t="str">
        <f>'Exptl Setup'!E225</f>
        <v>-</v>
      </c>
      <c r="E116" s="115">
        <f>'Exptl Setup'!K225</f>
        <v>0</v>
      </c>
      <c r="F116" s="91">
        <v>53.26</v>
      </c>
      <c r="G116" s="91">
        <v>52.96</v>
      </c>
      <c r="H116" s="91">
        <v>52.66</v>
      </c>
      <c r="I116" s="91">
        <f t="shared" si="23"/>
        <v>52.96</v>
      </c>
      <c r="J116" s="126">
        <f t="shared" si="24"/>
        <v>60.349999999999994</v>
      </c>
      <c r="K116" s="126">
        <f t="shared" si="26"/>
        <v>750.32837979293333</v>
      </c>
      <c r="L116" s="125">
        <f t="shared" si="27"/>
        <v>8.2314043652949198E-2</v>
      </c>
      <c r="M116" s="179">
        <f t="shared" si="14"/>
        <v>82.878470216042246</v>
      </c>
      <c r="N116" s="180">
        <f t="shared" si="15"/>
        <v>4520.6438299659403</v>
      </c>
    </row>
    <row r="117" spans="1:14">
      <c r="A117" s="15">
        <f>'Exptl Setup'!A226</f>
        <v>219</v>
      </c>
      <c r="B117" s="15" t="str">
        <f>'Exptl Setup'!C226</f>
        <v>c</v>
      </c>
      <c r="C117" s="15">
        <f>'Exptl Setup'!D226</f>
        <v>48</v>
      </c>
      <c r="D117" s="15" t="str">
        <f>'Exptl Setup'!E226</f>
        <v>-</v>
      </c>
      <c r="E117" s="115">
        <f>'Exptl Setup'!K226</f>
        <v>0</v>
      </c>
      <c r="F117" s="91">
        <v>50.24</v>
      </c>
      <c r="G117" s="91">
        <v>50.28</v>
      </c>
      <c r="H117" s="91">
        <v>50.1</v>
      </c>
      <c r="I117" s="91">
        <f t="shared" si="23"/>
        <v>50.206666666666671</v>
      </c>
      <c r="J117" s="126">
        <f t="shared" si="24"/>
        <v>60.349999999999994</v>
      </c>
      <c r="K117" s="126">
        <f t="shared" si="26"/>
        <v>677.46158241560238</v>
      </c>
      <c r="L117" s="125">
        <f t="shared" si="27"/>
        <v>7.4320262660920802E-2</v>
      </c>
      <c r="M117" s="179">
        <f t="shared" si="14"/>
        <v>74.829875948766755</v>
      </c>
      <c r="N117" s="180">
        <f t="shared" si="15"/>
        <v>4081.629597205459</v>
      </c>
    </row>
    <row r="118" spans="1:14">
      <c r="A118" s="15">
        <f>'Exptl Setup'!A230</f>
        <v>223</v>
      </c>
      <c r="B118" s="15" t="str">
        <f>'Exptl Setup'!C230</f>
        <v>a</v>
      </c>
      <c r="C118" s="15">
        <f>'Exptl Setup'!D230</f>
        <v>48</v>
      </c>
      <c r="D118" s="15" t="str">
        <f>'Exptl Setup'!E230</f>
        <v>-</v>
      </c>
      <c r="E118" s="115">
        <f>'Exptl Setup'!K230</f>
        <v>5.9999953707848501</v>
      </c>
      <c r="F118" s="91">
        <v>82.79</v>
      </c>
      <c r="G118" s="91">
        <v>81.64</v>
      </c>
      <c r="H118" s="91">
        <v>80.87</v>
      </c>
      <c r="I118" s="91">
        <f t="shared" si="23"/>
        <v>81.766666666666666</v>
      </c>
      <c r="J118" s="126">
        <f t="shared" si="24"/>
        <v>60.349999999999994</v>
      </c>
      <c r="K118" s="126">
        <f t="shared" si="26"/>
        <v>1512.6950419417155</v>
      </c>
      <c r="L118" s="125">
        <f t="shared" si="27"/>
        <v>0.16594873533952248</v>
      </c>
      <c r="M118" s="179">
        <f t="shared" si="14"/>
        <v>167.08664413589068</v>
      </c>
      <c r="N118" s="180">
        <f t="shared" si="15"/>
        <v>9113.8169528667622</v>
      </c>
    </row>
    <row r="119" spans="1:14">
      <c r="A119" s="15">
        <f>'Exptl Setup'!A231</f>
        <v>224</v>
      </c>
      <c r="B119" s="15" t="str">
        <f>'Exptl Setup'!C231</f>
        <v>b</v>
      </c>
      <c r="C119" s="15">
        <f>'Exptl Setup'!D231</f>
        <v>48</v>
      </c>
      <c r="D119" s="15" t="str">
        <f>'Exptl Setup'!E231</f>
        <v>-</v>
      </c>
      <c r="E119" s="115">
        <f>'Exptl Setup'!K231</f>
        <v>5.9996203593550685</v>
      </c>
      <c r="F119" s="91">
        <v>77.78</v>
      </c>
      <c r="G119" s="91">
        <v>78.84</v>
      </c>
      <c r="H119" s="91">
        <v>77.78</v>
      </c>
      <c r="I119" s="91">
        <f t="shared" si="23"/>
        <v>78.13333333333334</v>
      </c>
      <c r="J119" s="126">
        <f t="shared" si="24"/>
        <v>60.349999999999994</v>
      </c>
      <c r="K119" s="126">
        <f t="shared" si="26"/>
        <v>1416.5390986713878</v>
      </c>
      <c r="L119" s="125">
        <f t="shared" si="27"/>
        <v>0.15540004129435181</v>
      </c>
      <c r="M119" s="179">
        <f t="shared" si="14"/>
        <v>156.46561780256101</v>
      </c>
      <c r="N119" s="180">
        <f t="shared" si="15"/>
        <v>8534.4882437760552</v>
      </c>
    </row>
    <row r="120" spans="1:14">
      <c r="A120" s="15">
        <f>'Exptl Setup'!A232</f>
        <v>225</v>
      </c>
      <c r="B120" s="15" t="str">
        <f>'Exptl Setup'!C232</f>
        <v>c</v>
      </c>
      <c r="C120" s="15">
        <f>'Exptl Setup'!D232</f>
        <v>48</v>
      </c>
      <c r="D120" s="15" t="str">
        <f>'Exptl Setup'!E232</f>
        <v>-</v>
      </c>
      <c r="E120" s="115">
        <f>'Exptl Setup'!K232</f>
        <v>5.997558634145669</v>
      </c>
      <c r="F120" s="91">
        <v>81.7</v>
      </c>
      <c r="G120" s="91">
        <v>81.62</v>
      </c>
      <c r="H120" s="91">
        <v>80.97</v>
      </c>
      <c r="I120" s="91">
        <f t="shared" si="23"/>
        <v>81.429999999999993</v>
      </c>
      <c r="J120" s="126">
        <f t="shared" si="24"/>
        <v>60.349999999999994</v>
      </c>
      <c r="K120" s="126">
        <f t="shared" si="26"/>
        <v>1503.7851793084096</v>
      </c>
      <c r="L120" s="125">
        <f t="shared" si="27"/>
        <v>0.16497128754267637</v>
      </c>
      <c r="M120" s="179">
        <f t="shared" si="14"/>
        <v>166.10249398940778</v>
      </c>
      <c r="N120" s="180">
        <f t="shared" si="15"/>
        <v>9060.1360357858775</v>
      </c>
    </row>
    <row r="121" spans="1:14">
      <c r="A121" s="15">
        <f>'Exptl Setup'!A236</f>
        <v>229</v>
      </c>
      <c r="B121" s="15" t="str">
        <f>'Exptl Setup'!C236</f>
        <v>a</v>
      </c>
      <c r="C121" s="15">
        <f>'Exptl Setup'!D236</f>
        <v>48</v>
      </c>
      <c r="D121" s="15" t="str">
        <f>'Exptl Setup'!E236</f>
        <v>-</v>
      </c>
      <c r="E121" s="115">
        <f>'Exptl Setup'!K236</f>
        <v>16.001487935571493</v>
      </c>
      <c r="F121" s="91">
        <v>709.3</v>
      </c>
      <c r="G121" s="91">
        <v>712.7</v>
      </c>
      <c r="H121" s="91">
        <v>705.3</v>
      </c>
      <c r="I121" s="91">
        <f t="shared" si="23"/>
        <v>709.1</v>
      </c>
      <c r="J121" s="126">
        <f t="shared" si="24"/>
        <v>60.349999999999994</v>
      </c>
      <c r="K121" s="126">
        <f t="shared" si="26"/>
        <v>18115.033136873535</v>
      </c>
      <c r="L121" s="125">
        <f t="shared" si="27"/>
        <v>1.9872920557992642</v>
      </c>
      <c r="M121" s="179">
        <f t="shared" si="14"/>
        <v>2000.9188972851</v>
      </c>
      <c r="N121" s="180">
        <f t="shared" si="15"/>
        <v>109141.03076100543</v>
      </c>
    </row>
    <row r="122" spans="1:14">
      <c r="A122" s="15">
        <f>'Exptl Setup'!A237</f>
        <v>230</v>
      </c>
      <c r="B122" s="15" t="str">
        <f>'Exptl Setup'!C237</f>
        <v>b</v>
      </c>
      <c r="C122" s="15">
        <f>'Exptl Setup'!D237</f>
        <v>48</v>
      </c>
      <c r="D122" s="15" t="str">
        <f>'Exptl Setup'!E237</f>
        <v>-</v>
      </c>
      <c r="E122" s="115">
        <f>'Exptl Setup'!K237</f>
        <v>16.000487717548268</v>
      </c>
      <c r="F122" s="91">
        <v>675.7</v>
      </c>
      <c r="G122" s="91">
        <v>668.2</v>
      </c>
      <c r="H122" s="91">
        <v>664.9</v>
      </c>
      <c r="I122" s="91">
        <f t="shared" si="23"/>
        <v>669.6</v>
      </c>
      <c r="J122" s="126">
        <f t="shared" si="24"/>
        <v>60.349999999999994</v>
      </c>
      <c r="K122" s="126">
        <f t="shared" si="26"/>
        <v>17069.668065540158</v>
      </c>
      <c r="L122" s="125">
        <f t="shared" si="27"/>
        <v>1.8726112994366289</v>
      </c>
      <c r="M122" s="179">
        <f t="shared" si="14"/>
        <v>1885.4517761383511</v>
      </c>
      <c r="N122" s="180">
        <f t="shared" si="15"/>
        <v>102842.82415300095</v>
      </c>
    </row>
    <row r="123" spans="1:14">
      <c r="A123" s="15">
        <f>'Exptl Setup'!A238</f>
        <v>231</v>
      </c>
      <c r="B123" s="15" t="str">
        <f>'Exptl Setup'!C238</f>
        <v>c</v>
      </c>
      <c r="C123" s="15">
        <f>'Exptl Setup'!D238</f>
        <v>48</v>
      </c>
      <c r="D123" s="15" t="str">
        <f>'Exptl Setup'!E238</f>
        <v>-</v>
      </c>
      <c r="E123" s="115">
        <f>'Exptl Setup'!K238</f>
        <v>15.999987655426267</v>
      </c>
      <c r="F123" s="91">
        <v>721.7</v>
      </c>
      <c r="G123" s="91">
        <v>716.9</v>
      </c>
      <c r="H123" s="91">
        <v>715.3</v>
      </c>
      <c r="I123" s="91">
        <f t="shared" si="23"/>
        <v>717.96666666666658</v>
      </c>
      <c r="J123" s="126">
        <f t="shared" si="24"/>
        <v>60.349999999999994</v>
      </c>
      <c r="K123" s="126">
        <f t="shared" si="26"/>
        <v>18349.688925037819</v>
      </c>
      <c r="L123" s="125">
        <f t="shared" si="27"/>
        <v>2.0130347403498638</v>
      </c>
      <c r="M123" s="179">
        <f t="shared" si="14"/>
        <v>2026.8380991627666</v>
      </c>
      <c r="N123" s="180">
        <f t="shared" si="15"/>
        <v>110554.80540887816</v>
      </c>
    </row>
    <row r="124" spans="1:14">
      <c r="A124" s="15">
        <f>'Exptl Setup'!A242</f>
        <v>235</v>
      </c>
      <c r="B124" s="15" t="str">
        <f>'Exptl Setup'!C242</f>
        <v>a</v>
      </c>
      <c r="C124" s="15">
        <f>'Exptl Setup'!D242</f>
        <v>48</v>
      </c>
      <c r="D124" s="15" t="str">
        <f>'Exptl Setup'!E242</f>
        <v>-</v>
      </c>
      <c r="E124" s="115">
        <f>'Exptl Setup'!K242</f>
        <v>19.996234923705366</v>
      </c>
      <c r="F124" s="91">
        <v>588.1</v>
      </c>
      <c r="G124" s="91">
        <v>583.1</v>
      </c>
      <c r="H124" s="91">
        <v>574</v>
      </c>
      <c r="I124" s="91">
        <f t="shared" si="23"/>
        <v>581.73333333333335</v>
      </c>
      <c r="J124" s="126">
        <f t="shared" si="24"/>
        <v>60.349999999999994</v>
      </c>
      <c r="K124" s="126">
        <f t="shared" si="26"/>
        <v>14744.282134709112</v>
      </c>
      <c r="L124" s="125">
        <f t="shared" si="27"/>
        <v>1.617507102160759</v>
      </c>
      <c r="M124" s="179">
        <f t="shared" si="14"/>
        <v>1628.5983319671868</v>
      </c>
      <c r="N124" s="180">
        <f t="shared" si="15"/>
        <v>88832.636289119284</v>
      </c>
    </row>
    <row r="125" spans="1:14">
      <c r="A125" s="15">
        <f>'Exptl Setup'!A243</f>
        <v>236</v>
      </c>
      <c r="B125" s="15" t="str">
        <f>'Exptl Setup'!C243</f>
        <v>b</v>
      </c>
      <c r="C125" s="15">
        <f>'Exptl Setup'!D243</f>
        <v>48</v>
      </c>
      <c r="D125" s="15" t="str">
        <f>'Exptl Setup'!E243</f>
        <v>-</v>
      </c>
      <c r="E125" s="115">
        <f>'Exptl Setup'!K243</f>
        <v>19.991862113818897</v>
      </c>
      <c r="F125" s="91">
        <v>541.9</v>
      </c>
      <c r="G125" s="91">
        <v>536.1</v>
      </c>
      <c r="H125" s="91">
        <v>529.6</v>
      </c>
      <c r="I125" s="91">
        <f t="shared" si="23"/>
        <v>535.86666666666667</v>
      </c>
      <c r="J125" s="126">
        <f t="shared" si="24"/>
        <v>60.349999999999994</v>
      </c>
      <c r="K125" s="126">
        <f t="shared" si="26"/>
        <v>13530.423621498368</v>
      </c>
      <c r="L125" s="125">
        <f t="shared" si="27"/>
        <v>1.4843419369666779</v>
      </c>
      <c r="M125" s="179">
        <f t="shared" si="14"/>
        <v>1494.52005458497</v>
      </c>
      <c r="N125" s="180">
        <f t="shared" si="15"/>
        <v>81519.27570463474</v>
      </c>
    </row>
    <row r="126" spans="1:14" ht="13.5" thickBot="1">
      <c r="A126" s="97">
        <f>'Exptl Setup'!A244</f>
        <v>237</v>
      </c>
      <c r="B126" s="97" t="str">
        <f>'Exptl Setup'!C244</f>
        <v>c</v>
      </c>
      <c r="C126" s="97">
        <f>'Exptl Setup'!D244</f>
        <v>48</v>
      </c>
      <c r="D126" s="97" t="str">
        <f>'Exptl Setup'!E244</f>
        <v>-</v>
      </c>
      <c r="E126" s="117">
        <f>'Exptl Setup'!K244</f>
        <v>19.999359530700133</v>
      </c>
      <c r="F126" s="99">
        <v>650.20000000000005</v>
      </c>
      <c r="G126" s="99">
        <v>646.20000000000005</v>
      </c>
      <c r="H126" s="99">
        <v>640</v>
      </c>
      <c r="I126" s="99">
        <f t="shared" si="23"/>
        <v>645.4666666666667</v>
      </c>
      <c r="J126" s="124">
        <f t="shared" si="24"/>
        <v>60.349999999999994</v>
      </c>
      <c r="K126" s="124">
        <f t="shared" si="26"/>
        <v>16430.980882717064</v>
      </c>
      <c r="L126" s="99">
        <f t="shared" si="27"/>
        <v>1.8025447444943947</v>
      </c>
      <c r="M126" s="181">
        <f t="shared" si="14"/>
        <v>1814.9047755389872</v>
      </c>
      <c r="N126" s="182">
        <f t="shared" si="15"/>
        <v>98994.80593849023</v>
      </c>
    </row>
  </sheetData>
  <phoneticPr fontId="4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AL143"/>
  <sheetViews>
    <sheetView topLeftCell="R34" workbookViewId="0">
      <selection activeCell="AD23" sqref="AD23:AD143"/>
    </sheetView>
  </sheetViews>
  <sheetFormatPr defaultColWidth="12.42578125" defaultRowHeight="12.75"/>
  <cols>
    <col min="1" max="1" width="12.42578125" style="3"/>
    <col min="2" max="2" width="3.85546875" style="3" bestFit="1" customWidth="1"/>
    <col min="3" max="3" width="4.7109375" style="3" bestFit="1" customWidth="1"/>
    <col min="4" max="4" width="8.42578125" style="3" bestFit="1" customWidth="1"/>
    <col min="5" max="5" width="14" style="3" bestFit="1" customWidth="1"/>
    <col min="6" max="6" width="6.42578125" style="3" bestFit="1" customWidth="1"/>
    <col min="7" max="7" width="7" style="3" bestFit="1" customWidth="1"/>
    <col min="8" max="8" width="8" style="3" bestFit="1" customWidth="1"/>
    <col min="9" max="9" width="4.42578125" style="3" bestFit="1" customWidth="1"/>
    <col min="10" max="10" width="13.42578125" style="3" bestFit="1" customWidth="1"/>
    <col min="11" max="11" width="9.42578125" style="3" bestFit="1" customWidth="1"/>
    <col min="12" max="12" width="5.42578125" style="3" bestFit="1" customWidth="1"/>
    <col min="13" max="13" width="4.42578125" style="3" bestFit="1" customWidth="1"/>
    <col min="14" max="14" width="7.42578125" style="3" bestFit="1" customWidth="1"/>
    <col min="15" max="15" width="6" style="3" bestFit="1" customWidth="1"/>
    <col min="16" max="16" width="9.7109375" style="3" bestFit="1" customWidth="1"/>
    <col min="17" max="17" width="6.28515625" style="3" bestFit="1" customWidth="1"/>
    <col min="18" max="18" width="11.42578125" style="3" bestFit="1" customWidth="1"/>
    <col min="19" max="19" width="6" style="3" bestFit="1" customWidth="1"/>
    <col min="20" max="20" width="9.7109375" style="3" bestFit="1" customWidth="1"/>
    <col min="21" max="21" width="6.28515625" style="3" bestFit="1" customWidth="1"/>
    <col min="22" max="22" width="11.42578125" style="3" bestFit="1" customWidth="1"/>
    <col min="23" max="23" width="6" style="3" bestFit="1" customWidth="1"/>
    <col min="24" max="24" width="9.7109375" style="3" bestFit="1" customWidth="1"/>
    <col min="25" max="25" width="6.28515625" style="3" bestFit="1" customWidth="1"/>
    <col min="26" max="26" width="11.42578125" style="3" bestFit="1" customWidth="1"/>
    <col min="27" max="27" width="6" style="3" bestFit="1" customWidth="1"/>
    <col min="28" max="28" width="9.7109375" style="3" bestFit="1" customWidth="1"/>
    <col min="29" max="29" width="6.28515625" style="3" bestFit="1" customWidth="1"/>
    <col min="30" max="31" width="11.42578125" style="3" bestFit="1" customWidth="1"/>
    <col min="32" max="33" width="6.42578125" style="3" bestFit="1" customWidth="1"/>
    <col min="34" max="35" width="7.42578125" style="3" bestFit="1" customWidth="1"/>
    <col min="36" max="36" width="9" style="3" bestFit="1" customWidth="1"/>
    <col min="37" max="38" width="16.42578125" style="3" bestFit="1" customWidth="1"/>
    <col min="39" max="16384" width="12.42578125" style="3"/>
  </cols>
  <sheetData>
    <row r="1" spans="1:38">
      <c r="A1" s="28" t="s">
        <v>94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9"/>
      <c r="Y1" s="29"/>
      <c r="Z1" s="29"/>
      <c r="AA1" s="29"/>
      <c r="AB1" s="29"/>
      <c r="AC1" s="29"/>
      <c r="AD1" s="29"/>
      <c r="AE1" s="30"/>
      <c r="AF1" s="30"/>
      <c r="AG1" s="30"/>
      <c r="AH1" s="30"/>
      <c r="AI1" s="30"/>
      <c r="AJ1" s="30"/>
    </row>
    <row r="2" spans="1:38" ht="15.75">
      <c r="A2" s="31" t="s">
        <v>95</v>
      </c>
      <c r="B2" s="5"/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29"/>
      <c r="Q2" s="29"/>
      <c r="R2" s="29"/>
      <c r="S2" s="29"/>
      <c r="T2" s="29"/>
      <c r="U2" s="29"/>
      <c r="V2" s="29"/>
      <c r="W2" s="29"/>
      <c r="X2" s="29"/>
      <c r="Y2" s="29"/>
      <c r="Z2" s="4"/>
      <c r="AA2" s="30"/>
      <c r="AB2" s="30"/>
      <c r="AC2" s="30"/>
      <c r="AD2" s="30"/>
    </row>
    <row r="3" spans="1:38" ht="15.75">
      <c r="A3" s="32" t="s">
        <v>96</v>
      </c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29"/>
      <c r="Q3" s="29"/>
      <c r="R3" s="29"/>
      <c r="S3" s="29"/>
      <c r="T3" s="29"/>
      <c r="U3" s="29"/>
      <c r="V3" s="29"/>
      <c r="W3" s="29"/>
      <c r="X3" s="29"/>
      <c r="Y3" s="29"/>
      <c r="Z3" s="4"/>
      <c r="AA3" s="30"/>
      <c r="AB3" s="30"/>
      <c r="AC3" s="30"/>
      <c r="AD3" s="30"/>
    </row>
    <row r="4" spans="1:38">
      <c r="A4" s="33"/>
      <c r="B4" s="5"/>
      <c r="C4" s="5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29"/>
      <c r="Q4" s="29"/>
      <c r="R4" s="29"/>
      <c r="S4" s="29"/>
      <c r="T4" s="29"/>
      <c r="U4" s="29"/>
      <c r="V4" s="29"/>
      <c r="W4" s="29"/>
      <c r="X4" s="29"/>
      <c r="Y4" s="29"/>
      <c r="Z4" s="4"/>
      <c r="AA4" s="30"/>
      <c r="AB4" s="30"/>
      <c r="AC4" s="30"/>
      <c r="AD4" s="30"/>
    </row>
    <row r="5" spans="1:38" ht="15.75">
      <c r="A5" s="33" t="s">
        <v>97</v>
      </c>
      <c r="B5" s="5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  <c r="O5" s="4"/>
      <c r="P5" s="29"/>
      <c r="Q5" s="29"/>
      <c r="R5" s="29"/>
      <c r="S5" s="29"/>
      <c r="T5" s="29"/>
      <c r="U5" s="29"/>
      <c r="V5" s="29"/>
      <c r="W5" s="29"/>
      <c r="X5" s="29"/>
      <c r="Y5" s="29"/>
      <c r="Z5" s="4"/>
      <c r="AA5" s="30"/>
      <c r="AB5" s="30"/>
      <c r="AC5" s="30"/>
      <c r="AD5" s="30"/>
    </row>
    <row r="6" spans="1:38" ht="15.75">
      <c r="A6" s="32" t="s">
        <v>98</v>
      </c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29"/>
      <c r="Q6" s="29"/>
      <c r="R6" s="29"/>
      <c r="S6" s="29"/>
      <c r="T6" s="29"/>
      <c r="U6" s="29"/>
      <c r="V6" s="29"/>
      <c r="W6" s="29"/>
      <c r="X6" s="29"/>
      <c r="Y6" s="29"/>
      <c r="Z6" s="4"/>
      <c r="AA6" s="30"/>
      <c r="AB6" s="30"/>
      <c r="AC6" s="30"/>
      <c r="AD6" s="30"/>
    </row>
    <row r="7" spans="1:38" ht="15.75">
      <c r="A7" s="32" t="s">
        <v>99</v>
      </c>
      <c r="B7" s="5"/>
      <c r="C7" s="5"/>
      <c r="D7" s="5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29"/>
      <c r="Q7" s="29"/>
      <c r="R7" s="29"/>
      <c r="S7" s="29"/>
      <c r="T7" s="29"/>
      <c r="U7" s="29"/>
      <c r="V7" s="29"/>
      <c r="W7" s="29"/>
      <c r="X7" s="29"/>
      <c r="Y7" s="29"/>
      <c r="Z7" s="4"/>
      <c r="AA7" s="30"/>
      <c r="AB7" s="30"/>
      <c r="AC7" s="30"/>
      <c r="AD7" s="30"/>
    </row>
    <row r="8" spans="1:38" ht="15.75">
      <c r="A8" s="32" t="s">
        <v>100</v>
      </c>
      <c r="B8" s="5"/>
      <c r="C8" s="5"/>
      <c r="D8" s="5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34"/>
      <c r="Q8" s="34"/>
      <c r="R8" s="34"/>
      <c r="S8" s="29"/>
      <c r="T8" s="29"/>
      <c r="U8" s="29"/>
      <c r="V8" s="29"/>
      <c r="W8" s="29"/>
      <c r="X8" s="29"/>
      <c r="Y8" s="29"/>
      <c r="Z8" s="4"/>
      <c r="AA8" s="30"/>
      <c r="AB8" s="30"/>
      <c r="AC8" s="30"/>
      <c r="AD8" s="30"/>
    </row>
    <row r="9" spans="1:38" ht="15.75">
      <c r="A9" s="32" t="s">
        <v>101</v>
      </c>
      <c r="B9" s="35"/>
      <c r="C9" s="35"/>
      <c r="D9" s="35"/>
      <c r="E9" s="35"/>
      <c r="F9" s="36"/>
      <c r="G9" s="37"/>
      <c r="H9" s="36"/>
      <c r="I9" s="35"/>
      <c r="J9" s="36"/>
      <c r="K9" s="36"/>
      <c r="L9" s="37"/>
      <c r="M9" s="36"/>
      <c r="N9" s="35"/>
      <c r="O9" s="36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30"/>
      <c r="AB9" s="30"/>
      <c r="AC9" s="30"/>
      <c r="AD9" s="30"/>
    </row>
    <row r="10" spans="1:38">
      <c r="A10" s="33"/>
      <c r="B10" s="5"/>
      <c r="C10" s="5"/>
      <c r="D10" s="5"/>
      <c r="E10" s="5"/>
      <c r="F10" s="4"/>
      <c r="G10" s="40"/>
      <c r="H10" s="4"/>
      <c r="I10" s="5"/>
      <c r="J10" s="5"/>
      <c r="K10" s="4"/>
      <c r="L10" s="40"/>
      <c r="M10" s="4"/>
      <c r="N10" s="5"/>
      <c r="O10" s="5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30"/>
      <c r="AB10" s="30"/>
      <c r="AC10" s="30"/>
      <c r="AD10" s="30"/>
    </row>
    <row r="11" spans="1:38" ht="14.25">
      <c r="A11" s="33" t="s">
        <v>102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30"/>
      <c r="AA11" s="30"/>
      <c r="AB11" s="30"/>
      <c r="AC11" s="30"/>
      <c r="AD11" s="30"/>
    </row>
    <row r="12" spans="1:38">
      <c r="A12" s="33" t="s">
        <v>103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30"/>
      <c r="AA12" s="30"/>
      <c r="AB12" s="30"/>
      <c r="AC12" s="30"/>
      <c r="AD12" s="30"/>
    </row>
    <row r="13" spans="1:38">
      <c r="A13" s="32" t="s">
        <v>104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30"/>
      <c r="AA13" s="30"/>
      <c r="AB13" s="30"/>
      <c r="AC13" s="30"/>
      <c r="AD13" s="30"/>
    </row>
    <row r="14" spans="1:38" ht="14.25">
      <c r="A14" s="32" t="s">
        <v>105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30"/>
      <c r="AA14" s="30"/>
      <c r="AB14" s="30"/>
      <c r="AC14" s="30"/>
      <c r="AD14" s="30"/>
    </row>
    <row r="15" spans="1:38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3"/>
      <c r="AA15" s="43"/>
      <c r="AB15" s="43"/>
      <c r="AC15" s="43"/>
      <c r="AD15" s="43"/>
      <c r="AE15" s="43"/>
      <c r="AF15" s="30"/>
      <c r="AG15" s="30"/>
      <c r="AH15" s="30"/>
      <c r="AI15" s="30"/>
      <c r="AJ15" s="30"/>
      <c r="AK15" s="30"/>
      <c r="AL15" s="30"/>
    </row>
    <row r="16" spans="1:38">
      <c r="A16" s="341" t="s">
        <v>106</v>
      </c>
      <c r="B16" s="341"/>
      <c r="C16" s="341"/>
      <c r="D16" s="341"/>
      <c r="E16" s="341"/>
      <c r="F16" s="341"/>
      <c r="G16" s="341"/>
      <c r="H16" s="44">
        <v>2.65</v>
      </c>
      <c r="I16" s="30"/>
      <c r="J16" s="30"/>
      <c r="K16" s="30"/>
      <c r="L16" s="30"/>
      <c r="M16" s="30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30"/>
      <c r="Y16" s="30"/>
      <c r="Z16" s="30"/>
      <c r="AA16" s="30"/>
      <c r="AB16" s="30"/>
      <c r="AC16" s="30"/>
      <c r="AD16" s="30"/>
    </row>
    <row r="17" spans="1:37">
      <c r="A17" s="341" t="s">
        <v>107</v>
      </c>
      <c r="B17" s="341"/>
      <c r="C17" s="341"/>
      <c r="D17" s="341"/>
      <c r="E17" s="341"/>
      <c r="F17" s="341"/>
      <c r="G17" s="341"/>
      <c r="H17" s="44">
        <v>0.63200000000000001</v>
      </c>
      <c r="I17" s="30"/>
      <c r="J17" s="30"/>
      <c r="K17" s="30"/>
      <c r="L17" s="30"/>
      <c r="M17" s="30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30"/>
      <c r="Y17" s="30"/>
      <c r="Z17" s="30"/>
      <c r="AA17" s="30"/>
      <c r="AB17" s="30"/>
      <c r="AC17" s="30"/>
      <c r="AD17" s="30"/>
    </row>
    <row r="18" spans="1:37">
      <c r="A18" s="341" t="s">
        <v>108</v>
      </c>
      <c r="B18" s="341"/>
      <c r="C18" s="341"/>
      <c r="D18" s="341"/>
      <c r="E18" s="341"/>
      <c r="F18" s="341"/>
      <c r="G18" s="341"/>
      <c r="H18" s="44">
        <v>101.325</v>
      </c>
      <c r="I18" s="30"/>
      <c r="J18" s="30"/>
      <c r="K18" s="30"/>
      <c r="L18" s="30"/>
      <c r="M18" s="30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30"/>
      <c r="Y18" s="30"/>
      <c r="Z18" s="30"/>
      <c r="AA18" s="30"/>
      <c r="AB18" s="30"/>
      <c r="AC18" s="30"/>
      <c r="AD18" s="30"/>
    </row>
    <row r="19" spans="1:37">
      <c r="A19" s="341" t="s">
        <v>109</v>
      </c>
      <c r="B19" s="341"/>
      <c r="C19" s="341"/>
      <c r="D19" s="341"/>
      <c r="E19" s="341"/>
      <c r="F19" s="341"/>
      <c r="G19" s="341"/>
      <c r="H19" s="44">
        <v>28.013400000000001</v>
      </c>
      <c r="I19" s="30"/>
      <c r="J19" s="30"/>
      <c r="K19" s="30"/>
      <c r="L19" s="30"/>
      <c r="M19" s="30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30"/>
      <c r="Y19" s="30"/>
      <c r="Z19" s="30"/>
      <c r="AA19" s="30"/>
      <c r="AB19" s="30"/>
      <c r="AC19" s="30"/>
      <c r="AD19" s="30"/>
    </row>
    <row r="20" spans="1:37">
      <c r="A20" s="341" t="s">
        <v>110</v>
      </c>
      <c r="B20" s="341"/>
      <c r="C20" s="341"/>
      <c r="D20" s="341"/>
      <c r="E20" s="341"/>
      <c r="F20" s="341"/>
      <c r="G20" s="341"/>
      <c r="H20" s="44">
        <v>8.3145100000000003</v>
      </c>
      <c r="I20" s="30"/>
      <c r="J20" s="30"/>
      <c r="K20" s="30"/>
      <c r="L20" s="30"/>
      <c r="M20" s="30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30"/>
      <c r="Y20" s="30"/>
      <c r="Z20" s="30"/>
      <c r="AA20" s="30"/>
      <c r="AB20" s="30"/>
      <c r="AC20" s="30"/>
      <c r="AD20" s="30"/>
    </row>
    <row r="21" spans="1:37">
      <c r="A21" s="341" t="s">
        <v>0</v>
      </c>
      <c r="B21" s="341"/>
      <c r="C21" s="341"/>
      <c r="D21" s="341"/>
      <c r="E21" s="341"/>
      <c r="F21" s="341"/>
      <c r="G21" s="341"/>
      <c r="H21" s="44">
        <v>293.14999999999998</v>
      </c>
      <c r="I21" s="30"/>
      <c r="J21" s="30"/>
      <c r="K21" s="30"/>
      <c r="L21" s="30"/>
      <c r="M21" s="30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30"/>
      <c r="Y21" s="30"/>
      <c r="Z21" s="30"/>
      <c r="AA21" s="30"/>
      <c r="AB21" s="30"/>
      <c r="AC21" s="30"/>
      <c r="AD21" s="30"/>
    </row>
    <row r="22" spans="1:37" ht="14.25">
      <c r="G22" s="45"/>
      <c r="H22" s="46"/>
      <c r="I22" s="44"/>
      <c r="J22" s="44"/>
      <c r="K22" s="44"/>
      <c r="L22" s="44"/>
      <c r="M22" s="44"/>
      <c r="N22" s="47"/>
      <c r="O22" s="45"/>
      <c r="P22" s="44"/>
      <c r="Q22" s="44"/>
      <c r="R22" s="48"/>
      <c r="S22" s="30"/>
      <c r="T22" s="30"/>
      <c r="U22" s="30"/>
      <c r="V22" s="30"/>
      <c r="W22" s="30"/>
      <c r="X22" s="30"/>
      <c r="Y22" s="43"/>
      <c r="Z22" s="43"/>
      <c r="AA22" s="43"/>
      <c r="AB22" s="43"/>
      <c r="AC22" s="43"/>
      <c r="AD22" s="43"/>
      <c r="AE22" s="345" t="s">
        <v>1</v>
      </c>
      <c r="AF22" s="345"/>
      <c r="AG22" s="345"/>
      <c r="AH22" s="345"/>
      <c r="AI22" s="345"/>
      <c r="AJ22" s="345"/>
      <c r="AK22" s="33"/>
    </row>
    <row r="23" spans="1:37" ht="46.5" thickBot="1">
      <c r="A23" s="50" t="s">
        <v>2</v>
      </c>
      <c r="B23" s="50" t="s">
        <v>61</v>
      </c>
      <c r="C23" s="50" t="s">
        <v>79</v>
      </c>
      <c r="D23" s="50" t="s">
        <v>80</v>
      </c>
      <c r="E23" s="114" t="s">
        <v>67</v>
      </c>
      <c r="F23" s="51" t="s">
        <v>168</v>
      </c>
      <c r="G23" s="52" t="s">
        <v>54</v>
      </c>
      <c r="H23" s="2" t="s">
        <v>57</v>
      </c>
      <c r="I23" s="53" t="s">
        <v>4</v>
      </c>
      <c r="J23" s="2" t="s">
        <v>5</v>
      </c>
      <c r="K23" s="53" t="s">
        <v>6</v>
      </c>
      <c r="L23" s="2" t="s">
        <v>7</v>
      </c>
      <c r="M23" s="53" t="s">
        <v>8</v>
      </c>
      <c r="N23" s="54" t="s">
        <v>9</v>
      </c>
      <c r="O23" s="2" t="s">
        <v>10</v>
      </c>
      <c r="P23" s="55" t="s">
        <v>11</v>
      </c>
      <c r="Q23" s="56" t="s">
        <v>12</v>
      </c>
      <c r="R23" s="57" t="s">
        <v>13</v>
      </c>
      <c r="S23" s="2" t="s">
        <v>10</v>
      </c>
      <c r="T23" s="55" t="s">
        <v>11</v>
      </c>
      <c r="U23" s="56" t="s">
        <v>12</v>
      </c>
      <c r="V23" s="57" t="s">
        <v>14</v>
      </c>
      <c r="W23" s="58" t="s">
        <v>10</v>
      </c>
      <c r="X23" s="55" t="s">
        <v>11</v>
      </c>
      <c r="Y23" s="56" t="s">
        <v>12</v>
      </c>
      <c r="Z23" s="57" t="s">
        <v>15</v>
      </c>
      <c r="AA23" s="58" t="s">
        <v>10</v>
      </c>
      <c r="AB23" s="55" t="s">
        <v>11</v>
      </c>
      <c r="AC23" s="56" t="s">
        <v>12</v>
      </c>
      <c r="AD23" s="57" t="s">
        <v>16</v>
      </c>
      <c r="AE23" s="59">
        <v>60</v>
      </c>
      <c r="AF23" s="59">
        <v>120</v>
      </c>
      <c r="AG23" s="59">
        <v>180</v>
      </c>
      <c r="AH23" s="59">
        <v>240</v>
      </c>
      <c r="AI23" s="60" t="s">
        <v>17</v>
      </c>
      <c r="AJ23" s="61" t="s">
        <v>18</v>
      </c>
      <c r="AK23" s="62" t="s">
        <v>30</v>
      </c>
    </row>
    <row r="24" spans="1:37" ht="13.5" thickTop="1">
      <c r="A24" s="3">
        <f>'Exptl Setup'!A8</f>
        <v>1</v>
      </c>
      <c r="B24" s="3" t="str">
        <f>'Exptl Setup'!C8</f>
        <v>a</v>
      </c>
      <c r="C24" s="3">
        <f>'Exptl Setup'!D8</f>
        <v>16</v>
      </c>
      <c r="D24" s="3" t="str">
        <f>'Exptl Setup'!E8</f>
        <v>+</v>
      </c>
      <c r="E24" s="111">
        <f>'Exptl Setup'!K8</f>
        <v>0</v>
      </c>
      <c r="F24" s="63">
        <f>'Exptl Setup'!F8</f>
        <v>32.000999999999998</v>
      </c>
      <c r="G24" s="64">
        <f>'Exptl Setup'!$C$5</f>
        <v>1.2793390913194711</v>
      </c>
      <c r="H24" s="7">
        <f t="shared" ref="H24" si="0">F24/G24</f>
        <v>25.013696694748184</v>
      </c>
      <c r="I24" s="8">
        <f>H24/H$16</f>
        <v>9.4391308282068618</v>
      </c>
      <c r="J24" s="8">
        <f t="shared" ref="J24" si="1">F24-H24</f>
        <v>6.9873033052518139</v>
      </c>
      <c r="K24" s="8">
        <f>'Exptl Setup'!H8+'Exptl Setup'!I8+'Exptl Setup'!J8+5</f>
        <v>23.003024686832859</v>
      </c>
      <c r="L24" s="8">
        <f>J24+K24</f>
        <v>29.990327992084673</v>
      </c>
      <c r="M24" s="44">
        <v>300</v>
      </c>
      <c r="N24" s="65">
        <f>M24-(I24+L24)</f>
        <v>260.57054117970847</v>
      </c>
      <c r="O24" s="66">
        <v>60</v>
      </c>
      <c r="P24" s="3">
        <v>17.783000000000001</v>
      </c>
      <c r="Q24" s="7">
        <f>((P24*($N24+($L24*$H$17))))*(1/1000)</f>
        <v>4.9707829114945641</v>
      </c>
      <c r="R24" s="67">
        <f>((Q24*$H$18*$H$19)/($H$20*$H$21*$F24))*1000</f>
        <v>180.89106817472307</v>
      </c>
      <c r="S24" s="30">
        <v>120</v>
      </c>
      <c r="T24" s="3">
        <v>27.936</v>
      </c>
      <c r="U24" s="7">
        <f>((T24*($N24+($L24*$H$17))))*(1/1000)</f>
        <v>7.808794433757642</v>
      </c>
      <c r="V24" s="67">
        <f>((U24*$H$18*$H$19)/($H$20*$H$21*$F24))*1000</f>
        <v>284.16874995945932</v>
      </c>
      <c r="W24" s="68">
        <v>180</v>
      </c>
      <c r="X24" s="131">
        <v>34.756</v>
      </c>
      <c r="Y24" s="7">
        <f>((X24*($N24+($L24*$H$17))))*(1/1000)</f>
        <v>9.7151510359278568</v>
      </c>
      <c r="Z24" s="67">
        <f>((Y24*$H$18*$H$19)/($H$20*$H$21*$F24))*1000</f>
        <v>353.54270738799283</v>
      </c>
      <c r="AA24" s="69">
        <v>240</v>
      </c>
      <c r="AB24" s="131">
        <v>41.860999999999997</v>
      </c>
      <c r="AC24" s="7">
        <f>((AB24*($N24+($L24*$H$17))))*(1/1000)</f>
        <v>11.701172100212222</v>
      </c>
      <c r="AD24" s="67">
        <f>((AC24*$H$18*$H$19)/($H$20*$H$21*$F24))*1000</f>
        <v>425.81572315481549</v>
      </c>
      <c r="AE24" s="70">
        <f>R24</f>
        <v>180.89106817472307</v>
      </c>
      <c r="AF24" s="70">
        <f>V24</f>
        <v>284.16874995945932</v>
      </c>
      <c r="AG24" s="70">
        <f>Z24</f>
        <v>353.54270738799283</v>
      </c>
      <c r="AH24" s="70">
        <f>AD24</f>
        <v>425.81572315481549</v>
      </c>
      <c r="AI24" s="71">
        <f>RSQ(AE24:AH24,AE$23:AH$23)</f>
        <v>0.99056257356821742</v>
      </c>
      <c r="AJ24" s="72">
        <f>SLOPE(AE24:AH24,AE$23:AH$23)</f>
        <v>1.3402465372813512</v>
      </c>
      <c r="AK24" s="73">
        <f>AJ24*60</f>
        <v>80.41479223688107</v>
      </c>
    </row>
    <row r="25" spans="1:37">
      <c r="A25" s="3">
        <f>'Exptl Setup'!A9</f>
        <v>2</v>
      </c>
      <c r="B25" s="3" t="str">
        <f>'Exptl Setup'!C9</f>
        <v>b</v>
      </c>
      <c r="C25" s="3">
        <f>'Exptl Setup'!D9</f>
        <v>16</v>
      </c>
      <c r="D25" s="3" t="str">
        <f>'Exptl Setup'!E9</f>
        <v>+</v>
      </c>
      <c r="E25" s="111">
        <f>'Exptl Setup'!K9</f>
        <v>0</v>
      </c>
      <c r="F25" s="63">
        <f>'Exptl Setup'!F9</f>
        <v>32.003</v>
      </c>
      <c r="G25" s="64">
        <f>'Exptl Setup'!$C$5</f>
        <v>1.2793390913194711</v>
      </c>
      <c r="H25" s="7">
        <f t="shared" ref="H25:H56" si="2">F25/G25</f>
        <v>25.015260001938255</v>
      </c>
      <c r="I25" s="8">
        <f t="shared" ref="I25:I56" si="3">H25/H$16</f>
        <v>9.4397207554483984</v>
      </c>
      <c r="J25" s="8">
        <f t="shared" ref="J25:J56" si="4">F25-H25</f>
        <v>6.9877399980617447</v>
      </c>
      <c r="K25" s="8">
        <f>'Exptl Setup'!H9+'Exptl Setup'!I9+'Exptl Setup'!J9+5</f>
        <v>23.003024686832859</v>
      </c>
      <c r="L25" s="8">
        <f t="shared" ref="L25:L56" si="5">J25+K25</f>
        <v>29.990764684894604</v>
      </c>
      <c r="M25" s="44">
        <v>300</v>
      </c>
      <c r="N25" s="65">
        <f t="shared" ref="N25:N56" si="6">M25-(I25+L25)</f>
        <v>260.56951455965702</v>
      </c>
      <c r="O25" s="66">
        <v>60</v>
      </c>
      <c r="P25" s="30">
        <v>17.245000000000001</v>
      </c>
      <c r="Q25" s="7">
        <f t="shared" ref="Q25:Q47" si="7">((P25*($N25+($L25*$H$17))))*(1/1000)</f>
        <v>4.8203858243596027</v>
      </c>
      <c r="R25" s="67">
        <f t="shared" ref="R25:R47" si="8">((Q25*$H$18*$H$19)/($H$20*$H$21*$F25))*1000</f>
        <v>175.4070261404627</v>
      </c>
      <c r="S25" s="30">
        <v>120</v>
      </c>
      <c r="T25" s="30">
        <v>27.238</v>
      </c>
      <c r="U25" s="7">
        <f t="shared" ref="U25:U47" si="9">((T25*($N25+($L25*$H$17))))*(1/1000)</f>
        <v>7.6136659370198227</v>
      </c>
      <c r="V25" s="67">
        <f t="shared" ref="V25:V47" si="10">((U25*$H$18*$H$19)/($H$20*$H$21*$F25))*1000</f>
        <v>277.0505409112161</v>
      </c>
      <c r="W25" s="30">
        <v>180</v>
      </c>
      <c r="X25" s="113">
        <v>34.393999999999998</v>
      </c>
      <c r="Y25" s="7">
        <f t="shared" ref="Y25:Y47" si="11">((X25*($N25+($L25*$H$17))))*(1/1000)</f>
        <v>9.6139373756465147</v>
      </c>
      <c r="Z25" s="67">
        <f t="shared" ref="Z25:Z47" si="12">((Y25*$H$18*$H$19)/($H$20*$H$21*$F25))*1000</f>
        <v>349.83759101624076</v>
      </c>
      <c r="AA25" s="69">
        <v>240</v>
      </c>
      <c r="AB25" s="113">
        <v>40.523000000000003</v>
      </c>
      <c r="AC25" s="7">
        <f t="shared" ref="AC25:AC47" si="13">((AB25*($N25+($L25*$H$17))))*(1/1000)</f>
        <v>11.327137997131004</v>
      </c>
      <c r="AD25" s="67">
        <f t="shared" ref="AD25:AD47" si="14">((AC25*$H$18*$H$19)/($H$20*$H$21*$F25))*1000</f>
        <v>412.17853988344268</v>
      </c>
      <c r="AE25" s="70">
        <f t="shared" ref="AE25:AE47" si="15">R25</f>
        <v>175.4070261404627</v>
      </c>
      <c r="AF25" s="70">
        <f t="shared" ref="AF25:AF47" si="16">V25</f>
        <v>277.0505409112161</v>
      </c>
      <c r="AG25" s="70">
        <f t="shared" ref="AG25:AG47" si="17">Z25</f>
        <v>349.83759101624076</v>
      </c>
      <c r="AH25" s="70">
        <f t="shared" ref="AH25:AH47" si="18">AD25</f>
        <v>412.17853988344268</v>
      </c>
      <c r="AI25" s="71">
        <f t="shared" ref="AI25:AI47" si="19">RSQ(AE25:AH25,AE$23:AH$23)</f>
        <v>0.98702355764922811</v>
      </c>
      <c r="AJ25" s="72">
        <f t="shared" ref="AJ25:AJ47" si="20">SLOPE(AE25:AH25,AE$23:AH$23)</f>
        <v>1.3051693188899409</v>
      </c>
      <c r="AK25" s="73">
        <f t="shared" ref="AK25:AK71" si="21">AJ25*60</f>
        <v>78.310159133396454</v>
      </c>
    </row>
    <row r="26" spans="1:37">
      <c r="A26" s="3">
        <f>'Exptl Setup'!A10</f>
        <v>3</v>
      </c>
      <c r="B26" s="3" t="str">
        <f>'Exptl Setup'!C10</f>
        <v>c</v>
      </c>
      <c r="C26" s="3">
        <f>'Exptl Setup'!D10</f>
        <v>16</v>
      </c>
      <c r="D26" s="3" t="str">
        <f>'Exptl Setup'!E10</f>
        <v>+</v>
      </c>
      <c r="E26" s="111">
        <f>'Exptl Setup'!K10</f>
        <v>0</v>
      </c>
      <c r="F26" s="63">
        <f>'Exptl Setup'!F10</f>
        <v>31.997</v>
      </c>
      <c r="G26" s="64">
        <f>'Exptl Setup'!$C$5</f>
        <v>1.2793390913194711</v>
      </c>
      <c r="H26" s="7">
        <f t="shared" si="2"/>
        <v>25.010570080368041</v>
      </c>
      <c r="I26" s="8">
        <f t="shared" si="3"/>
        <v>9.4379509737237886</v>
      </c>
      <c r="J26" s="8">
        <f t="shared" si="4"/>
        <v>6.9864299196319593</v>
      </c>
      <c r="K26" s="8">
        <f>'Exptl Setup'!H10+'Exptl Setup'!I10+'Exptl Setup'!J10+5</f>
        <v>23.003024686832859</v>
      </c>
      <c r="L26" s="8">
        <f t="shared" si="5"/>
        <v>29.989454606464818</v>
      </c>
      <c r="M26" s="44">
        <v>300</v>
      </c>
      <c r="N26" s="65">
        <f t="shared" si="6"/>
        <v>260.57259441981137</v>
      </c>
      <c r="O26" s="66">
        <v>60</v>
      </c>
      <c r="P26" s="30">
        <v>17.431999999999999</v>
      </c>
      <c r="Q26" s="7">
        <f t="shared" si="7"/>
        <v>4.8726960070724843</v>
      </c>
      <c r="R26" s="67">
        <f t="shared" si="8"/>
        <v>177.34376858421129</v>
      </c>
      <c r="S26" s="30">
        <v>120</v>
      </c>
      <c r="T26" s="30">
        <v>27.449000000000002</v>
      </c>
      <c r="U26" s="7">
        <f t="shared" si="9"/>
        <v>7.6727072451888851</v>
      </c>
      <c r="V26" s="67">
        <f t="shared" si="10"/>
        <v>279.25132537104275</v>
      </c>
      <c r="W26" s="30">
        <v>180</v>
      </c>
      <c r="X26" s="113">
        <v>34.448</v>
      </c>
      <c r="Y26" s="7">
        <f t="shared" si="11"/>
        <v>9.6291092273768335</v>
      </c>
      <c r="Z26" s="67">
        <f t="shared" si="12"/>
        <v>350.45537747756492</v>
      </c>
      <c r="AA26" s="69">
        <v>240</v>
      </c>
      <c r="AB26" s="113">
        <v>41.595999999999997</v>
      </c>
      <c r="AC26" s="7">
        <f t="shared" si="13"/>
        <v>11.627160573094715</v>
      </c>
      <c r="AD26" s="67">
        <f t="shared" si="14"/>
        <v>423.17527524259145</v>
      </c>
      <c r="AE26" s="70">
        <f t="shared" si="15"/>
        <v>177.34376858421129</v>
      </c>
      <c r="AF26" s="70">
        <f t="shared" si="16"/>
        <v>279.25132537104275</v>
      </c>
      <c r="AG26" s="70">
        <f t="shared" si="17"/>
        <v>350.45537747756492</v>
      </c>
      <c r="AH26" s="70">
        <f t="shared" si="18"/>
        <v>423.17527524259145</v>
      </c>
      <c r="AI26" s="71">
        <f t="shared" si="19"/>
        <v>0.99196457525418391</v>
      </c>
      <c r="AJ26" s="72">
        <f t="shared" si="20"/>
        <v>1.3478309534694377</v>
      </c>
      <c r="AK26" s="73">
        <f t="shared" si="21"/>
        <v>80.869857208166266</v>
      </c>
    </row>
    <row r="27" spans="1:37">
      <c r="A27" s="3">
        <f>'Exptl Setup'!A14</f>
        <v>7</v>
      </c>
      <c r="B27" s="3" t="str">
        <f>'Exptl Setup'!C14</f>
        <v>a</v>
      </c>
      <c r="C27" s="3">
        <f>'Exptl Setup'!D14</f>
        <v>16</v>
      </c>
      <c r="D27" s="3" t="str">
        <f>'Exptl Setup'!E14</f>
        <v>+</v>
      </c>
      <c r="E27" s="111">
        <f>'Exptl Setup'!K14</f>
        <v>5.9999953707848501</v>
      </c>
      <c r="F27" s="63">
        <f>'Exptl Setup'!F14</f>
        <v>31.997</v>
      </c>
      <c r="G27" s="64">
        <f>'Exptl Setup'!$C$5</f>
        <v>1.2793390913194711</v>
      </c>
      <c r="H27" s="7">
        <f t="shared" si="2"/>
        <v>25.010570080368041</v>
      </c>
      <c r="I27" s="8">
        <f t="shared" si="3"/>
        <v>9.4379509737237886</v>
      </c>
      <c r="J27" s="8">
        <f t="shared" si="4"/>
        <v>6.9864299196319593</v>
      </c>
      <c r="K27" s="8">
        <f>'Exptl Setup'!H14+'Exptl Setup'!I14+'Exptl Setup'!J14+5</f>
        <v>23.003024686832859</v>
      </c>
      <c r="L27" s="8">
        <f t="shared" si="5"/>
        <v>29.989454606464818</v>
      </c>
      <c r="M27" s="44">
        <v>300</v>
      </c>
      <c r="N27" s="65">
        <f t="shared" si="6"/>
        <v>260.57259441981137</v>
      </c>
      <c r="O27" s="66">
        <v>60</v>
      </c>
      <c r="P27" s="30">
        <v>35.313000000000002</v>
      </c>
      <c r="Q27" s="7">
        <f t="shared" si="7"/>
        <v>9.8708991565942323</v>
      </c>
      <c r="R27" s="67">
        <f t="shared" si="8"/>
        <v>359.25542106552638</v>
      </c>
      <c r="S27" s="30">
        <v>120</v>
      </c>
      <c r="T27" s="113">
        <v>69.016000000000005</v>
      </c>
      <c r="U27" s="7">
        <f t="shared" si="9"/>
        <v>19.291761566321398</v>
      </c>
      <c r="V27" s="67">
        <f t="shared" si="10"/>
        <v>702.13157025056955</v>
      </c>
      <c r="W27" s="30">
        <v>180</v>
      </c>
      <c r="X27" s="113">
        <v>127.511</v>
      </c>
      <c r="Y27" s="7">
        <f t="shared" si="11"/>
        <v>35.642630825941922</v>
      </c>
      <c r="Z27" s="67">
        <f t="shared" si="12"/>
        <v>1297.2281594734609</v>
      </c>
      <c r="AA27" s="69">
        <v>240</v>
      </c>
      <c r="AB27" s="113">
        <v>173.27600000000001</v>
      </c>
      <c r="AC27" s="7">
        <f t="shared" si="13"/>
        <v>48.43513500008558</v>
      </c>
      <c r="AD27" s="67">
        <f t="shared" si="14"/>
        <v>1762.8165927717876</v>
      </c>
      <c r="AE27" s="70">
        <f t="shared" si="15"/>
        <v>359.25542106552638</v>
      </c>
      <c r="AF27" s="70">
        <f t="shared" si="16"/>
        <v>702.13157025056955</v>
      </c>
      <c r="AG27" s="70">
        <f t="shared" si="17"/>
        <v>1297.2281594734609</v>
      </c>
      <c r="AH27" s="70">
        <f t="shared" si="18"/>
        <v>1762.8165927717876</v>
      </c>
      <c r="AI27" s="71">
        <f t="shared" si="19"/>
        <v>0.99052139241462855</v>
      </c>
      <c r="AJ27" s="72">
        <f t="shared" si="20"/>
        <v>8.0096335072361242</v>
      </c>
      <c r="AK27" s="73">
        <f t="shared" si="21"/>
        <v>480.57801043416748</v>
      </c>
    </row>
    <row r="28" spans="1:37">
      <c r="A28" s="3">
        <f>'Exptl Setup'!A15</f>
        <v>8</v>
      </c>
      <c r="B28" s="3" t="str">
        <f>'Exptl Setup'!C15</f>
        <v>b</v>
      </c>
      <c r="C28" s="3">
        <f>'Exptl Setup'!D15</f>
        <v>16</v>
      </c>
      <c r="D28" s="3" t="str">
        <f>'Exptl Setup'!E15</f>
        <v>+</v>
      </c>
      <c r="E28" s="111">
        <f>'Exptl Setup'!K15</f>
        <v>5.9986830358393597</v>
      </c>
      <c r="F28" s="63">
        <f>'Exptl Setup'!F15</f>
        <v>32.003999999999998</v>
      </c>
      <c r="G28" s="64">
        <f>'Exptl Setup'!$C$5</f>
        <v>1.2793390913194711</v>
      </c>
      <c r="H28" s="7">
        <f t="shared" si="2"/>
        <v>25.016041655533289</v>
      </c>
      <c r="I28" s="8">
        <f t="shared" si="3"/>
        <v>9.4400157190691658</v>
      </c>
      <c r="J28" s="8">
        <f t="shared" si="4"/>
        <v>6.9879583444667084</v>
      </c>
      <c r="K28" s="8">
        <f>'Exptl Setup'!H15+'Exptl Setup'!I15+'Exptl Setup'!J15+5</f>
        <v>23.003024686832859</v>
      </c>
      <c r="L28" s="8">
        <f t="shared" si="5"/>
        <v>29.990983031299567</v>
      </c>
      <c r="M28" s="44">
        <v>300</v>
      </c>
      <c r="N28" s="65">
        <f t="shared" si="6"/>
        <v>260.56900124963124</v>
      </c>
      <c r="O28" s="66">
        <v>60</v>
      </c>
      <c r="P28" s="30">
        <v>32.448999999999998</v>
      </c>
      <c r="Q28" s="7">
        <f t="shared" si="7"/>
        <v>9.0702516436471132</v>
      </c>
      <c r="R28" s="67">
        <f t="shared" si="8"/>
        <v>330.04332288584089</v>
      </c>
      <c r="S28" s="30">
        <v>120</v>
      </c>
      <c r="T28" s="113">
        <v>63.49</v>
      </c>
      <c r="U28" s="7">
        <f t="shared" si="9"/>
        <v>17.746934477338449</v>
      </c>
      <c r="V28" s="67">
        <f t="shared" si="10"/>
        <v>645.76568060716954</v>
      </c>
      <c r="W28" s="30">
        <v>180</v>
      </c>
      <c r="X28" s="113">
        <v>116.446</v>
      </c>
      <c r="Y28" s="7">
        <f t="shared" si="11"/>
        <v>32.549370485874192</v>
      </c>
      <c r="Z28" s="67">
        <f t="shared" si="12"/>
        <v>1184.3885721213171</v>
      </c>
      <c r="AA28" s="69">
        <v>240</v>
      </c>
      <c r="AB28" s="113">
        <v>160.56399999999999</v>
      </c>
      <c r="AC28" s="7">
        <f t="shared" si="13"/>
        <v>44.881379546690347</v>
      </c>
      <c r="AD28" s="67">
        <f t="shared" si="14"/>
        <v>1633.1189280360613</v>
      </c>
      <c r="AE28" s="70">
        <f t="shared" si="15"/>
        <v>330.04332288584089</v>
      </c>
      <c r="AF28" s="70">
        <f t="shared" si="16"/>
        <v>645.76568060716954</v>
      </c>
      <c r="AG28" s="70">
        <f t="shared" si="17"/>
        <v>1184.3885721213171</v>
      </c>
      <c r="AH28" s="70">
        <f t="shared" si="18"/>
        <v>1633.1189280360613</v>
      </c>
      <c r="AI28" s="71">
        <f t="shared" si="19"/>
        <v>0.9906710919441879</v>
      </c>
      <c r="AJ28" s="72">
        <f t="shared" si="20"/>
        <v>7.4130828449413482</v>
      </c>
      <c r="AK28" s="73">
        <f t="shared" si="21"/>
        <v>444.78497069648091</v>
      </c>
    </row>
    <row r="29" spans="1:37">
      <c r="A29" s="3">
        <f>'Exptl Setup'!A16</f>
        <v>9</v>
      </c>
      <c r="B29" s="3" t="str">
        <f>'Exptl Setup'!C16</f>
        <v>c</v>
      </c>
      <c r="C29" s="3">
        <f>'Exptl Setup'!D16</f>
        <v>16</v>
      </c>
      <c r="D29" s="3" t="str">
        <f>'Exptl Setup'!E16</f>
        <v>+</v>
      </c>
      <c r="E29" s="111">
        <f>'Exptl Setup'!K16</f>
        <v>5.997558634145669</v>
      </c>
      <c r="F29" s="63">
        <f>'Exptl Setup'!F16</f>
        <v>32.01</v>
      </c>
      <c r="G29" s="64">
        <f>'Exptl Setup'!$C$5</f>
        <v>1.2793390913194711</v>
      </c>
      <c r="H29" s="7">
        <f t="shared" si="2"/>
        <v>25.020731577103508</v>
      </c>
      <c r="I29" s="8">
        <f t="shared" si="3"/>
        <v>9.4417855007937774</v>
      </c>
      <c r="J29" s="8">
        <f t="shared" si="4"/>
        <v>6.9892684228964903</v>
      </c>
      <c r="K29" s="8">
        <f>'Exptl Setup'!H16+'Exptl Setup'!I16+'Exptl Setup'!J16+5</f>
        <v>23.003024686832859</v>
      </c>
      <c r="L29" s="8">
        <f t="shared" si="5"/>
        <v>29.992293109729349</v>
      </c>
      <c r="M29" s="44">
        <v>300</v>
      </c>
      <c r="N29" s="65">
        <f t="shared" si="6"/>
        <v>260.5659213894769</v>
      </c>
      <c r="O29" s="66">
        <v>60</v>
      </c>
      <c r="P29" s="30">
        <v>41.143999999999998</v>
      </c>
      <c r="Q29" s="7">
        <f t="shared" si="7"/>
        <v>11.500614107319274</v>
      </c>
      <c r="R29" s="67">
        <f t="shared" si="8"/>
        <v>418.39957398342921</v>
      </c>
      <c r="S29" s="30">
        <v>120</v>
      </c>
      <c r="T29" s="113">
        <v>112.11499999999999</v>
      </c>
      <c r="U29" s="7">
        <f t="shared" si="9"/>
        <v>31.338502591923497</v>
      </c>
      <c r="V29" s="67">
        <f t="shared" si="10"/>
        <v>1140.1144331409723</v>
      </c>
      <c r="W29" s="30">
        <v>180</v>
      </c>
      <c r="X29" s="113">
        <v>182.44800000000001</v>
      </c>
      <c r="Y29" s="7">
        <f t="shared" si="11"/>
        <v>50.998056646222707</v>
      </c>
      <c r="Z29" s="67">
        <f t="shared" si="12"/>
        <v>1855.3413735691399</v>
      </c>
      <c r="AA29" s="69">
        <v>240</v>
      </c>
      <c r="AB29" s="113">
        <v>246.404</v>
      </c>
      <c r="AC29" s="7">
        <f t="shared" si="13"/>
        <v>68.875104960623617</v>
      </c>
      <c r="AD29" s="67">
        <f t="shared" si="14"/>
        <v>2505.7196341583917</v>
      </c>
      <c r="AE29" s="70">
        <f t="shared" si="15"/>
        <v>418.39957398342921</v>
      </c>
      <c r="AF29" s="70">
        <f t="shared" si="16"/>
        <v>1140.1144331409723</v>
      </c>
      <c r="AG29" s="70">
        <f t="shared" si="17"/>
        <v>1855.3413735691399</v>
      </c>
      <c r="AH29" s="70">
        <f t="shared" si="18"/>
        <v>2505.7196341583917</v>
      </c>
      <c r="AI29" s="71">
        <f t="shared" si="19"/>
        <v>0.99940770816154278</v>
      </c>
      <c r="AJ29" s="72">
        <f t="shared" si="20"/>
        <v>11.628645201588425</v>
      </c>
      <c r="AK29" s="73">
        <f t="shared" si="21"/>
        <v>697.71871209530548</v>
      </c>
    </row>
    <row r="30" spans="1:37">
      <c r="A30" s="3">
        <f>'Exptl Setup'!A20</f>
        <v>13</v>
      </c>
      <c r="B30" s="3" t="str">
        <f>'Exptl Setup'!C20</f>
        <v>a</v>
      </c>
      <c r="C30" s="3">
        <f>'Exptl Setup'!D20</f>
        <v>16</v>
      </c>
      <c r="D30" s="3" t="str">
        <f>'Exptl Setup'!E20</f>
        <v>+</v>
      </c>
      <c r="E30" s="111">
        <f>'Exptl Setup'!K20</f>
        <v>15.998487656583571</v>
      </c>
      <c r="F30" s="63">
        <f>'Exptl Setup'!F20</f>
        <v>32</v>
      </c>
      <c r="G30" s="64">
        <f>'Exptl Setup'!$C$5</f>
        <v>1.2793390913194711</v>
      </c>
      <c r="H30" s="7">
        <f t="shared" si="2"/>
        <v>25.01291504115315</v>
      </c>
      <c r="I30" s="8">
        <f t="shared" si="3"/>
        <v>9.4388358645860944</v>
      </c>
      <c r="J30" s="8">
        <f t="shared" si="4"/>
        <v>6.9870849588468502</v>
      </c>
      <c r="K30" s="8">
        <f>'Exptl Setup'!H20+'Exptl Setup'!I20+'Exptl Setup'!J20+5</f>
        <v>23.003024686832862</v>
      </c>
      <c r="L30" s="8">
        <f t="shared" si="5"/>
        <v>29.990109645679713</v>
      </c>
      <c r="M30" s="44">
        <v>300</v>
      </c>
      <c r="N30" s="65">
        <f t="shared" si="6"/>
        <v>260.57105448973419</v>
      </c>
      <c r="O30" s="66">
        <v>60</v>
      </c>
      <c r="P30" s="30">
        <v>0.90400000000000003</v>
      </c>
      <c r="Q30" s="7">
        <f t="shared" si="7"/>
        <v>0.25269042262236663</v>
      </c>
      <c r="R30" s="67">
        <f t="shared" si="8"/>
        <v>9.195909316416472</v>
      </c>
      <c r="S30" s="30">
        <v>120</v>
      </c>
      <c r="T30" s="113">
        <v>2.1230000000000002</v>
      </c>
      <c r="U30" s="7">
        <f t="shared" si="9"/>
        <v>0.59343115843726146</v>
      </c>
      <c r="V30" s="67">
        <f t="shared" si="10"/>
        <v>21.59614544109753</v>
      </c>
      <c r="W30" s="30">
        <v>180</v>
      </c>
      <c r="X30" s="113">
        <v>4.1900000000000004</v>
      </c>
      <c r="Y30" s="7">
        <f t="shared" si="11"/>
        <v>1.1712089278625182</v>
      </c>
      <c r="Z30" s="67">
        <f t="shared" si="12"/>
        <v>42.622632782948038</v>
      </c>
      <c r="AA30" s="69">
        <v>240</v>
      </c>
      <c r="AB30" s="113">
        <v>8.0269999999999992</v>
      </c>
      <c r="AC30" s="7">
        <f t="shared" si="13"/>
        <v>2.2437455999886469</v>
      </c>
      <c r="AD30" s="67">
        <f t="shared" si="14"/>
        <v>81.654385047428107</v>
      </c>
      <c r="AE30" s="70">
        <f t="shared" si="15"/>
        <v>9.195909316416472</v>
      </c>
      <c r="AF30" s="70">
        <f t="shared" si="16"/>
        <v>21.59614544109753</v>
      </c>
      <c r="AG30" s="70">
        <f t="shared" si="17"/>
        <v>42.622632782948038</v>
      </c>
      <c r="AH30" s="70">
        <f t="shared" si="18"/>
        <v>81.654385047428107</v>
      </c>
      <c r="AI30" s="71">
        <f t="shared" si="19"/>
        <v>0.93990116464721274</v>
      </c>
      <c r="AJ30" s="72">
        <f t="shared" si="20"/>
        <v>0.39733652422480903</v>
      </c>
      <c r="AK30" s="73">
        <f t="shared" si="21"/>
        <v>23.840191453488544</v>
      </c>
    </row>
    <row r="31" spans="1:37">
      <c r="A31" s="3">
        <f>'Exptl Setup'!A21</f>
        <v>14</v>
      </c>
      <c r="B31" s="3" t="str">
        <f>'Exptl Setup'!C21</f>
        <v>b</v>
      </c>
      <c r="C31" s="3">
        <f>'Exptl Setup'!D21</f>
        <v>16</v>
      </c>
      <c r="D31" s="3" t="str">
        <f>'Exptl Setup'!E21</f>
        <v>+</v>
      </c>
      <c r="E31" s="111">
        <f>'Exptl Setup'!K21</f>
        <v>16.000987810929029</v>
      </c>
      <c r="F31" s="63">
        <f>'Exptl Setup'!F21</f>
        <v>31.995000000000001</v>
      </c>
      <c r="G31" s="64">
        <f>'Exptl Setup'!$C$5</f>
        <v>1.2793390913194711</v>
      </c>
      <c r="H31" s="7">
        <f t="shared" si="2"/>
        <v>25.009006773177969</v>
      </c>
      <c r="I31" s="8">
        <f t="shared" si="3"/>
        <v>9.4373610464822519</v>
      </c>
      <c r="J31" s="8">
        <f t="shared" si="4"/>
        <v>6.9859932268220319</v>
      </c>
      <c r="K31" s="8">
        <f>'Exptl Setup'!H21+'Exptl Setup'!I21+'Exptl Setup'!J21+5</f>
        <v>23.003024686832862</v>
      </c>
      <c r="L31" s="8">
        <f t="shared" si="5"/>
        <v>29.989017913654894</v>
      </c>
      <c r="M31" s="44">
        <v>300</v>
      </c>
      <c r="N31" s="65">
        <f t="shared" si="6"/>
        <v>260.57362103986287</v>
      </c>
      <c r="O31" s="66">
        <v>60</v>
      </c>
      <c r="P31" s="30">
        <v>1.153</v>
      </c>
      <c r="Q31" s="7">
        <f t="shared" si="7"/>
        <v>0.32229426245657061</v>
      </c>
      <c r="R31" s="67">
        <f t="shared" si="8"/>
        <v>11.730765037949201</v>
      </c>
      <c r="S31" s="30">
        <v>120</v>
      </c>
      <c r="T31" s="113">
        <v>2.907</v>
      </c>
      <c r="U31" s="7">
        <f t="shared" si="9"/>
        <v>0.81258405981027815</v>
      </c>
      <c r="V31" s="67">
        <f t="shared" si="10"/>
        <v>29.576178634274353</v>
      </c>
      <c r="W31" s="30">
        <v>180</v>
      </c>
      <c r="X31" s="113">
        <v>6.2460000000000004</v>
      </c>
      <c r="Y31" s="7">
        <f t="shared" si="11"/>
        <v>1.7459236455366349</v>
      </c>
      <c r="Z31" s="67">
        <f t="shared" si="12"/>
        <v>63.547578861258209</v>
      </c>
      <c r="AA31" s="69">
        <v>240</v>
      </c>
      <c r="AB31" s="113">
        <v>13.73</v>
      </c>
      <c r="AC31" s="7">
        <f t="shared" si="13"/>
        <v>3.8379013213605506</v>
      </c>
      <c r="AD31" s="67">
        <f t="shared" si="14"/>
        <v>139.69072330532745</v>
      </c>
      <c r="AE31" s="70">
        <f t="shared" si="15"/>
        <v>11.730765037949201</v>
      </c>
      <c r="AF31" s="70">
        <f t="shared" si="16"/>
        <v>29.576178634274353</v>
      </c>
      <c r="AG31" s="70">
        <f t="shared" si="17"/>
        <v>63.547578861258209</v>
      </c>
      <c r="AH31" s="70">
        <f t="shared" si="18"/>
        <v>139.69072330532745</v>
      </c>
      <c r="AI31" s="71">
        <f t="shared" si="19"/>
        <v>0.90809071297786292</v>
      </c>
      <c r="AJ31" s="72">
        <f t="shared" si="20"/>
        <v>0.6964187917151976</v>
      </c>
      <c r="AK31" s="73">
        <f t="shared" si="21"/>
        <v>41.785127502911855</v>
      </c>
    </row>
    <row r="32" spans="1:37">
      <c r="A32" s="3">
        <f>'Exptl Setup'!A22</f>
        <v>15</v>
      </c>
      <c r="B32" s="3" t="str">
        <f>'Exptl Setup'!C22</f>
        <v>c</v>
      </c>
      <c r="C32" s="3">
        <f>'Exptl Setup'!D22</f>
        <v>16</v>
      </c>
      <c r="D32" s="3" t="str">
        <f>'Exptl Setup'!E22</f>
        <v>+</v>
      </c>
      <c r="E32" s="111">
        <f>'Exptl Setup'!K22</f>
        <v>15.997987719467337</v>
      </c>
      <c r="F32" s="63">
        <f>'Exptl Setup'!F22</f>
        <v>32.000999999999998</v>
      </c>
      <c r="G32" s="64">
        <f>'Exptl Setup'!$C$5</f>
        <v>1.2793390913194711</v>
      </c>
      <c r="H32" s="7">
        <f t="shared" si="2"/>
        <v>25.013696694748184</v>
      </c>
      <c r="I32" s="8">
        <f t="shared" si="3"/>
        <v>9.4391308282068618</v>
      </c>
      <c r="J32" s="8">
        <f t="shared" si="4"/>
        <v>6.9873033052518139</v>
      </c>
      <c r="K32" s="8">
        <f>'Exptl Setup'!H22+'Exptl Setup'!I22+'Exptl Setup'!J22+5</f>
        <v>23.003024686832862</v>
      </c>
      <c r="L32" s="8">
        <f t="shared" si="5"/>
        <v>29.990327992084676</v>
      </c>
      <c r="M32" s="44">
        <v>300</v>
      </c>
      <c r="N32" s="65">
        <f t="shared" si="6"/>
        <v>260.57054117970847</v>
      </c>
      <c r="O32" s="66">
        <v>60</v>
      </c>
      <c r="P32" s="30">
        <v>1.1220000000000001</v>
      </c>
      <c r="Q32" s="7">
        <f t="shared" si="7"/>
        <v>0.31362640874413211</v>
      </c>
      <c r="R32" s="67">
        <f t="shared" si="8"/>
        <v>11.413134931790999</v>
      </c>
      <c r="S32" s="30">
        <v>120</v>
      </c>
      <c r="T32" s="113">
        <v>2.714</v>
      </c>
      <c r="U32" s="7">
        <f t="shared" si="9"/>
        <v>0.75862929886949604</v>
      </c>
      <c r="V32" s="67">
        <f t="shared" si="10"/>
        <v>27.607173088129027</v>
      </c>
      <c r="W32" s="30">
        <v>180</v>
      </c>
      <c r="X32" s="113">
        <v>5.4829999999999997</v>
      </c>
      <c r="Y32" s="7">
        <f t="shared" si="11"/>
        <v>1.5326324413048809</v>
      </c>
      <c r="Z32" s="67">
        <f t="shared" si="12"/>
        <v>55.773813574875263</v>
      </c>
      <c r="AA32" s="69">
        <v>240</v>
      </c>
      <c r="AB32" s="113">
        <v>12.291</v>
      </c>
      <c r="AC32" s="7">
        <f t="shared" si="13"/>
        <v>3.4356347503334472</v>
      </c>
      <c r="AD32" s="67">
        <f t="shared" si="14"/>
        <v>125.02570538916503</v>
      </c>
      <c r="AE32" s="70">
        <f t="shared" si="15"/>
        <v>11.413134931790999</v>
      </c>
      <c r="AF32" s="70">
        <f t="shared" si="16"/>
        <v>27.607173088129027</v>
      </c>
      <c r="AG32" s="70">
        <f t="shared" si="17"/>
        <v>55.773813574875263</v>
      </c>
      <c r="AH32" s="70">
        <f t="shared" si="18"/>
        <v>125.02570538916503</v>
      </c>
      <c r="AI32" s="71">
        <f t="shared" si="19"/>
        <v>0.90122788643122664</v>
      </c>
      <c r="AJ32" s="72">
        <f t="shared" si="20"/>
        <v>0.61500725309811388</v>
      </c>
      <c r="AK32" s="73">
        <f t="shared" si="21"/>
        <v>36.900435185886835</v>
      </c>
    </row>
    <row r="33" spans="1:37">
      <c r="A33" s="3">
        <f>'Exptl Setup'!A26</f>
        <v>19</v>
      </c>
      <c r="B33" s="3" t="str">
        <f>'Exptl Setup'!C26</f>
        <v>a</v>
      </c>
      <c r="C33" s="3">
        <f>'Exptl Setup'!D26</f>
        <v>16</v>
      </c>
      <c r="D33" s="3" t="str">
        <f>'Exptl Setup'!E26</f>
        <v>+</v>
      </c>
      <c r="E33" s="111">
        <f>'Exptl Setup'!K26</f>
        <v>19.995610119464533</v>
      </c>
      <c r="F33" s="63">
        <f>'Exptl Setup'!F26</f>
        <v>32.003999999999998</v>
      </c>
      <c r="G33" s="64">
        <f>'Exptl Setup'!$C$5</f>
        <v>1.2793390913194711</v>
      </c>
      <c r="H33" s="7">
        <f t="shared" si="2"/>
        <v>25.016041655533289</v>
      </c>
      <c r="I33" s="8">
        <f t="shared" si="3"/>
        <v>9.4400157190691658</v>
      </c>
      <c r="J33" s="8">
        <f t="shared" si="4"/>
        <v>6.9879583444667084</v>
      </c>
      <c r="K33" s="8">
        <f>'Exptl Setup'!H26+'Exptl Setup'!I26+'Exptl Setup'!J26+5</f>
        <v>23.003024686832859</v>
      </c>
      <c r="L33" s="8">
        <f t="shared" si="5"/>
        <v>29.990983031299567</v>
      </c>
      <c r="M33" s="44">
        <v>300</v>
      </c>
      <c r="N33" s="65">
        <f t="shared" si="6"/>
        <v>260.56900124963124</v>
      </c>
      <c r="O33" s="66">
        <v>60</v>
      </c>
      <c r="P33" s="30">
        <v>7.0000000000000001E-3</v>
      </c>
      <c r="Q33" s="7">
        <f t="shared" si="7"/>
        <v>1.9566631176778882E-3</v>
      </c>
      <c r="R33" s="67">
        <f t="shared" si="8"/>
        <v>7.1197980221297627E-2</v>
      </c>
      <c r="S33" s="30">
        <v>120</v>
      </c>
      <c r="T33" s="113">
        <v>1E-3</v>
      </c>
      <c r="U33" s="7">
        <f t="shared" si="9"/>
        <v>2.795233025254126E-4</v>
      </c>
      <c r="V33" s="67">
        <f t="shared" si="10"/>
        <v>1.0171140031613946E-2</v>
      </c>
      <c r="W33" s="30">
        <v>180</v>
      </c>
      <c r="X33" s="113">
        <v>8.4000000000000005E-2</v>
      </c>
      <c r="Y33" s="7">
        <f t="shared" si="11"/>
        <v>2.3479957412134659E-2</v>
      </c>
      <c r="Z33" s="67">
        <f t="shared" si="12"/>
        <v>0.85437576265557125</v>
      </c>
      <c r="AA33" s="69">
        <v>240</v>
      </c>
      <c r="AB33" s="113">
        <v>2.5999999999999999E-2</v>
      </c>
      <c r="AC33" s="7">
        <f t="shared" si="13"/>
        <v>7.267605865660727E-3</v>
      </c>
      <c r="AD33" s="67">
        <f t="shared" si="14"/>
        <v>0.26444964082196254</v>
      </c>
      <c r="AE33" s="70">
        <f t="shared" si="15"/>
        <v>7.1197980221297627E-2</v>
      </c>
      <c r="AF33" s="70">
        <f t="shared" si="16"/>
        <v>1.0171140031613946E-2</v>
      </c>
      <c r="AG33" s="70">
        <f t="shared" si="17"/>
        <v>0.85437576265557125</v>
      </c>
      <c r="AH33" s="70">
        <f t="shared" si="18"/>
        <v>0.26444964082196254</v>
      </c>
      <c r="AI33" s="71">
        <f t="shared" si="19"/>
        <v>0.22785398744478025</v>
      </c>
      <c r="AJ33" s="72">
        <f t="shared" si="20"/>
        <v>2.3732660073765865E-3</v>
      </c>
      <c r="AK33" s="73">
        <f t="shared" si="21"/>
        <v>0.1423959604425952</v>
      </c>
    </row>
    <row r="34" spans="1:37">
      <c r="A34" s="3">
        <f>'Exptl Setup'!A27</f>
        <v>20</v>
      </c>
      <c r="B34" s="3" t="str">
        <f>'Exptl Setup'!C27</f>
        <v>b</v>
      </c>
      <c r="C34" s="3">
        <f>'Exptl Setup'!D27</f>
        <v>16</v>
      </c>
      <c r="D34" s="3" t="str">
        <f>'Exptl Setup'!E27</f>
        <v>+</v>
      </c>
      <c r="E34" s="111">
        <f>'Exptl Setup'!K27</f>
        <v>19.996859766994024</v>
      </c>
      <c r="F34" s="63">
        <f>'Exptl Setup'!F27</f>
        <v>32.002000000000002</v>
      </c>
      <c r="G34" s="64">
        <f>'Exptl Setup'!$C$5</f>
        <v>1.2793390913194711</v>
      </c>
      <c r="H34" s="7">
        <f t="shared" si="2"/>
        <v>25.014478348343221</v>
      </c>
      <c r="I34" s="8">
        <f t="shared" si="3"/>
        <v>9.439425791827631</v>
      </c>
      <c r="J34" s="8">
        <f t="shared" si="4"/>
        <v>6.9875216516567811</v>
      </c>
      <c r="K34" s="8">
        <f>'Exptl Setup'!H27+'Exptl Setup'!I27+'Exptl Setup'!J27+5</f>
        <v>23.003024686832859</v>
      </c>
      <c r="L34" s="8">
        <f t="shared" si="5"/>
        <v>29.99054633848964</v>
      </c>
      <c r="M34" s="44">
        <v>300</v>
      </c>
      <c r="N34" s="65">
        <f t="shared" si="6"/>
        <v>260.57002786968275</v>
      </c>
      <c r="O34" s="66">
        <v>60</v>
      </c>
      <c r="P34" s="30">
        <v>0</v>
      </c>
      <c r="Q34" s="7">
        <f t="shared" si="7"/>
        <v>0</v>
      </c>
      <c r="R34" s="67">
        <f t="shared" si="8"/>
        <v>0</v>
      </c>
      <c r="S34" s="30">
        <v>120</v>
      </c>
      <c r="T34" s="113">
        <v>2.9000000000000001E-2</v>
      </c>
      <c r="U34" s="7">
        <f t="shared" si="9"/>
        <v>8.1061975415126393E-3</v>
      </c>
      <c r="V34" s="67">
        <f t="shared" si="10"/>
        <v>0.29498228709751689</v>
      </c>
      <c r="W34" s="30">
        <v>180</v>
      </c>
      <c r="X34" s="113">
        <v>7.4999999999999997E-2</v>
      </c>
      <c r="Y34" s="7">
        <f t="shared" si="11"/>
        <v>2.0964303986670617E-2</v>
      </c>
      <c r="Z34" s="67">
        <f t="shared" si="12"/>
        <v>0.76288522525219882</v>
      </c>
      <c r="AA34" s="69">
        <v>240</v>
      </c>
      <c r="AB34" s="113">
        <v>6.0999999999999999E-2</v>
      </c>
      <c r="AC34" s="7">
        <f t="shared" si="13"/>
        <v>1.70509672424921E-2</v>
      </c>
      <c r="AD34" s="67">
        <f t="shared" si="14"/>
        <v>0.62047998320512165</v>
      </c>
      <c r="AE34" s="70">
        <f t="shared" si="15"/>
        <v>0</v>
      </c>
      <c r="AF34" s="70">
        <f t="shared" si="16"/>
        <v>0.29498228709751689</v>
      </c>
      <c r="AG34" s="70">
        <f t="shared" si="17"/>
        <v>0.76288522525219882</v>
      </c>
      <c r="AH34" s="70">
        <f t="shared" si="18"/>
        <v>0.62047998320512165</v>
      </c>
      <c r="AI34" s="71">
        <f t="shared" si="19"/>
        <v>0.77558234119648028</v>
      </c>
      <c r="AJ34" s="72">
        <f t="shared" si="20"/>
        <v>3.8822381462834113E-3</v>
      </c>
      <c r="AK34" s="73">
        <f t="shared" si="21"/>
        <v>0.23293428877700467</v>
      </c>
    </row>
    <row r="35" spans="1:37">
      <c r="A35" s="3">
        <f>'Exptl Setup'!A28</f>
        <v>21</v>
      </c>
      <c r="B35" s="3" t="str">
        <f>'Exptl Setup'!C28</f>
        <v>c</v>
      </c>
      <c r="C35" s="3">
        <f>'Exptl Setup'!D28</f>
        <v>16</v>
      </c>
      <c r="D35" s="3" t="str">
        <f>'Exptl Setup'!E28</f>
        <v>+</v>
      </c>
      <c r="E35" s="111">
        <f>'Exptl Setup'!K28</f>
        <v>20.001234763661284</v>
      </c>
      <c r="F35" s="63">
        <f>'Exptl Setup'!F28</f>
        <v>31.995000000000001</v>
      </c>
      <c r="G35" s="64">
        <f>'Exptl Setup'!$C$5</f>
        <v>1.2793390913194711</v>
      </c>
      <c r="H35" s="7">
        <f t="shared" si="2"/>
        <v>25.009006773177969</v>
      </c>
      <c r="I35" s="8">
        <f t="shared" si="3"/>
        <v>9.4373610464822519</v>
      </c>
      <c r="J35" s="8">
        <f t="shared" si="4"/>
        <v>6.9859932268220319</v>
      </c>
      <c r="K35" s="8">
        <f>'Exptl Setup'!H28+'Exptl Setup'!I28+'Exptl Setup'!J28+5</f>
        <v>23.003024686832859</v>
      </c>
      <c r="L35" s="8">
        <f t="shared" si="5"/>
        <v>29.989017913654891</v>
      </c>
      <c r="M35" s="44">
        <v>300</v>
      </c>
      <c r="N35" s="65">
        <f t="shared" si="6"/>
        <v>260.57362103986287</v>
      </c>
      <c r="O35" s="66">
        <v>60</v>
      </c>
      <c r="P35" s="30">
        <v>2E-3</v>
      </c>
      <c r="Q35" s="7">
        <f t="shared" si="7"/>
        <v>5.5905336072258548E-4</v>
      </c>
      <c r="R35" s="67">
        <f t="shared" si="8"/>
        <v>2.0348248114395836E-2</v>
      </c>
      <c r="S35" s="30">
        <v>120</v>
      </c>
      <c r="T35" s="113">
        <v>0</v>
      </c>
      <c r="U35" s="7">
        <f t="shared" si="9"/>
        <v>0</v>
      </c>
      <c r="V35" s="67">
        <f t="shared" si="10"/>
        <v>0</v>
      </c>
      <c r="W35" s="30">
        <v>180</v>
      </c>
      <c r="X35" s="113">
        <v>3.5000000000000003E-2</v>
      </c>
      <c r="Y35" s="7">
        <f t="shared" si="11"/>
        <v>9.7834338126452456E-3</v>
      </c>
      <c r="Z35" s="67">
        <f t="shared" si="12"/>
        <v>0.35609434200192713</v>
      </c>
      <c r="AA35" s="69">
        <v>240</v>
      </c>
      <c r="AB35" s="113">
        <v>6.8000000000000005E-2</v>
      </c>
      <c r="AC35" s="7">
        <f t="shared" si="13"/>
        <v>1.9007814264567911E-2</v>
      </c>
      <c r="AD35" s="67">
        <f t="shared" si="14"/>
        <v>0.69184043588945854</v>
      </c>
      <c r="AE35" s="70">
        <f t="shared" si="15"/>
        <v>2.0348248114395836E-2</v>
      </c>
      <c r="AF35" s="70">
        <f t="shared" si="16"/>
        <v>0</v>
      </c>
      <c r="AG35" s="70">
        <f t="shared" si="17"/>
        <v>0.35609434200192713</v>
      </c>
      <c r="AH35" s="70">
        <f t="shared" si="18"/>
        <v>0.69184043588945854</v>
      </c>
      <c r="AI35" s="71">
        <f t="shared" si="19"/>
        <v>0.87654799386453564</v>
      </c>
      <c r="AJ35" s="72">
        <f t="shared" si="20"/>
        <v>3.9509515088785255E-3</v>
      </c>
      <c r="AK35" s="73">
        <f t="shared" si="21"/>
        <v>0.23705709053271154</v>
      </c>
    </row>
    <row r="36" spans="1:37">
      <c r="A36" s="3">
        <f>'Exptl Setup'!A32</f>
        <v>25</v>
      </c>
      <c r="B36" s="3" t="str">
        <f>'Exptl Setup'!C32</f>
        <v>a</v>
      </c>
      <c r="C36" s="3">
        <f>'Exptl Setup'!D32</f>
        <v>16</v>
      </c>
      <c r="D36" s="3" t="str">
        <f>'Exptl Setup'!E32</f>
        <v>-</v>
      </c>
      <c r="E36" s="111">
        <f>'Exptl Setup'!K32</f>
        <v>0</v>
      </c>
      <c r="F36" s="63">
        <f>'Exptl Setup'!F32</f>
        <v>31.997</v>
      </c>
      <c r="G36" s="64">
        <f>'Exptl Setup'!$C$5</f>
        <v>1.2793390913194711</v>
      </c>
      <c r="H36" s="7">
        <f t="shared" si="2"/>
        <v>25.010570080368041</v>
      </c>
      <c r="I36" s="8">
        <f t="shared" si="3"/>
        <v>9.4379509737237886</v>
      </c>
      <c r="J36" s="8">
        <f t="shared" si="4"/>
        <v>6.9864299196319593</v>
      </c>
      <c r="K36" s="8">
        <f>'Exptl Setup'!H32+'Exptl Setup'!I32+'Exptl Setup'!J32+5</f>
        <v>23.003024686832859</v>
      </c>
      <c r="L36" s="8">
        <f t="shared" si="5"/>
        <v>29.989454606464818</v>
      </c>
      <c r="M36" s="44">
        <v>300</v>
      </c>
      <c r="N36" s="65">
        <f t="shared" si="6"/>
        <v>260.57259441981137</v>
      </c>
      <c r="O36" s="66">
        <v>60</v>
      </c>
      <c r="P36" s="30">
        <v>16.762</v>
      </c>
      <c r="Q36" s="7">
        <f t="shared" si="7"/>
        <v>4.68541363415265</v>
      </c>
      <c r="R36" s="67">
        <f t="shared" si="8"/>
        <v>170.52754985133953</v>
      </c>
      <c r="S36" s="30">
        <v>120</v>
      </c>
      <c r="T36" s="113">
        <v>25.132999999999999</v>
      </c>
      <c r="U36" s="7">
        <f t="shared" si="9"/>
        <v>7.0253251919316639</v>
      </c>
      <c r="V36" s="67">
        <f t="shared" si="10"/>
        <v>255.68959016905595</v>
      </c>
      <c r="W36" s="30">
        <v>180</v>
      </c>
      <c r="X36" s="113">
        <v>34.511000000000003</v>
      </c>
      <c r="Y36" s="7">
        <f t="shared" si="11"/>
        <v>9.6467193609498931</v>
      </c>
      <c r="Z36" s="67">
        <f t="shared" si="12"/>
        <v>351.09630550767076</v>
      </c>
      <c r="AA36" s="69">
        <v>240</v>
      </c>
      <c r="AB36" s="113">
        <v>41.264000000000003</v>
      </c>
      <c r="AC36" s="7">
        <f t="shared" si="13"/>
        <v>11.534357964423993</v>
      </c>
      <c r="AD36" s="67">
        <f t="shared" si="14"/>
        <v>419.79768625854166</v>
      </c>
      <c r="AE36" s="70">
        <f t="shared" si="15"/>
        <v>170.52754985133953</v>
      </c>
      <c r="AF36" s="70">
        <f t="shared" si="16"/>
        <v>255.68959016905595</v>
      </c>
      <c r="AG36" s="70">
        <f t="shared" si="17"/>
        <v>351.09630550767076</v>
      </c>
      <c r="AH36" s="70">
        <f t="shared" si="18"/>
        <v>419.79768625854166</v>
      </c>
      <c r="AI36" s="71">
        <f t="shared" si="19"/>
        <v>0.99618896501230414</v>
      </c>
      <c r="AJ36" s="72">
        <f t="shared" si="20"/>
        <v>1.4053618742670353</v>
      </c>
      <c r="AK36" s="73">
        <f t="shared" si="21"/>
        <v>84.321712456022112</v>
      </c>
    </row>
    <row r="37" spans="1:37">
      <c r="A37" s="3">
        <f>'Exptl Setup'!A33</f>
        <v>26</v>
      </c>
      <c r="B37" s="3" t="str">
        <f>'Exptl Setup'!C33</f>
        <v>b</v>
      </c>
      <c r="C37" s="3">
        <f>'Exptl Setup'!D33</f>
        <v>16</v>
      </c>
      <c r="D37" s="3" t="str">
        <f>'Exptl Setup'!E33</f>
        <v>-</v>
      </c>
      <c r="E37" s="111">
        <f>'Exptl Setup'!K33</f>
        <v>0</v>
      </c>
      <c r="F37" s="63">
        <f>'Exptl Setup'!F33</f>
        <v>32.006</v>
      </c>
      <c r="G37" s="64">
        <f>'Exptl Setup'!$C$5</f>
        <v>1.2793390913194711</v>
      </c>
      <c r="H37" s="7">
        <f t="shared" si="2"/>
        <v>25.017604962723365</v>
      </c>
      <c r="I37" s="8">
        <f t="shared" si="3"/>
        <v>9.4406056463107042</v>
      </c>
      <c r="J37" s="8">
        <f t="shared" si="4"/>
        <v>6.9883950372766357</v>
      </c>
      <c r="K37" s="8">
        <f>'Exptl Setup'!H33+'Exptl Setup'!I33+'Exptl Setup'!J33+5</f>
        <v>23.003024686832859</v>
      </c>
      <c r="L37" s="8">
        <f t="shared" si="5"/>
        <v>29.991419724109495</v>
      </c>
      <c r="M37" s="44">
        <v>300</v>
      </c>
      <c r="N37" s="65">
        <f t="shared" si="6"/>
        <v>260.56797462957979</v>
      </c>
      <c r="O37" s="66">
        <v>60</v>
      </c>
      <c r="P37" s="30">
        <v>16.984999999999999</v>
      </c>
      <c r="Q37" s="7">
        <f t="shared" si="7"/>
        <v>4.7476905439402612</v>
      </c>
      <c r="R37" s="67">
        <f t="shared" si="8"/>
        <v>172.74555426911914</v>
      </c>
      <c r="S37" s="30">
        <v>120</v>
      </c>
      <c r="T37" s="113">
        <v>27.245999999999999</v>
      </c>
      <c r="U37" s="7">
        <f t="shared" si="9"/>
        <v>7.6158714489370825</v>
      </c>
      <c r="V37" s="67">
        <f t="shared" si="10"/>
        <v>277.10482023058114</v>
      </c>
      <c r="W37" s="30">
        <v>180</v>
      </c>
      <c r="X37" s="113">
        <v>36.353000000000002</v>
      </c>
      <c r="Y37" s="7">
        <f t="shared" si="11"/>
        <v>10.161483329046826</v>
      </c>
      <c r="Z37" s="67">
        <f t="shared" si="12"/>
        <v>369.72735556934293</v>
      </c>
      <c r="AA37" s="69">
        <v>240</v>
      </c>
      <c r="AB37" s="113">
        <v>42.951000000000001</v>
      </c>
      <c r="AC37" s="7">
        <f t="shared" si="13"/>
        <v>12.005773126451466</v>
      </c>
      <c r="AD37" s="67">
        <f t="shared" si="14"/>
        <v>436.83216375701721</v>
      </c>
      <c r="AE37" s="70">
        <f t="shared" si="15"/>
        <v>172.74555426911914</v>
      </c>
      <c r="AF37" s="70">
        <f t="shared" si="16"/>
        <v>277.10482023058114</v>
      </c>
      <c r="AG37" s="70">
        <f t="shared" si="17"/>
        <v>369.72735556934293</v>
      </c>
      <c r="AH37" s="70">
        <f t="shared" si="18"/>
        <v>436.83216375701721</v>
      </c>
      <c r="AI37" s="71">
        <f t="shared" si="19"/>
        <v>0.99097712663184767</v>
      </c>
      <c r="AJ37" s="72">
        <f t="shared" si="20"/>
        <v>1.4748039396707602</v>
      </c>
      <c r="AK37" s="73">
        <f t="shared" si="21"/>
        <v>88.48823638024561</v>
      </c>
    </row>
    <row r="38" spans="1:37">
      <c r="A38" s="3">
        <f>'Exptl Setup'!A34</f>
        <v>27</v>
      </c>
      <c r="B38" s="3" t="str">
        <f>'Exptl Setup'!C34</f>
        <v>c</v>
      </c>
      <c r="C38" s="3">
        <f>'Exptl Setup'!D34</f>
        <v>16</v>
      </c>
      <c r="D38" s="3" t="str">
        <f>'Exptl Setup'!E34</f>
        <v>-</v>
      </c>
      <c r="E38" s="111">
        <f>'Exptl Setup'!K34</f>
        <v>0</v>
      </c>
      <c r="F38" s="63">
        <f>'Exptl Setup'!F34</f>
        <v>31.992999999999999</v>
      </c>
      <c r="G38" s="64">
        <f>'Exptl Setup'!$C$5</f>
        <v>1.2793390913194711</v>
      </c>
      <c r="H38" s="7">
        <f t="shared" si="2"/>
        <v>25.007443465987894</v>
      </c>
      <c r="I38" s="8">
        <f t="shared" si="3"/>
        <v>9.4367711192407153</v>
      </c>
      <c r="J38" s="8">
        <f t="shared" si="4"/>
        <v>6.9855565340121046</v>
      </c>
      <c r="K38" s="8">
        <f>'Exptl Setup'!H34+'Exptl Setup'!I34+'Exptl Setup'!J34+5</f>
        <v>23.003024686832859</v>
      </c>
      <c r="L38" s="8">
        <f t="shared" si="5"/>
        <v>29.988581220844964</v>
      </c>
      <c r="M38" s="44">
        <v>300</v>
      </c>
      <c r="N38" s="65">
        <f t="shared" si="6"/>
        <v>260.57464765991432</v>
      </c>
      <c r="O38" s="66">
        <v>60</v>
      </c>
      <c r="P38" s="30">
        <v>17.119</v>
      </c>
      <c r="Q38" s="7">
        <f t="shared" si="7"/>
        <v>4.7852300911432897</v>
      </c>
      <c r="R38" s="67">
        <f t="shared" si="8"/>
        <v>174.18218553467759</v>
      </c>
      <c r="S38" s="30">
        <v>120</v>
      </c>
      <c r="T38" s="113">
        <v>26.827000000000002</v>
      </c>
      <c r="U38" s="7">
        <f t="shared" si="9"/>
        <v>7.4988823912086593</v>
      </c>
      <c r="V38" s="67">
        <f t="shared" si="10"/>
        <v>272.95902163320261</v>
      </c>
      <c r="W38" s="30">
        <v>180</v>
      </c>
      <c r="X38" s="113">
        <v>35.459000000000003</v>
      </c>
      <c r="Y38" s="7">
        <f t="shared" si="11"/>
        <v>9.9117631755271862</v>
      </c>
      <c r="Z38" s="67">
        <f t="shared" si="12"/>
        <v>360.78778648718571</v>
      </c>
      <c r="AA38" s="69">
        <v>240</v>
      </c>
      <c r="AB38" s="113">
        <v>41.981000000000002</v>
      </c>
      <c r="AC38" s="7">
        <f t="shared" si="13"/>
        <v>11.734841080453673</v>
      </c>
      <c r="AD38" s="67">
        <f t="shared" si="14"/>
        <v>427.14774992296856</v>
      </c>
      <c r="AE38" s="70">
        <f t="shared" si="15"/>
        <v>174.18218553467759</v>
      </c>
      <c r="AF38" s="70">
        <f t="shared" si="16"/>
        <v>272.95902163320261</v>
      </c>
      <c r="AG38" s="70">
        <f t="shared" si="17"/>
        <v>360.78778648718571</v>
      </c>
      <c r="AH38" s="70">
        <f t="shared" si="18"/>
        <v>427.14774992296856</v>
      </c>
      <c r="AI38" s="71">
        <f t="shared" si="19"/>
        <v>0.99257249423390914</v>
      </c>
      <c r="AJ38" s="72">
        <f t="shared" si="20"/>
        <v>1.4112090966980932</v>
      </c>
      <c r="AK38" s="73">
        <f t="shared" si="21"/>
        <v>84.67254580188559</v>
      </c>
    </row>
    <row r="39" spans="1:37">
      <c r="A39" s="3">
        <f>'Exptl Setup'!A38</f>
        <v>31</v>
      </c>
      <c r="B39" s="3" t="str">
        <f>'Exptl Setup'!C38</f>
        <v>a</v>
      </c>
      <c r="C39" s="3">
        <f>'Exptl Setup'!D38</f>
        <v>16</v>
      </c>
      <c r="D39" s="3" t="str">
        <f>'Exptl Setup'!E38</f>
        <v>-</v>
      </c>
      <c r="E39" s="111">
        <f>'Exptl Setup'!K38</f>
        <v>5.9992453948002522</v>
      </c>
      <c r="F39" s="63">
        <f>'Exptl Setup'!F38</f>
        <v>32.000999999999998</v>
      </c>
      <c r="G39" s="64">
        <f>'Exptl Setup'!$C$5</f>
        <v>1.2793390913194711</v>
      </c>
      <c r="H39" s="7">
        <f t="shared" si="2"/>
        <v>25.013696694748184</v>
      </c>
      <c r="I39" s="8">
        <f t="shared" si="3"/>
        <v>9.4391308282068618</v>
      </c>
      <c r="J39" s="8">
        <f t="shared" si="4"/>
        <v>6.9873033052518139</v>
      </c>
      <c r="K39" s="8">
        <f>'Exptl Setup'!H38+'Exptl Setup'!I38+'Exptl Setup'!J38+5</f>
        <v>23.003024686832859</v>
      </c>
      <c r="L39" s="8">
        <f t="shared" si="5"/>
        <v>29.990327992084673</v>
      </c>
      <c r="M39" s="44">
        <v>300</v>
      </c>
      <c r="N39" s="65">
        <f t="shared" si="6"/>
        <v>260.57054117970847</v>
      </c>
      <c r="O39" s="66">
        <v>60</v>
      </c>
      <c r="P39" s="30">
        <v>4.5279999999999996</v>
      </c>
      <c r="Q39" s="7">
        <f t="shared" si="7"/>
        <v>1.2656866121153565</v>
      </c>
      <c r="R39" s="67">
        <f t="shared" si="8"/>
        <v>46.059425107976494</v>
      </c>
      <c r="S39" s="30">
        <v>120</v>
      </c>
      <c r="T39" s="113">
        <v>7.17</v>
      </c>
      <c r="U39" s="7">
        <f t="shared" si="9"/>
        <v>2.0041901521349619</v>
      </c>
      <c r="V39" s="67">
        <f t="shared" si="10"/>
        <v>72.934204510643013</v>
      </c>
      <c r="W39" s="30">
        <v>180</v>
      </c>
      <c r="X39" s="113">
        <v>9.8460000000000001</v>
      </c>
      <c r="Y39" s="7">
        <f t="shared" si="11"/>
        <v>2.7521975227225712</v>
      </c>
      <c r="Z39" s="67">
        <f t="shared" si="12"/>
        <v>100.15483648700017</v>
      </c>
      <c r="AA39" s="69">
        <v>240</v>
      </c>
      <c r="AB39" s="113">
        <v>18.620999999999999</v>
      </c>
      <c r="AC39" s="7">
        <f t="shared" si="13"/>
        <v>5.2050243825530149</v>
      </c>
      <c r="AD39" s="67">
        <f t="shared" si="14"/>
        <v>189.41531690274522</v>
      </c>
      <c r="AE39" s="70">
        <f t="shared" si="15"/>
        <v>46.059425107976494</v>
      </c>
      <c r="AF39" s="70">
        <f t="shared" si="16"/>
        <v>72.934204510643013</v>
      </c>
      <c r="AG39" s="70">
        <f t="shared" si="17"/>
        <v>100.15483648700017</v>
      </c>
      <c r="AH39" s="70">
        <f t="shared" si="18"/>
        <v>189.41531690274522</v>
      </c>
      <c r="AI39" s="71">
        <f t="shared" si="19"/>
        <v>0.89987879600545617</v>
      </c>
      <c r="AJ39" s="72">
        <f t="shared" si="20"/>
        <v>0.76214717893443884</v>
      </c>
      <c r="AK39" s="73">
        <f t="shared" si="21"/>
        <v>45.728830736066328</v>
      </c>
    </row>
    <row r="40" spans="1:37">
      <c r="A40" s="3">
        <f>'Exptl Setup'!A39</f>
        <v>32</v>
      </c>
      <c r="B40" s="3" t="str">
        <f>'Exptl Setup'!C39</f>
        <v>b</v>
      </c>
      <c r="C40" s="3">
        <f>'Exptl Setup'!D39</f>
        <v>16</v>
      </c>
      <c r="D40" s="3" t="str">
        <f>'Exptl Setup'!E39</f>
        <v>-</v>
      </c>
      <c r="E40" s="111">
        <f>'Exptl Setup'!K39</f>
        <v>5.9998078592100397</v>
      </c>
      <c r="F40" s="63">
        <f>'Exptl Setup'!F39</f>
        <v>31.998000000000001</v>
      </c>
      <c r="G40" s="64">
        <f>'Exptl Setup'!$C$5</f>
        <v>1.2793390913194711</v>
      </c>
      <c r="H40" s="7">
        <f t="shared" si="2"/>
        <v>25.011351733963078</v>
      </c>
      <c r="I40" s="8">
        <f t="shared" si="3"/>
        <v>9.4382459373445577</v>
      </c>
      <c r="J40" s="8">
        <f t="shared" si="4"/>
        <v>6.9866482660369229</v>
      </c>
      <c r="K40" s="8">
        <f>'Exptl Setup'!H39+'Exptl Setup'!I39+'Exptl Setup'!J39+5</f>
        <v>23.003024686832859</v>
      </c>
      <c r="L40" s="8">
        <f t="shared" si="5"/>
        <v>29.989672952869782</v>
      </c>
      <c r="M40" s="44">
        <v>300</v>
      </c>
      <c r="N40" s="65">
        <f t="shared" si="6"/>
        <v>260.57208110978564</v>
      </c>
      <c r="O40" s="66">
        <v>60</v>
      </c>
      <c r="P40" s="30">
        <v>5.3579999999999997</v>
      </c>
      <c r="Q40" s="7">
        <f t="shared" si="7"/>
        <v>1.4976979205609244</v>
      </c>
      <c r="R40" s="67">
        <f t="shared" si="8"/>
        <v>54.507626229435424</v>
      </c>
      <c r="S40" s="30">
        <v>120</v>
      </c>
      <c r="T40" s="113">
        <v>8.7530000000000001</v>
      </c>
      <c r="U40" s="7">
        <f t="shared" si="9"/>
        <v>2.4466871778032422</v>
      </c>
      <c r="V40" s="67">
        <f t="shared" si="10"/>
        <v>89.045399848123992</v>
      </c>
      <c r="W40" s="30">
        <v>180</v>
      </c>
      <c r="X40" s="113">
        <v>12.968999999999999</v>
      </c>
      <c r="Y40" s="7">
        <f t="shared" si="11"/>
        <v>3.6251669152210955</v>
      </c>
      <c r="Z40" s="67">
        <f t="shared" si="12"/>
        <v>131.93531253630982</v>
      </c>
      <c r="AA40" s="69">
        <v>240</v>
      </c>
      <c r="AB40" s="113">
        <v>22.077999999999999</v>
      </c>
      <c r="AC40" s="7">
        <f t="shared" si="13"/>
        <v>6.1713651903964335</v>
      </c>
      <c r="AD40" s="67">
        <f t="shared" si="14"/>
        <v>224.60234637802827</v>
      </c>
      <c r="AE40" s="70">
        <f t="shared" si="15"/>
        <v>54.507626229435424</v>
      </c>
      <c r="AF40" s="70">
        <f t="shared" si="16"/>
        <v>89.045399848123992</v>
      </c>
      <c r="AG40" s="70">
        <f t="shared" si="17"/>
        <v>131.93531253630982</v>
      </c>
      <c r="AH40" s="70">
        <f t="shared" si="18"/>
        <v>224.60234637802827</v>
      </c>
      <c r="AI40" s="71">
        <f t="shared" si="19"/>
        <v>0.94266679301236533</v>
      </c>
      <c r="AJ40" s="72">
        <f t="shared" si="20"/>
        <v>0.92195678855660723</v>
      </c>
      <c r="AK40" s="73">
        <f t="shared" si="21"/>
        <v>55.317407313396437</v>
      </c>
    </row>
    <row r="41" spans="1:37">
      <c r="A41" s="3">
        <f>'Exptl Setup'!A40</f>
        <v>33</v>
      </c>
      <c r="B41" s="3" t="str">
        <f>'Exptl Setup'!C40</f>
        <v>c</v>
      </c>
      <c r="C41" s="3">
        <f>'Exptl Setup'!D40</f>
        <v>16</v>
      </c>
      <c r="D41" s="3" t="str">
        <f>'Exptl Setup'!E40</f>
        <v>-</v>
      </c>
      <c r="E41" s="111">
        <f>'Exptl Setup'!K40</f>
        <v>5.9992453948002522</v>
      </c>
      <c r="F41" s="63">
        <f>'Exptl Setup'!F40</f>
        <v>32.000999999999998</v>
      </c>
      <c r="G41" s="64">
        <f>'Exptl Setup'!$C$5</f>
        <v>1.2793390913194711</v>
      </c>
      <c r="H41" s="7">
        <f t="shared" si="2"/>
        <v>25.013696694748184</v>
      </c>
      <c r="I41" s="8">
        <f t="shared" si="3"/>
        <v>9.4391308282068618</v>
      </c>
      <c r="J41" s="8">
        <f t="shared" si="4"/>
        <v>6.9873033052518139</v>
      </c>
      <c r="K41" s="8">
        <f>'Exptl Setup'!H40+'Exptl Setup'!I40+'Exptl Setup'!J40+5</f>
        <v>23.003024686832859</v>
      </c>
      <c r="L41" s="8">
        <f t="shared" si="5"/>
        <v>29.990327992084673</v>
      </c>
      <c r="M41" s="44">
        <v>300</v>
      </c>
      <c r="N41" s="65">
        <f t="shared" si="6"/>
        <v>260.57054117970847</v>
      </c>
      <c r="O41" s="66">
        <v>60</v>
      </c>
      <c r="P41" s="30">
        <v>4.5970000000000004</v>
      </c>
      <c r="Q41" s="7">
        <f t="shared" si="7"/>
        <v>1.2849737976798357</v>
      </c>
      <c r="R41" s="67">
        <f t="shared" si="8"/>
        <v>46.761302389878104</v>
      </c>
      <c r="S41" s="30">
        <v>120</v>
      </c>
      <c r="T41" s="113">
        <v>8.3079999999999998</v>
      </c>
      <c r="U41" s="7">
        <f t="shared" si="9"/>
        <v>2.3222889517346252</v>
      </c>
      <c r="V41" s="67">
        <f t="shared" si="10"/>
        <v>84.510093594759013</v>
      </c>
      <c r="W41" s="30">
        <v>180</v>
      </c>
      <c r="X41" s="113">
        <v>12.334</v>
      </c>
      <c r="Y41" s="7">
        <f t="shared" si="11"/>
        <v>3.4476543007576876</v>
      </c>
      <c r="Z41" s="67">
        <f t="shared" si="12"/>
        <v>125.46310717353848</v>
      </c>
      <c r="AA41" s="69">
        <v>240</v>
      </c>
      <c r="AB41" s="113">
        <v>23.113</v>
      </c>
      <c r="AC41" s="7">
        <f t="shared" si="13"/>
        <v>6.4606481152434272</v>
      </c>
      <c r="AD41" s="67">
        <f t="shared" si="14"/>
        <v>235.10854516799051</v>
      </c>
      <c r="AE41" s="70">
        <f t="shared" si="15"/>
        <v>46.761302389878104</v>
      </c>
      <c r="AF41" s="70">
        <f t="shared" si="16"/>
        <v>84.510093594759013</v>
      </c>
      <c r="AG41" s="70">
        <f t="shared" si="17"/>
        <v>125.46310717353848</v>
      </c>
      <c r="AH41" s="70">
        <f t="shared" si="18"/>
        <v>235.10854516799051</v>
      </c>
      <c r="AI41" s="71">
        <f t="shared" si="19"/>
        <v>0.9241643784815512</v>
      </c>
      <c r="AJ41" s="72">
        <f t="shared" si="20"/>
        <v>1.0099912365218613</v>
      </c>
      <c r="AK41" s="73">
        <f t="shared" si="21"/>
        <v>60.599474191311678</v>
      </c>
    </row>
    <row r="42" spans="1:37">
      <c r="A42" s="3">
        <f>'Exptl Setup'!A44</f>
        <v>37</v>
      </c>
      <c r="B42" s="3" t="str">
        <f>'Exptl Setup'!C44</f>
        <v>a</v>
      </c>
      <c r="C42" s="3">
        <f>'Exptl Setup'!D44</f>
        <v>16</v>
      </c>
      <c r="D42" s="3" t="str">
        <f>'Exptl Setup'!E44</f>
        <v>-</v>
      </c>
      <c r="E42" s="111">
        <f>'Exptl Setup'!K44</f>
        <v>16.000487717548268</v>
      </c>
      <c r="F42" s="63">
        <f>'Exptl Setup'!F44</f>
        <v>31.995999999999999</v>
      </c>
      <c r="G42" s="64">
        <f>'Exptl Setup'!$C$5</f>
        <v>1.2793390913194711</v>
      </c>
      <c r="H42" s="7">
        <f t="shared" si="2"/>
        <v>25.009788426773003</v>
      </c>
      <c r="I42" s="8">
        <f t="shared" si="3"/>
        <v>9.4376560101030211</v>
      </c>
      <c r="J42" s="8">
        <f t="shared" si="4"/>
        <v>6.9862115732269956</v>
      </c>
      <c r="K42" s="8">
        <f>'Exptl Setup'!H44+'Exptl Setup'!I44+'Exptl Setup'!J44+5</f>
        <v>23.003024686832862</v>
      </c>
      <c r="L42" s="8">
        <f t="shared" si="5"/>
        <v>29.989236260059858</v>
      </c>
      <c r="M42" s="44">
        <v>300</v>
      </c>
      <c r="N42" s="65">
        <f t="shared" si="6"/>
        <v>260.57310772983715</v>
      </c>
      <c r="O42" s="66">
        <v>60</v>
      </c>
      <c r="P42" s="30">
        <v>0.753</v>
      </c>
      <c r="Q42" s="7">
        <f t="shared" si="7"/>
        <v>0.21048330769978482</v>
      </c>
      <c r="R42" s="67">
        <f t="shared" si="8"/>
        <v>7.6608656891725015</v>
      </c>
      <c r="S42" s="30">
        <v>120</v>
      </c>
      <c r="T42" s="113">
        <v>1.58</v>
      </c>
      <c r="U42" s="7">
        <f t="shared" si="9"/>
        <v>0.4416515619729881</v>
      </c>
      <c r="V42" s="67">
        <f t="shared" si="10"/>
        <v>16.074592017121589</v>
      </c>
      <c r="W42" s="30">
        <v>180</v>
      </c>
      <c r="X42" s="113">
        <v>2.399</v>
      </c>
      <c r="Y42" s="7">
        <f t="shared" si="11"/>
        <v>0.67058360580582177</v>
      </c>
      <c r="Z42" s="67">
        <f t="shared" si="12"/>
        <v>24.40692800574347</v>
      </c>
      <c r="AA42" s="69">
        <v>240</v>
      </c>
      <c r="AB42" s="113">
        <v>3.34</v>
      </c>
      <c r="AC42" s="7">
        <f t="shared" si="13"/>
        <v>0.93361785885429116</v>
      </c>
      <c r="AD42" s="67">
        <f t="shared" si="14"/>
        <v>33.98046666910512</v>
      </c>
      <c r="AE42" s="70">
        <f t="shared" si="15"/>
        <v>7.6608656891725015</v>
      </c>
      <c r="AF42" s="70">
        <f t="shared" si="16"/>
        <v>16.074592017121589</v>
      </c>
      <c r="AG42" s="70">
        <f t="shared" si="17"/>
        <v>24.40692800574347</v>
      </c>
      <c r="AH42" s="70">
        <f t="shared" si="18"/>
        <v>33.98046666910512</v>
      </c>
      <c r="AI42" s="71">
        <f t="shared" si="19"/>
        <v>0.99888898356922295</v>
      </c>
      <c r="AJ42" s="72">
        <f t="shared" si="20"/>
        <v>0.1454852315473662</v>
      </c>
      <c r="AK42" s="73">
        <f t="shared" si="21"/>
        <v>8.7291138928419727</v>
      </c>
    </row>
    <row r="43" spans="1:37">
      <c r="A43" s="3">
        <f>'Exptl Setup'!A45</f>
        <v>38</v>
      </c>
      <c r="B43" s="3" t="str">
        <f>'Exptl Setup'!C45</f>
        <v>b</v>
      </c>
      <c r="C43" s="3">
        <f>'Exptl Setup'!D45</f>
        <v>16</v>
      </c>
      <c r="D43" s="3" t="str">
        <f>'Exptl Setup'!E45</f>
        <v>-</v>
      </c>
      <c r="E43" s="111">
        <f>'Exptl Setup'!K45</f>
        <v>15.999987655426267</v>
      </c>
      <c r="F43" s="63">
        <f>'Exptl Setup'!F45</f>
        <v>31.997</v>
      </c>
      <c r="G43" s="64">
        <f>'Exptl Setup'!$C$5</f>
        <v>1.2793390913194711</v>
      </c>
      <c r="H43" s="7">
        <f t="shared" si="2"/>
        <v>25.010570080368041</v>
      </c>
      <c r="I43" s="8">
        <f t="shared" si="3"/>
        <v>9.4379509737237886</v>
      </c>
      <c r="J43" s="8">
        <f t="shared" si="4"/>
        <v>6.9864299196319593</v>
      </c>
      <c r="K43" s="8">
        <f>'Exptl Setup'!H45+'Exptl Setup'!I45+'Exptl Setup'!J45+5</f>
        <v>23.003024686832862</v>
      </c>
      <c r="L43" s="8">
        <f t="shared" si="5"/>
        <v>29.989454606464822</v>
      </c>
      <c r="M43" s="44">
        <v>300</v>
      </c>
      <c r="N43" s="65">
        <f t="shared" si="6"/>
        <v>260.57259441981137</v>
      </c>
      <c r="O43" s="66">
        <v>60</v>
      </c>
      <c r="P43" s="30">
        <v>0.84</v>
      </c>
      <c r="Q43" s="7">
        <f t="shared" si="7"/>
        <v>0.23480178097412155</v>
      </c>
      <c r="R43" s="67">
        <f t="shared" si="8"/>
        <v>8.5457070680781033</v>
      </c>
      <c r="S43" s="30">
        <v>120</v>
      </c>
      <c r="T43" s="113">
        <v>2.5870000000000002</v>
      </c>
      <c r="U43" s="7">
        <f t="shared" si="9"/>
        <v>0.72313358021434826</v>
      </c>
      <c r="V43" s="67">
        <f t="shared" si="10"/>
        <v>26.3187430775215</v>
      </c>
      <c r="W43" s="30">
        <v>180</v>
      </c>
      <c r="X43" s="113">
        <v>4.2960000000000003</v>
      </c>
      <c r="Y43" s="7">
        <f t="shared" si="11"/>
        <v>1.2008433941247934</v>
      </c>
      <c r="Z43" s="67">
        <f t="shared" si="12"/>
        <v>43.705187576742311</v>
      </c>
      <c r="AA43" s="69">
        <v>240</v>
      </c>
      <c r="AB43" s="113">
        <v>6.0990000000000002</v>
      </c>
      <c r="AC43" s="7">
        <f t="shared" si="13"/>
        <v>1.7048286454299615</v>
      </c>
      <c r="AD43" s="67">
        <f t="shared" si="14"/>
        <v>62.04793739072425</v>
      </c>
      <c r="AE43" s="70">
        <f t="shared" si="15"/>
        <v>8.5457070680781033</v>
      </c>
      <c r="AF43" s="70">
        <f t="shared" si="16"/>
        <v>26.3187430775215</v>
      </c>
      <c r="AG43" s="70">
        <f t="shared" si="17"/>
        <v>43.705187576742311</v>
      </c>
      <c r="AH43" s="70">
        <f t="shared" si="18"/>
        <v>62.04793739072425</v>
      </c>
      <c r="AI43" s="71">
        <f t="shared" si="19"/>
        <v>0.99989174386750779</v>
      </c>
      <c r="AJ43" s="72">
        <f t="shared" si="20"/>
        <v>0.29648855911193206</v>
      </c>
      <c r="AK43" s="73">
        <f t="shared" si="21"/>
        <v>17.789313546715924</v>
      </c>
    </row>
    <row r="44" spans="1:37">
      <c r="A44" s="3">
        <f>'Exptl Setup'!A46</f>
        <v>39</v>
      </c>
      <c r="B44" s="3" t="str">
        <f>'Exptl Setup'!C46</f>
        <v>c</v>
      </c>
      <c r="C44" s="3">
        <f>'Exptl Setup'!D46</f>
        <v>16</v>
      </c>
      <c r="D44" s="3" t="str">
        <f>'Exptl Setup'!E46</f>
        <v>-</v>
      </c>
      <c r="E44" s="111">
        <f>'Exptl Setup'!K46</f>
        <v>15.996488095571626</v>
      </c>
      <c r="F44" s="63">
        <f>'Exptl Setup'!F46</f>
        <v>32.003999999999998</v>
      </c>
      <c r="G44" s="64">
        <f>'Exptl Setup'!$C$5</f>
        <v>1.2793390913194711</v>
      </c>
      <c r="H44" s="7">
        <f t="shared" si="2"/>
        <v>25.016041655533289</v>
      </c>
      <c r="I44" s="8">
        <f t="shared" si="3"/>
        <v>9.4400157190691658</v>
      </c>
      <c r="J44" s="8">
        <f t="shared" si="4"/>
        <v>6.9879583444667084</v>
      </c>
      <c r="K44" s="8">
        <f>'Exptl Setup'!H46+'Exptl Setup'!I46+'Exptl Setup'!J46+5</f>
        <v>23.003024686832862</v>
      </c>
      <c r="L44" s="8">
        <f t="shared" si="5"/>
        <v>29.990983031299571</v>
      </c>
      <c r="M44" s="44">
        <v>300</v>
      </c>
      <c r="N44" s="65">
        <f t="shared" si="6"/>
        <v>260.56900124963124</v>
      </c>
      <c r="O44" s="66">
        <v>60</v>
      </c>
      <c r="P44" s="30">
        <v>1.1299999999999999</v>
      </c>
      <c r="Q44" s="7">
        <f t="shared" si="7"/>
        <v>0.31586133185371618</v>
      </c>
      <c r="R44" s="67">
        <f t="shared" si="8"/>
        <v>11.493388235723756</v>
      </c>
      <c r="S44" s="30">
        <v>120</v>
      </c>
      <c r="T44" s="113">
        <v>2.37</v>
      </c>
      <c r="U44" s="7">
        <f t="shared" si="9"/>
        <v>0.66247022698522795</v>
      </c>
      <c r="V44" s="67">
        <f t="shared" si="10"/>
        <v>24.105601874925053</v>
      </c>
      <c r="W44" s="30">
        <v>180</v>
      </c>
      <c r="X44" s="113">
        <v>3.5369999999999999</v>
      </c>
      <c r="Y44" s="7">
        <f t="shared" si="11"/>
        <v>0.98867392103238438</v>
      </c>
      <c r="Z44" s="67">
        <f t="shared" si="12"/>
        <v>35.975322291818522</v>
      </c>
      <c r="AA44" s="69">
        <v>240</v>
      </c>
      <c r="AB44" s="113">
        <v>4.5410000000000004</v>
      </c>
      <c r="AC44" s="7">
        <f t="shared" si="13"/>
        <v>1.2693153167678985</v>
      </c>
      <c r="AD44" s="67">
        <f t="shared" si="14"/>
        <v>46.187146883558917</v>
      </c>
      <c r="AE44" s="70">
        <f t="shared" si="15"/>
        <v>11.493388235723756</v>
      </c>
      <c r="AF44" s="70">
        <f t="shared" si="16"/>
        <v>24.105601874925053</v>
      </c>
      <c r="AG44" s="70">
        <f t="shared" si="17"/>
        <v>35.975322291818522</v>
      </c>
      <c r="AH44" s="70">
        <f t="shared" si="18"/>
        <v>46.187146883558917</v>
      </c>
      <c r="AI44" s="71">
        <f t="shared" si="19"/>
        <v>0.99779971190030492</v>
      </c>
      <c r="AJ44" s="72">
        <f t="shared" si="20"/>
        <v>0.19325166060066493</v>
      </c>
      <c r="AK44" s="73">
        <f t="shared" si="21"/>
        <v>11.595099636039896</v>
      </c>
    </row>
    <row r="45" spans="1:37">
      <c r="A45" s="3">
        <f>'Exptl Setup'!A50</f>
        <v>43</v>
      </c>
      <c r="B45" s="3" t="str">
        <f>'Exptl Setup'!C50</f>
        <v>a</v>
      </c>
      <c r="C45" s="3">
        <f>'Exptl Setup'!D50</f>
        <v>16</v>
      </c>
      <c r="D45" s="3" t="str">
        <f>'Exptl Setup'!E50</f>
        <v>-</v>
      </c>
      <c r="E45" s="111">
        <f>'Exptl Setup'!K50</f>
        <v>19.996234923705366</v>
      </c>
      <c r="F45" s="63">
        <f>'Exptl Setup'!F50</f>
        <v>32.003</v>
      </c>
      <c r="G45" s="64">
        <f>'Exptl Setup'!$C$5</f>
        <v>1.2793390913194711</v>
      </c>
      <c r="H45" s="7">
        <f t="shared" si="2"/>
        <v>25.015260001938255</v>
      </c>
      <c r="I45" s="8">
        <f t="shared" si="3"/>
        <v>9.4397207554483984</v>
      </c>
      <c r="J45" s="8">
        <f t="shared" si="4"/>
        <v>6.9877399980617447</v>
      </c>
      <c r="K45" s="8">
        <f>'Exptl Setup'!H50+'Exptl Setup'!I50+'Exptl Setup'!J50+5</f>
        <v>23.003024686832859</v>
      </c>
      <c r="L45" s="8">
        <f t="shared" si="5"/>
        <v>29.990764684894604</v>
      </c>
      <c r="M45" s="44">
        <v>300</v>
      </c>
      <c r="N45" s="65">
        <f t="shared" si="6"/>
        <v>260.56951455965702</v>
      </c>
      <c r="O45" s="66">
        <v>60</v>
      </c>
      <c r="P45" s="30">
        <v>0</v>
      </c>
      <c r="Q45" s="7">
        <f t="shared" si="7"/>
        <v>0</v>
      </c>
      <c r="R45" s="67">
        <f t="shared" si="8"/>
        <v>0</v>
      </c>
      <c r="S45" s="30">
        <v>120</v>
      </c>
      <c r="T45" s="113">
        <v>4.0000000000000001E-3</v>
      </c>
      <c r="U45" s="7">
        <f t="shared" si="9"/>
        <v>1.1180947113620416E-3</v>
      </c>
      <c r="V45" s="67">
        <f t="shared" si="10"/>
        <v>4.0685886028521336E-2</v>
      </c>
      <c r="W45" s="30">
        <v>180</v>
      </c>
      <c r="X45" s="113">
        <v>5.0000000000000001E-3</v>
      </c>
      <c r="Y45" s="7">
        <f t="shared" si="11"/>
        <v>1.3976183892025521E-3</v>
      </c>
      <c r="Z45" s="67">
        <f t="shared" si="12"/>
        <v>5.0857357535651675E-2</v>
      </c>
      <c r="AA45" s="69">
        <v>240</v>
      </c>
      <c r="AB45" s="113">
        <v>3.6999999999999998E-2</v>
      </c>
      <c r="AC45" s="7">
        <f t="shared" si="13"/>
        <v>1.0342376080098884E-2</v>
      </c>
      <c r="AD45" s="67">
        <f t="shared" si="14"/>
        <v>0.37634444576382242</v>
      </c>
      <c r="AE45" s="70">
        <f t="shared" si="15"/>
        <v>0</v>
      </c>
      <c r="AF45" s="70">
        <f t="shared" si="16"/>
        <v>4.0685886028521336E-2</v>
      </c>
      <c r="AG45" s="70">
        <f t="shared" si="17"/>
        <v>5.0857357535651675E-2</v>
      </c>
      <c r="AH45" s="70">
        <f t="shared" si="18"/>
        <v>0.37634444576382242</v>
      </c>
      <c r="AI45" s="71">
        <f t="shared" si="19"/>
        <v>0.71191827468785474</v>
      </c>
      <c r="AJ45" s="72">
        <f t="shared" si="20"/>
        <v>1.8986746813309961E-3</v>
      </c>
      <c r="AK45" s="73">
        <f t="shared" si="21"/>
        <v>0.11392048087985977</v>
      </c>
    </row>
    <row r="46" spans="1:37">
      <c r="A46" s="3">
        <f>'Exptl Setup'!A51</f>
        <v>44</v>
      </c>
      <c r="B46" s="3" t="str">
        <f>'Exptl Setup'!C51</f>
        <v>b</v>
      </c>
      <c r="C46" s="3">
        <f>'Exptl Setup'!D51</f>
        <v>16</v>
      </c>
      <c r="D46" s="3" t="str">
        <f>'Exptl Setup'!E51</f>
        <v>-</v>
      </c>
      <c r="E46" s="111">
        <f>'Exptl Setup'!K51</f>
        <v>19.993735940992373</v>
      </c>
      <c r="F46" s="63">
        <f>'Exptl Setup'!F51</f>
        <v>32.006999999999998</v>
      </c>
      <c r="G46" s="64">
        <f>'Exptl Setup'!$C$5</f>
        <v>1.2793390913194711</v>
      </c>
      <c r="H46" s="7">
        <f t="shared" si="2"/>
        <v>25.018386616318399</v>
      </c>
      <c r="I46" s="8">
        <f t="shared" si="3"/>
        <v>9.4409006099314716</v>
      </c>
      <c r="J46" s="8">
        <f t="shared" si="4"/>
        <v>6.9886133836815993</v>
      </c>
      <c r="K46" s="8">
        <f>'Exptl Setup'!H51+'Exptl Setup'!I51+'Exptl Setup'!J51+5</f>
        <v>23.003024686832859</v>
      </c>
      <c r="L46" s="8">
        <f t="shared" si="5"/>
        <v>29.991638070514458</v>
      </c>
      <c r="M46" s="44">
        <v>300</v>
      </c>
      <c r="N46" s="65">
        <f t="shared" si="6"/>
        <v>260.56746131955407</v>
      </c>
      <c r="O46" s="66">
        <v>60</v>
      </c>
      <c r="P46" s="30">
        <v>0</v>
      </c>
      <c r="Q46" s="7">
        <f t="shared" si="7"/>
        <v>0</v>
      </c>
      <c r="R46" s="67">
        <f t="shared" si="8"/>
        <v>0</v>
      </c>
      <c r="S46" s="30">
        <v>120</v>
      </c>
      <c r="T46" s="113">
        <v>0</v>
      </c>
      <c r="U46" s="7">
        <f t="shared" si="9"/>
        <v>0</v>
      </c>
      <c r="V46" s="67">
        <f t="shared" si="10"/>
        <v>0</v>
      </c>
      <c r="W46" s="30">
        <v>180</v>
      </c>
      <c r="X46" s="113">
        <v>6.0000000000000001E-3</v>
      </c>
      <c r="Y46" s="7">
        <f t="shared" si="11"/>
        <v>1.6771330594807152E-3</v>
      </c>
      <c r="Z46" s="67">
        <f t="shared" si="12"/>
        <v>6.1020874376045454E-2</v>
      </c>
      <c r="AA46" s="69">
        <v>240</v>
      </c>
      <c r="AB46" s="113">
        <v>2.7E-2</v>
      </c>
      <c r="AC46" s="7">
        <f t="shared" si="13"/>
        <v>7.5470987676632189E-3</v>
      </c>
      <c r="AD46" s="67">
        <f t="shared" si="14"/>
        <v>0.27459393469220456</v>
      </c>
      <c r="AE46" s="70">
        <f t="shared" si="15"/>
        <v>0</v>
      </c>
      <c r="AF46" s="70">
        <f t="shared" si="16"/>
        <v>0</v>
      </c>
      <c r="AG46" s="70">
        <f t="shared" si="17"/>
        <v>6.1020874376045454E-2</v>
      </c>
      <c r="AH46" s="70">
        <f t="shared" si="18"/>
        <v>0.27459393469220456</v>
      </c>
      <c r="AI46" s="71">
        <f t="shared" si="19"/>
        <v>0.76803652968036518</v>
      </c>
      <c r="AJ46" s="72">
        <f t="shared" si="20"/>
        <v>1.4746711307544319E-3</v>
      </c>
      <c r="AK46" s="73">
        <f t="shared" si="21"/>
        <v>8.8480267845265914E-2</v>
      </c>
    </row>
    <row r="47" spans="1:37" ht="13.5" thickBot="1">
      <c r="A47" s="132">
        <f>'Exptl Setup'!A52</f>
        <v>45</v>
      </c>
      <c r="B47" s="132" t="str">
        <f>'Exptl Setup'!C52</f>
        <v>c</v>
      </c>
      <c r="C47" s="132">
        <f>'Exptl Setup'!D52</f>
        <v>16</v>
      </c>
      <c r="D47" s="132" t="str">
        <f>'Exptl Setup'!E52</f>
        <v>-</v>
      </c>
      <c r="E47" s="133">
        <f>'Exptl Setup'!K52</f>
        <v>19.998109570729465</v>
      </c>
      <c r="F47" s="134">
        <f>'Exptl Setup'!F52</f>
        <v>32</v>
      </c>
      <c r="G47" s="135">
        <f>'Exptl Setup'!$C$5</f>
        <v>1.2793390913194711</v>
      </c>
      <c r="H47" s="136">
        <f t="shared" si="2"/>
        <v>25.01291504115315</v>
      </c>
      <c r="I47" s="137">
        <f t="shared" si="3"/>
        <v>9.4388358645860944</v>
      </c>
      <c r="J47" s="137">
        <f t="shared" si="4"/>
        <v>6.9870849588468502</v>
      </c>
      <c r="K47" s="137">
        <f>'Exptl Setup'!H52+'Exptl Setup'!I52+'Exptl Setup'!J52+5</f>
        <v>23.003024686832859</v>
      </c>
      <c r="L47" s="137">
        <f t="shared" si="5"/>
        <v>29.990109645679709</v>
      </c>
      <c r="M47" s="138">
        <v>300</v>
      </c>
      <c r="N47" s="139">
        <f t="shared" si="6"/>
        <v>260.57105448973419</v>
      </c>
      <c r="O47" s="140">
        <v>60</v>
      </c>
      <c r="P47" s="132">
        <v>0.46100000000000002</v>
      </c>
      <c r="Q47" s="136">
        <f t="shared" si="7"/>
        <v>0.12886093454525557</v>
      </c>
      <c r="R47" s="141">
        <f t="shared" si="8"/>
        <v>4.6895068527300818</v>
      </c>
      <c r="S47" s="132">
        <v>120</v>
      </c>
      <c r="T47" s="142">
        <v>0</v>
      </c>
      <c r="U47" s="136">
        <f t="shared" si="9"/>
        <v>0</v>
      </c>
      <c r="V47" s="141">
        <f t="shared" si="10"/>
        <v>0</v>
      </c>
      <c r="W47" s="132">
        <v>180</v>
      </c>
      <c r="X47" s="142">
        <v>0</v>
      </c>
      <c r="Y47" s="136">
        <f t="shared" si="11"/>
        <v>0</v>
      </c>
      <c r="Z47" s="141">
        <f t="shared" si="12"/>
        <v>0</v>
      </c>
      <c r="AA47" s="143">
        <v>240</v>
      </c>
      <c r="AB47" s="142">
        <v>0</v>
      </c>
      <c r="AC47" s="136">
        <f t="shared" si="13"/>
        <v>0</v>
      </c>
      <c r="AD47" s="141">
        <f t="shared" si="14"/>
        <v>0</v>
      </c>
      <c r="AE47" s="144">
        <f t="shared" si="15"/>
        <v>4.6895068527300818</v>
      </c>
      <c r="AF47" s="144">
        <f t="shared" si="16"/>
        <v>0</v>
      </c>
      <c r="AG47" s="144">
        <f t="shared" si="17"/>
        <v>0</v>
      </c>
      <c r="AH47" s="144">
        <f t="shared" si="18"/>
        <v>0</v>
      </c>
      <c r="AI47" s="145">
        <f t="shared" si="19"/>
        <v>0.6000000000000002</v>
      </c>
      <c r="AJ47" s="146">
        <f t="shared" si="20"/>
        <v>-2.344753426365041E-2</v>
      </c>
      <c r="AK47" s="147"/>
    </row>
    <row r="48" spans="1:37">
      <c r="A48" s="3">
        <f>'Exptl Setup'!A56</f>
        <v>49</v>
      </c>
      <c r="B48" s="3" t="str">
        <f>'Exptl Setup'!C56</f>
        <v>a</v>
      </c>
      <c r="C48" s="3">
        <f>'Exptl Setup'!D56</f>
        <v>24</v>
      </c>
      <c r="D48" s="3" t="str">
        <f>'Exptl Setup'!E56</f>
        <v>+</v>
      </c>
      <c r="E48" s="111">
        <f>'Exptl Setup'!K56</f>
        <v>0</v>
      </c>
      <c r="F48" s="63">
        <f>'Exptl Setup'!F56</f>
        <v>32.003999999999998</v>
      </c>
      <c r="G48" s="64">
        <f>'Exptl Setup'!$C$5</f>
        <v>1.2793390913194711</v>
      </c>
      <c r="H48" s="7">
        <f t="shared" si="2"/>
        <v>25.016041655533289</v>
      </c>
      <c r="I48" s="8">
        <f t="shared" si="3"/>
        <v>9.4400157190691658</v>
      </c>
      <c r="J48" s="8">
        <f t="shared" si="4"/>
        <v>6.9879583444667084</v>
      </c>
      <c r="K48" s="8">
        <f>'Exptl Setup'!H56+'Exptl Setup'!I56+'Exptl Setup'!J56+5</f>
        <v>23.003024686832859</v>
      </c>
      <c r="L48" s="8">
        <f t="shared" si="5"/>
        <v>29.990983031299567</v>
      </c>
      <c r="M48" s="44">
        <v>300</v>
      </c>
      <c r="N48" s="65">
        <f t="shared" si="6"/>
        <v>260.56900124963124</v>
      </c>
      <c r="O48" s="66">
        <v>60</v>
      </c>
      <c r="P48" s="30">
        <v>36.343000000000004</v>
      </c>
      <c r="Q48" s="7">
        <f t="shared" ref="Q48:Q71" si="22">((P48*($N48+($L48*$H$17))))*(1/1000)</f>
        <v>10.15871538368107</v>
      </c>
      <c r="R48" s="67">
        <f t="shared" ref="R48:R71" si="23">((Q48*$H$18*$H$19)/($H$20*$H$21*$F48))*1000</f>
        <v>369.64974216894564</v>
      </c>
      <c r="S48" s="30">
        <v>120</v>
      </c>
      <c r="T48" s="113">
        <v>50.976999999999997</v>
      </c>
      <c r="U48" s="7">
        <f t="shared" ref="U48:U71" si="24">((T48*($N48+($L48*$H$17))))*(1/1000)</f>
        <v>14.249259392837958</v>
      </c>
      <c r="V48" s="67">
        <f t="shared" ref="V48:V71" si="25">((U48*$H$18*$H$19)/($H$20*$H$21*$F48))*1000</f>
        <v>518.49420539158405</v>
      </c>
      <c r="W48" s="30">
        <v>180</v>
      </c>
      <c r="X48" s="113">
        <v>61.991</v>
      </c>
      <c r="Y48" s="7">
        <f t="shared" ref="Y48:Y71" si="26">((X48*($N48+($L48*$H$17))))*(1/1000)</f>
        <v>17.327929046852852</v>
      </c>
      <c r="Z48" s="67">
        <f t="shared" ref="Z48:Z71" si="27">((Y48*$H$18*$H$19)/($H$20*$H$21*$F48))*1000</f>
        <v>630.51914169977999</v>
      </c>
      <c r="AA48" s="69">
        <v>240</v>
      </c>
      <c r="AB48" s="113">
        <v>71.239000000000004</v>
      </c>
      <c r="AC48" s="7">
        <f t="shared" ref="AC48:AC71" si="28">((AB48*($N48+($L48*$H$17))))*(1/1000)</f>
        <v>19.91296054860787</v>
      </c>
      <c r="AD48" s="67">
        <f t="shared" ref="AD48:AD71" si="29">((AC48*$H$18*$H$19)/($H$20*$H$21*$F48))*1000</f>
        <v>724.58184471214588</v>
      </c>
      <c r="AE48" s="70">
        <f t="shared" ref="AE48:AE71" si="30">R48</f>
        <v>369.64974216894564</v>
      </c>
      <c r="AF48" s="70">
        <f t="shared" ref="AF48:AF71" si="31">V48</f>
        <v>518.49420539158405</v>
      </c>
      <c r="AG48" s="70">
        <f t="shared" ref="AG48:AG71" si="32">Z48</f>
        <v>630.51914169977999</v>
      </c>
      <c r="AH48" s="70">
        <f t="shared" ref="AH48:AH71" si="33">AD48</f>
        <v>724.58184471214588</v>
      </c>
      <c r="AI48" s="71">
        <f t="shared" ref="AI48:AI71" si="34">RSQ(AE48:AH48,AE$23:AH$23)</f>
        <v>0.98903010543044922</v>
      </c>
      <c r="AJ48" s="72">
        <f t="shared" ref="AJ48:AJ71" si="35">SLOPE(AE48:AH48,AE$23:AH$23)</f>
        <v>1.9613687398963278</v>
      </c>
      <c r="AK48" s="73">
        <f t="shared" si="21"/>
        <v>117.68212439377966</v>
      </c>
    </row>
    <row r="49" spans="1:37">
      <c r="A49" s="3">
        <f>'Exptl Setup'!A57</f>
        <v>50</v>
      </c>
      <c r="B49" s="3" t="str">
        <f>'Exptl Setup'!C57</f>
        <v>b</v>
      </c>
      <c r="C49" s="3">
        <f>'Exptl Setup'!D57</f>
        <v>24</v>
      </c>
      <c r="D49" s="3" t="str">
        <f>'Exptl Setup'!E57</f>
        <v>+</v>
      </c>
      <c r="E49" s="111">
        <f>'Exptl Setup'!K57</f>
        <v>0</v>
      </c>
      <c r="F49" s="63">
        <f>'Exptl Setup'!F57</f>
        <v>32.003</v>
      </c>
      <c r="G49" s="64">
        <f>'Exptl Setup'!$C$5</f>
        <v>1.2793390913194711</v>
      </c>
      <c r="H49" s="7">
        <f t="shared" si="2"/>
        <v>25.015260001938255</v>
      </c>
      <c r="I49" s="8">
        <f t="shared" si="3"/>
        <v>9.4397207554483984</v>
      </c>
      <c r="J49" s="8">
        <f t="shared" si="4"/>
        <v>6.9877399980617447</v>
      </c>
      <c r="K49" s="8">
        <f>'Exptl Setup'!H57+'Exptl Setup'!I57+'Exptl Setup'!J57+5</f>
        <v>23.003024686832859</v>
      </c>
      <c r="L49" s="8">
        <f t="shared" si="5"/>
        <v>29.990764684894604</v>
      </c>
      <c r="M49" s="44">
        <v>300</v>
      </c>
      <c r="N49" s="65">
        <f t="shared" si="6"/>
        <v>260.56951455965702</v>
      </c>
      <c r="O49" s="66">
        <v>60</v>
      </c>
      <c r="P49" s="30">
        <v>36.195999999999998</v>
      </c>
      <c r="Q49" s="7">
        <f t="shared" si="22"/>
        <v>10.117639043115114</v>
      </c>
      <c r="R49" s="67">
        <f t="shared" si="23"/>
        <v>368.16658267208959</v>
      </c>
      <c r="S49" s="30">
        <v>120</v>
      </c>
      <c r="T49" s="113">
        <v>48.878</v>
      </c>
      <c r="U49" s="7">
        <f t="shared" si="24"/>
        <v>13.662558325488469</v>
      </c>
      <c r="V49" s="67">
        <f t="shared" si="25"/>
        <v>497.16118432551667</v>
      </c>
      <c r="W49" s="30">
        <v>180</v>
      </c>
      <c r="X49" s="113">
        <v>61.72</v>
      </c>
      <c r="Y49" s="7">
        <f t="shared" si="26"/>
        <v>17.252201396316302</v>
      </c>
      <c r="Z49" s="67">
        <f t="shared" si="27"/>
        <v>627.78322142008437</v>
      </c>
      <c r="AA49" s="69">
        <v>240</v>
      </c>
      <c r="AB49" s="113">
        <v>72.828000000000003</v>
      </c>
      <c r="AC49" s="7">
        <f t="shared" si="28"/>
        <v>20.357150409768693</v>
      </c>
      <c r="AD49" s="67">
        <f t="shared" si="29"/>
        <v>740.76792692128811</v>
      </c>
      <c r="AE49" s="70">
        <f t="shared" si="30"/>
        <v>368.16658267208959</v>
      </c>
      <c r="AF49" s="70">
        <f t="shared" si="31"/>
        <v>497.16118432551667</v>
      </c>
      <c r="AG49" s="70">
        <f t="shared" si="32"/>
        <v>627.78322142008437</v>
      </c>
      <c r="AH49" s="70">
        <f t="shared" si="33"/>
        <v>740.76792692128811</v>
      </c>
      <c r="AI49" s="71">
        <f t="shared" si="34"/>
        <v>0.99894071686417474</v>
      </c>
      <c r="AJ49" s="72">
        <f t="shared" si="35"/>
        <v>2.0807101164036057</v>
      </c>
      <c r="AK49" s="73">
        <f t="shared" si="21"/>
        <v>124.84260698421635</v>
      </c>
    </row>
    <row r="50" spans="1:37">
      <c r="A50" s="3">
        <f>'Exptl Setup'!A58</f>
        <v>51</v>
      </c>
      <c r="B50" s="3" t="str">
        <f>'Exptl Setup'!C58</f>
        <v>c</v>
      </c>
      <c r="C50" s="3">
        <f>'Exptl Setup'!D58</f>
        <v>24</v>
      </c>
      <c r="D50" s="3" t="str">
        <f>'Exptl Setup'!E58</f>
        <v>+</v>
      </c>
      <c r="E50" s="111">
        <f>'Exptl Setup'!K58</f>
        <v>0</v>
      </c>
      <c r="F50" s="63">
        <f>'Exptl Setup'!F58</f>
        <v>31.998999999999999</v>
      </c>
      <c r="G50" s="64">
        <f>'Exptl Setup'!$C$5</f>
        <v>1.2793390913194711</v>
      </c>
      <c r="H50" s="7">
        <f t="shared" si="2"/>
        <v>25.012133387558112</v>
      </c>
      <c r="I50" s="8">
        <f t="shared" si="3"/>
        <v>9.4385409009653252</v>
      </c>
      <c r="J50" s="8">
        <f t="shared" si="4"/>
        <v>6.9868666124418866</v>
      </c>
      <c r="K50" s="8">
        <f>'Exptl Setup'!H58+'Exptl Setup'!I58+'Exptl Setup'!J58+5</f>
        <v>23.003024686832859</v>
      </c>
      <c r="L50" s="8">
        <f t="shared" si="5"/>
        <v>29.989891299274746</v>
      </c>
      <c r="M50" s="44">
        <v>300</v>
      </c>
      <c r="N50" s="65">
        <f t="shared" si="6"/>
        <v>260.57156779975992</v>
      </c>
      <c r="O50" s="66">
        <v>60</v>
      </c>
      <c r="P50" s="30">
        <v>36.399000000000001</v>
      </c>
      <c r="Q50" s="7">
        <f t="shared" si="22"/>
        <v>10.174436994093716</v>
      </c>
      <c r="R50" s="67">
        <f t="shared" si="23"/>
        <v>370.27966043841781</v>
      </c>
      <c r="S50" s="30">
        <v>120</v>
      </c>
      <c r="T50" s="113">
        <v>50.603000000000002</v>
      </c>
      <c r="U50" s="7">
        <f t="shared" si="24"/>
        <v>14.14481263804292</v>
      </c>
      <c r="V50" s="67">
        <f t="shared" si="25"/>
        <v>514.77407778140218</v>
      </c>
      <c r="W50" s="30">
        <v>180</v>
      </c>
      <c r="X50" s="113">
        <v>61.167999999999999</v>
      </c>
      <c r="Y50" s="7">
        <f t="shared" si="26"/>
        <v>17.097996155243944</v>
      </c>
      <c r="Z50" s="67">
        <f t="shared" si="27"/>
        <v>622.24968459839931</v>
      </c>
      <c r="AA50" s="69">
        <v>240</v>
      </c>
      <c r="AB50" s="113">
        <v>72.756</v>
      </c>
      <c r="AC50" s="7">
        <f t="shared" si="28"/>
        <v>20.337133930665193</v>
      </c>
      <c r="AD50" s="67">
        <f t="shared" si="29"/>
        <v>740.13206337694794</v>
      </c>
      <c r="AE50" s="70">
        <f t="shared" si="30"/>
        <v>370.27966043841781</v>
      </c>
      <c r="AF50" s="70">
        <f t="shared" si="31"/>
        <v>514.77407778140218</v>
      </c>
      <c r="AG50" s="70">
        <f t="shared" si="32"/>
        <v>622.24968459839931</v>
      </c>
      <c r="AH50" s="70">
        <f t="shared" si="33"/>
        <v>740.13206337694794</v>
      </c>
      <c r="AI50" s="71">
        <f t="shared" si="34"/>
        <v>0.99610601999717463</v>
      </c>
      <c r="AJ50" s="72">
        <f t="shared" si="35"/>
        <v>2.0283880260543126</v>
      </c>
      <c r="AK50" s="73">
        <f t="shared" si="21"/>
        <v>121.70328156325876</v>
      </c>
    </row>
    <row r="51" spans="1:37">
      <c r="A51" s="3">
        <f>'Exptl Setup'!A62</f>
        <v>55</v>
      </c>
      <c r="B51" s="3" t="str">
        <f>'Exptl Setup'!C62</f>
        <v>a</v>
      </c>
      <c r="C51" s="3">
        <f>'Exptl Setup'!D62</f>
        <v>24</v>
      </c>
      <c r="D51" s="3" t="str">
        <f>'Exptl Setup'!E62</f>
        <v>+</v>
      </c>
      <c r="E51" s="111">
        <f>'Exptl Setup'!K62</f>
        <v>5.9998078592100397</v>
      </c>
      <c r="F51" s="63">
        <f>'Exptl Setup'!F62</f>
        <v>31.998000000000001</v>
      </c>
      <c r="G51" s="64">
        <f>'Exptl Setup'!$C$5</f>
        <v>1.2793390913194711</v>
      </c>
      <c r="H51" s="7">
        <f t="shared" si="2"/>
        <v>25.011351733963078</v>
      </c>
      <c r="I51" s="8">
        <f t="shared" si="3"/>
        <v>9.4382459373445577</v>
      </c>
      <c r="J51" s="8">
        <f t="shared" si="4"/>
        <v>6.9866482660369229</v>
      </c>
      <c r="K51" s="8">
        <f>'Exptl Setup'!H62+'Exptl Setup'!I62+'Exptl Setup'!J62+5</f>
        <v>23.003024686832859</v>
      </c>
      <c r="L51" s="8">
        <f t="shared" si="5"/>
        <v>29.989672952869782</v>
      </c>
      <c r="M51" s="44">
        <v>300</v>
      </c>
      <c r="N51" s="65">
        <f t="shared" si="6"/>
        <v>260.57208110978564</v>
      </c>
      <c r="O51" s="66">
        <v>60</v>
      </c>
      <c r="P51" s="30">
        <v>84.566000000000003</v>
      </c>
      <c r="Q51" s="7">
        <f t="shared" si="22"/>
        <v>23.638358034743405</v>
      </c>
      <c r="R51" s="67">
        <f t="shared" si="23"/>
        <v>860.30084354580765</v>
      </c>
      <c r="S51" s="30">
        <v>120</v>
      </c>
      <c r="T51" s="113">
        <v>212.44800000000001</v>
      </c>
      <c r="U51" s="7">
        <f t="shared" si="24"/>
        <v>59.38464498457023</v>
      </c>
      <c r="V51" s="67">
        <f t="shared" si="25"/>
        <v>2161.2609513234602</v>
      </c>
      <c r="W51" s="30">
        <v>180</v>
      </c>
      <c r="X51" s="113">
        <v>305.48399999999998</v>
      </c>
      <c r="Y51" s="7">
        <f t="shared" si="26"/>
        <v>85.390584465217131</v>
      </c>
      <c r="Z51" s="67">
        <f t="shared" si="27"/>
        <v>3107.7281991550672</v>
      </c>
      <c r="AA51" s="69">
        <v>240</v>
      </c>
      <c r="AB51" s="113">
        <v>387.029</v>
      </c>
      <c r="AC51" s="7">
        <f t="shared" si="28"/>
        <v>108.18449580006981</v>
      </c>
      <c r="AD51" s="67">
        <f t="shared" si="29"/>
        <v>3937.2960194012994</v>
      </c>
      <c r="AE51" s="70">
        <f t="shared" si="30"/>
        <v>860.30084354580765</v>
      </c>
      <c r="AF51" s="70">
        <f t="shared" si="31"/>
        <v>2161.2609513234602</v>
      </c>
      <c r="AG51" s="70">
        <f t="shared" si="32"/>
        <v>3107.7281991550672</v>
      </c>
      <c r="AH51" s="70">
        <f t="shared" si="33"/>
        <v>3937.2960194012994</v>
      </c>
      <c r="AI51" s="71">
        <f t="shared" si="34"/>
        <v>0.98885416871154375</v>
      </c>
      <c r="AJ51" s="72">
        <f t="shared" si="35"/>
        <v>16.962421292330138</v>
      </c>
      <c r="AK51" s="73">
        <f t="shared" si="21"/>
        <v>1017.7452775398083</v>
      </c>
    </row>
    <row r="52" spans="1:37">
      <c r="A52" s="3">
        <f>'Exptl Setup'!A63</f>
        <v>56</v>
      </c>
      <c r="B52" s="3" t="str">
        <f>'Exptl Setup'!C63</f>
        <v>b</v>
      </c>
      <c r="C52" s="3">
        <f>'Exptl Setup'!D63</f>
        <v>24</v>
      </c>
      <c r="D52" s="3" t="str">
        <f>'Exptl Setup'!E63</f>
        <v>+</v>
      </c>
      <c r="E52" s="111">
        <f>'Exptl Setup'!K63</f>
        <v>5.9996203593550685</v>
      </c>
      <c r="F52" s="63">
        <f>'Exptl Setup'!F63</f>
        <v>31.998999999999999</v>
      </c>
      <c r="G52" s="64">
        <f>'Exptl Setup'!$C$5</f>
        <v>1.2793390913194711</v>
      </c>
      <c r="H52" s="7">
        <f t="shared" si="2"/>
        <v>25.012133387558112</v>
      </c>
      <c r="I52" s="8">
        <f t="shared" si="3"/>
        <v>9.4385409009653252</v>
      </c>
      <c r="J52" s="8">
        <f t="shared" si="4"/>
        <v>6.9868666124418866</v>
      </c>
      <c r="K52" s="8">
        <f>'Exptl Setup'!H63+'Exptl Setup'!I63+'Exptl Setup'!J63+5</f>
        <v>23.003024686832859</v>
      </c>
      <c r="L52" s="8">
        <f t="shared" si="5"/>
        <v>29.989891299274746</v>
      </c>
      <c r="M52" s="44">
        <v>300</v>
      </c>
      <c r="N52" s="65">
        <f t="shared" si="6"/>
        <v>260.57156779975992</v>
      </c>
      <c r="O52" s="66">
        <v>60</v>
      </c>
      <c r="P52" s="30">
        <v>77.921999999999997</v>
      </c>
      <c r="Q52" s="7">
        <f t="shared" si="22"/>
        <v>21.781161005900451</v>
      </c>
      <c r="R52" s="67">
        <f t="shared" si="23"/>
        <v>792.68473586313894</v>
      </c>
      <c r="S52" s="30">
        <v>120</v>
      </c>
      <c r="T52" s="113">
        <v>189.70599999999999</v>
      </c>
      <c r="U52" s="7">
        <f t="shared" si="24"/>
        <v>53.027603626515621</v>
      </c>
      <c r="V52" s="67">
        <f t="shared" si="25"/>
        <v>1929.8407446119529</v>
      </c>
      <c r="W52" s="30">
        <v>180</v>
      </c>
      <c r="X52" s="113">
        <v>267.69900000000001</v>
      </c>
      <c r="Y52" s="7">
        <f t="shared" si="26"/>
        <v>74.828610920132235</v>
      </c>
      <c r="Z52" s="67">
        <f t="shared" si="27"/>
        <v>2723.2477491058544</v>
      </c>
      <c r="AA52" s="69">
        <v>240</v>
      </c>
      <c r="AB52" s="113">
        <v>341.78</v>
      </c>
      <c r="AC52" s="7">
        <f t="shared" si="28"/>
        <v>95.536115713106128</v>
      </c>
      <c r="AD52" s="67">
        <f t="shared" si="29"/>
        <v>3476.8587693244986</v>
      </c>
      <c r="AE52" s="70">
        <f t="shared" si="30"/>
        <v>792.68473586313894</v>
      </c>
      <c r="AF52" s="70">
        <f t="shared" si="31"/>
        <v>1929.8407446119529</v>
      </c>
      <c r="AG52" s="70">
        <f t="shared" si="32"/>
        <v>2723.2477491058544</v>
      </c>
      <c r="AH52" s="70">
        <f t="shared" si="33"/>
        <v>3476.8587693244986</v>
      </c>
      <c r="AI52" s="71">
        <f t="shared" si="34"/>
        <v>0.9895303722898916</v>
      </c>
      <c r="AJ52" s="72">
        <f t="shared" si="35"/>
        <v>14.743215174796632</v>
      </c>
      <c r="AK52" s="73">
        <f t="shared" si="21"/>
        <v>884.59291048779789</v>
      </c>
    </row>
    <row r="53" spans="1:37">
      <c r="A53" s="3">
        <f>'Exptl Setup'!A64</f>
        <v>57</v>
      </c>
      <c r="B53" s="3" t="str">
        <f>'Exptl Setup'!C64</f>
        <v>c</v>
      </c>
      <c r="C53" s="3">
        <f>'Exptl Setup'!D64</f>
        <v>24</v>
      </c>
      <c r="D53" s="3" t="str">
        <f>'Exptl Setup'!E64</f>
        <v>+</v>
      </c>
      <c r="E53" s="111">
        <f>'Exptl Setup'!K64</f>
        <v>5.9994328712188389</v>
      </c>
      <c r="F53" s="63">
        <f>'Exptl Setup'!F64</f>
        <v>32</v>
      </c>
      <c r="G53" s="64">
        <f>'Exptl Setup'!$C$5</f>
        <v>1.2793390913194711</v>
      </c>
      <c r="H53" s="7">
        <f t="shared" si="2"/>
        <v>25.01291504115315</v>
      </c>
      <c r="I53" s="8">
        <f t="shared" si="3"/>
        <v>9.4388358645860944</v>
      </c>
      <c r="J53" s="8">
        <f t="shared" si="4"/>
        <v>6.9870849588468502</v>
      </c>
      <c r="K53" s="8">
        <f>'Exptl Setup'!H64+'Exptl Setup'!I64+'Exptl Setup'!J64+5</f>
        <v>23.003024686832859</v>
      </c>
      <c r="L53" s="8">
        <f t="shared" si="5"/>
        <v>29.990109645679709</v>
      </c>
      <c r="M53" s="44">
        <v>300</v>
      </c>
      <c r="N53" s="65">
        <f t="shared" si="6"/>
        <v>260.57105448973419</v>
      </c>
      <c r="O53" s="66">
        <v>60</v>
      </c>
      <c r="P53" s="30">
        <v>74.293999999999997</v>
      </c>
      <c r="Q53" s="7">
        <f t="shared" si="22"/>
        <v>20.767015772462507</v>
      </c>
      <c r="R53" s="67">
        <f t="shared" si="23"/>
        <v>755.75319331177582</v>
      </c>
      <c r="S53" s="30">
        <v>120</v>
      </c>
      <c r="T53" s="113">
        <v>179.15100000000001</v>
      </c>
      <c r="U53" s="7">
        <f t="shared" si="24"/>
        <v>50.07714812303054</v>
      </c>
      <c r="V53" s="67">
        <f t="shared" si="25"/>
        <v>1822.4074667536809</v>
      </c>
      <c r="W53" s="30">
        <v>180</v>
      </c>
      <c r="X53" s="113">
        <v>255.22900000000001</v>
      </c>
      <c r="Y53" s="7">
        <f t="shared" si="26"/>
        <v>71.34283614544691</v>
      </c>
      <c r="Z53" s="67">
        <f t="shared" si="27"/>
        <v>2596.3083395128979</v>
      </c>
      <c r="AA53" s="69">
        <v>240</v>
      </c>
      <c r="AB53" s="113">
        <v>330.71100000000001</v>
      </c>
      <c r="AC53" s="7">
        <f t="shared" si="28"/>
        <v>92.441927384806959</v>
      </c>
      <c r="AD53" s="67">
        <f t="shared" si="29"/>
        <v>3364.1464225015575</v>
      </c>
      <c r="AE53" s="70">
        <f t="shared" si="30"/>
        <v>755.75319331177582</v>
      </c>
      <c r="AF53" s="70">
        <f t="shared" si="31"/>
        <v>1822.4074667536809</v>
      </c>
      <c r="AG53" s="70">
        <f t="shared" si="32"/>
        <v>2596.3083395128979</v>
      </c>
      <c r="AH53" s="70">
        <f t="shared" si="33"/>
        <v>3364.1464225015575</v>
      </c>
      <c r="AI53" s="71">
        <f t="shared" si="34"/>
        <v>0.99290147749932334</v>
      </c>
      <c r="AJ53" s="72">
        <f t="shared" si="35"/>
        <v>14.331800933880938</v>
      </c>
      <c r="AK53" s="73">
        <f t="shared" si="21"/>
        <v>859.90805603285628</v>
      </c>
    </row>
    <row r="54" spans="1:37">
      <c r="A54" s="3">
        <f>'Exptl Setup'!A68</f>
        <v>61</v>
      </c>
      <c r="B54" s="3" t="str">
        <f>'Exptl Setup'!C68</f>
        <v>a</v>
      </c>
      <c r="C54" s="3">
        <f>'Exptl Setup'!D68</f>
        <v>24</v>
      </c>
      <c r="D54" s="3" t="str">
        <f>'Exptl Setup'!E68</f>
        <v>+</v>
      </c>
      <c r="E54" s="111">
        <f>'Exptl Setup'!K68</f>
        <v>16.000487717548268</v>
      </c>
      <c r="F54" s="63">
        <f>'Exptl Setup'!F68</f>
        <v>31.995999999999999</v>
      </c>
      <c r="G54" s="64">
        <f>'Exptl Setup'!$C$5</f>
        <v>1.2793390913194711</v>
      </c>
      <c r="H54" s="7">
        <f t="shared" si="2"/>
        <v>25.009788426773003</v>
      </c>
      <c r="I54" s="8">
        <f t="shared" si="3"/>
        <v>9.4376560101030211</v>
      </c>
      <c r="J54" s="8">
        <f t="shared" si="4"/>
        <v>6.9862115732269956</v>
      </c>
      <c r="K54" s="8">
        <f>'Exptl Setup'!H68+'Exptl Setup'!I68+'Exptl Setup'!J68+5</f>
        <v>23.003024686832862</v>
      </c>
      <c r="L54" s="8">
        <f t="shared" si="5"/>
        <v>29.989236260059858</v>
      </c>
      <c r="M54" s="44">
        <v>300</v>
      </c>
      <c r="N54" s="65">
        <f t="shared" si="6"/>
        <v>260.57310772983715</v>
      </c>
      <c r="O54" s="66">
        <v>60</v>
      </c>
      <c r="P54" s="30">
        <v>155.98500000000001</v>
      </c>
      <c r="Q54" s="7">
        <f t="shared" si="22"/>
        <v>43.601910692630732</v>
      </c>
      <c r="R54" s="67">
        <f t="shared" si="23"/>
        <v>1586.9590099941206</v>
      </c>
      <c r="S54" s="30">
        <v>120</v>
      </c>
      <c r="T54" s="113">
        <v>370.94299999999998</v>
      </c>
      <c r="U54" s="7">
        <f t="shared" si="24"/>
        <v>103.68832617275071</v>
      </c>
      <c r="V54" s="67">
        <f t="shared" si="25"/>
        <v>3773.8970801310966</v>
      </c>
      <c r="W54" s="30">
        <v>180</v>
      </c>
      <c r="X54" s="112">
        <v>300.36200000000002</v>
      </c>
      <c r="Y54" s="155">
        <f t="shared" si="26"/>
        <v>83.959080036285215</v>
      </c>
      <c r="Z54" s="156">
        <f>((Y54*$H$18*$H$19)/($H$20*$H$21*$F54))*1000*2.45</f>
        <v>7486.7605621799694</v>
      </c>
      <c r="AA54" s="69">
        <v>240</v>
      </c>
      <c r="AB54" s="112">
        <v>22.227</v>
      </c>
      <c r="AC54" s="155">
        <f t="shared" si="28"/>
        <v>6.2130311822617763</v>
      </c>
      <c r="AD54" s="156">
        <f>((AC54*$H$18*$H$19)/($H$20*$H$21*$F54))*1000*2.45</f>
        <v>554.02556586909861</v>
      </c>
      <c r="AE54" s="70">
        <f t="shared" si="30"/>
        <v>1586.9590099941206</v>
      </c>
      <c r="AF54" s="70">
        <f t="shared" si="31"/>
        <v>3773.8970801310966</v>
      </c>
      <c r="AG54" s="70">
        <f t="shared" ref="AG54:AG56" si="36">Z54</f>
        <v>7486.7605621799694</v>
      </c>
      <c r="AH54" s="70"/>
      <c r="AI54" s="71">
        <f t="shared" si="34"/>
        <v>0.97818812819593326</v>
      </c>
      <c r="AJ54" s="72">
        <f t="shared" si="35"/>
        <v>49.165012934882071</v>
      </c>
      <c r="AK54" s="73">
        <f t="shared" si="21"/>
        <v>2949.9007760929244</v>
      </c>
    </row>
    <row r="55" spans="1:37">
      <c r="A55" s="3">
        <f>'Exptl Setup'!A69</f>
        <v>62</v>
      </c>
      <c r="B55" s="3" t="str">
        <f>'Exptl Setup'!C69</f>
        <v>b</v>
      </c>
      <c r="C55" s="3">
        <f>'Exptl Setup'!D69</f>
        <v>24</v>
      </c>
      <c r="D55" s="3" t="str">
        <f>'Exptl Setup'!E69</f>
        <v>+</v>
      </c>
      <c r="E55" s="111">
        <f>'Exptl Setup'!K69</f>
        <v>15.996987938964294</v>
      </c>
      <c r="F55" s="63">
        <f>'Exptl Setup'!F69</f>
        <v>32.003</v>
      </c>
      <c r="G55" s="64">
        <f>'Exptl Setup'!$C$5</f>
        <v>1.2793390913194711</v>
      </c>
      <c r="H55" s="7">
        <f t="shared" si="2"/>
        <v>25.015260001938255</v>
      </c>
      <c r="I55" s="8">
        <f t="shared" si="3"/>
        <v>9.4397207554483984</v>
      </c>
      <c r="J55" s="8">
        <f t="shared" si="4"/>
        <v>6.9877399980617447</v>
      </c>
      <c r="K55" s="8">
        <f>'Exptl Setup'!H69+'Exptl Setup'!I69+'Exptl Setup'!J69+5</f>
        <v>23.003024686832862</v>
      </c>
      <c r="L55" s="8">
        <f t="shared" si="5"/>
        <v>29.990764684894607</v>
      </c>
      <c r="M55" s="44">
        <v>300</v>
      </c>
      <c r="N55" s="65">
        <f t="shared" si="6"/>
        <v>260.56951455965702</v>
      </c>
      <c r="O55" s="66">
        <v>60</v>
      </c>
      <c r="P55" s="30">
        <v>0</v>
      </c>
      <c r="Q55" s="7">
        <f t="shared" si="22"/>
        <v>0</v>
      </c>
      <c r="R55" s="67">
        <f t="shared" si="23"/>
        <v>0</v>
      </c>
      <c r="S55" s="30">
        <v>120</v>
      </c>
      <c r="T55" s="113">
        <v>389.726</v>
      </c>
      <c r="U55" s="7">
        <f t="shared" si="24"/>
        <v>108.93764487007076</v>
      </c>
      <c r="V55" s="67">
        <f t="shared" si="25"/>
        <v>3964.0869045878767</v>
      </c>
      <c r="W55" s="30">
        <v>180</v>
      </c>
      <c r="X55" s="112">
        <v>303.76900000000001</v>
      </c>
      <c r="Y55" s="155">
        <f t="shared" si="26"/>
        <v>84.910628093934008</v>
      </c>
      <c r="Z55" s="156">
        <f t="shared" ref="Z55:Z56" si="37">((Y55*$H$18*$H$19)/($H$20*$H$21*$F55))*1000*2.45</f>
        <v>7569.9554342112151</v>
      </c>
      <c r="AA55" s="69">
        <v>240</v>
      </c>
      <c r="AB55" s="112">
        <v>420.59699999999998</v>
      </c>
      <c r="AC55" s="155">
        <f t="shared" si="28"/>
        <v>117.56682032868515</v>
      </c>
      <c r="AD55" s="156">
        <f t="shared" ref="AD55:AD56" si="38">((AC55*$H$18*$H$19)/($H$20*$H$21*$F55))*1000*2.45</f>
        <v>10481.321483637019</v>
      </c>
      <c r="AE55" s="70"/>
      <c r="AF55" s="70">
        <f t="shared" si="31"/>
        <v>3964.0869045878767</v>
      </c>
      <c r="AG55" s="70">
        <f t="shared" si="36"/>
        <v>7569.9554342112151</v>
      </c>
      <c r="AH55" s="70">
        <f t="shared" ref="AH55:AH56" si="39">AD55</f>
        <v>10481.321483637019</v>
      </c>
      <c r="AI55" s="71">
        <f t="shared" si="34"/>
        <v>0.9962289802039429</v>
      </c>
      <c r="AJ55" s="72">
        <f t="shared" si="35"/>
        <v>54.31028815874285</v>
      </c>
      <c r="AK55" s="73">
        <f t="shared" si="21"/>
        <v>3258.6172895245709</v>
      </c>
    </row>
    <row r="56" spans="1:37">
      <c r="A56" s="3">
        <f>'Exptl Setup'!A70</f>
        <v>63</v>
      </c>
      <c r="B56" s="3" t="str">
        <f>'Exptl Setup'!C70</f>
        <v>c</v>
      </c>
      <c r="C56" s="3">
        <f>'Exptl Setup'!D70</f>
        <v>24</v>
      </c>
      <c r="D56" s="3" t="str">
        <f>'Exptl Setup'!E70</f>
        <v>+</v>
      </c>
      <c r="E56" s="111">
        <f>'Exptl Setup'!K70</f>
        <v>15.995988283414286</v>
      </c>
      <c r="F56" s="63">
        <f>'Exptl Setup'!F70</f>
        <v>32.005000000000003</v>
      </c>
      <c r="G56" s="64">
        <f>'Exptl Setup'!$C$5</f>
        <v>1.2793390913194711</v>
      </c>
      <c r="H56" s="7">
        <f t="shared" si="2"/>
        <v>25.016823309128331</v>
      </c>
      <c r="I56" s="8">
        <f t="shared" si="3"/>
        <v>9.4403106826899368</v>
      </c>
      <c r="J56" s="8">
        <f t="shared" si="4"/>
        <v>6.988176690871672</v>
      </c>
      <c r="K56" s="8">
        <f>'Exptl Setup'!H70+'Exptl Setup'!I70+'Exptl Setup'!J70+5</f>
        <v>23.003024686832862</v>
      </c>
      <c r="L56" s="8">
        <f t="shared" si="5"/>
        <v>29.991201377704535</v>
      </c>
      <c r="M56" s="44">
        <v>300</v>
      </c>
      <c r="N56" s="65">
        <f t="shared" si="6"/>
        <v>260.56848793960552</v>
      </c>
      <c r="O56" s="66">
        <v>60</v>
      </c>
      <c r="P56" s="30">
        <v>155.39599999999999</v>
      </c>
      <c r="Q56" s="7">
        <f t="shared" si="22"/>
        <v>43.436744796774072</v>
      </c>
      <c r="R56" s="67">
        <f t="shared" si="23"/>
        <v>1580.5029696022054</v>
      </c>
      <c r="S56" s="30">
        <v>120</v>
      </c>
      <c r="T56" s="113">
        <v>383.48200000000003</v>
      </c>
      <c r="U56" s="7">
        <f t="shared" si="24"/>
        <v>107.19201117246594</v>
      </c>
      <c r="V56" s="67">
        <f t="shared" si="25"/>
        <v>3900.3220146528415</v>
      </c>
      <c r="W56" s="30">
        <v>180</v>
      </c>
      <c r="X56" s="112">
        <v>300.75400000000002</v>
      </c>
      <c r="Y56" s="155">
        <f t="shared" si="26"/>
        <v>84.067638450211021</v>
      </c>
      <c r="Z56" s="156">
        <f t="shared" si="37"/>
        <v>7494.3328386404255</v>
      </c>
      <c r="AA56" s="69">
        <v>240</v>
      </c>
      <c r="AB56" s="112">
        <v>415.733</v>
      </c>
      <c r="AC56" s="155">
        <f t="shared" si="28"/>
        <v>116.20690509792578</v>
      </c>
      <c r="AD56" s="156">
        <f t="shared" si="38"/>
        <v>10359.434867055796</v>
      </c>
      <c r="AE56" s="70">
        <f t="shared" si="30"/>
        <v>1580.5029696022054</v>
      </c>
      <c r="AF56" s="70">
        <f t="shared" si="31"/>
        <v>3900.3220146528415</v>
      </c>
      <c r="AG56" s="70">
        <f t="shared" si="36"/>
        <v>7494.3328386404255</v>
      </c>
      <c r="AH56" s="70">
        <f t="shared" si="39"/>
        <v>10359.434867055796</v>
      </c>
      <c r="AI56" s="71">
        <f t="shared" si="34"/>
        <v>0.99389907827849167</v>
      </c>
      <c r="AJ56" s="72">
        <f t="shared" si="35"/>
        <v>49.884677527247256</v>
      </c>
      <c r="AK56" s="73">
        <f t="shared" si="21"/>
        <v>2993.0806516348352</v>
      </c>
    </row>
    <row r="57" spans="1:37">
      <c r="A57" s="3">
        <f>'Exptl Setup'!A74</f>
        <v>67</v>
      </c>
      <c r="B57" s="3" t="str">
        <f>'Exptl Setup'!C74</f>
        <v>a</v>
      </c>
      <c r="C57" s="3">
        <f>'Exptl Setup'!D74</f>
        <v>24</v>
      </c>
      <c r="D57" s="3" t="str">
        <f>'Exptl Setup'!E74</f>
        <v>+</v>
      </c>
      <c r="E57" s="111">
        <f>'Exptl Setup'!K74</f>
        <v>19.999984569282837</v>
      </c>
      <c r="F57" s="63">
        <f>'Exptl Setup'!F74</f>
        <v>31.997</v>
      </c>
      <c r="G57" s="64">
        <f>'Exptl Setup'!$C$5</f>
        <v>1.2793390913194711</v>
      </c>
      <c r="H57" s="7">
        <f t="shared" ref="H57:H59" si="40">F57/G57</f>
        <v>25.010570080368041</v>
      </c>
      <c r="I57" s="8">
        <f t="shared" ref="I57:I89" si="41">H57/H$16</f>
        <v>9.4379509737237886</v>
      </c>
      <c r="J57" s="8">
        <f t="shared" ref="J57:J59" si="42">F57-H57</f>
        <v>6.9864299196319593</v>
      </c>
      <c r="K57" s="8">
        <f>'Exptl Setup'!H74+'Exptl Setup'!I74+'Exptl Setup'!J74+5</f>
        <v>23.003024686832859</v>
      </c>
      <c r="L57" s="8">
        <f t="shared" ref="L57:L59" si="43">J57+K57</f>
        <v>29.989454606464818</v>
      </c>
      <c r="M57" s="44">
        <v>300</v>
      </c>
      <c r="N57" s="65">
        <f t="shared" ref="N57:N59" si="44">M57-(I57+L57)</f>
        <v>260.57259441981137</v>
      </c>
      <c r="O57" s="66">
        <v>60</v>
      </c>
      <c r="P57" s="30">
        <v>0.23300000000000001</v>
      </c>
      <c r="Q57" s="7">
        <f t="shared" si="22"/>
        <v>6.5129541627345633E-2</v>
      </c>
      <c r="R57" s="67">
        <f t="shared" si="23"/>
        <v>2.3704163653121411</v>
      </c>
      <c r="S57" s="30">
        <v>120</v>
      </c>
      <c r="T57" s="113">
        <v>2.16</v>
      </c>
      <c r="U57" s="7">
        <f t="shared" si="24"/>
        <v>0.60377600821916977</v>
      </c>
      <c r="V57" s="67">
        <f t="shared" si="25"/>
        <v>21.974675317915128</v>
      </c>
      <c r="W57" s="30">
        <v>180</v>
      </c>
      <c r="X57" s="113">
        <v>5.6159999999999997</v>
      </c>
      <c r="Y57" s="7">
        <f t="shared" si="26"/>
        <v>1.5698176213698412</v>
      </c>
      <c r="Z57" s="67">
        <f t="shared" si="27"/>
        <v>57.134155826579317</v>
      </c>
      <c r="AA57" s="69">
        <v>240</v>
      </c>
      <c r="AB57" s="113">
        <v>8.173</v>
      </c>
      <c r="AC57" s="7">
        <f t="shared" si="28"/>
        <v>2.284565423692257</v>
      </c>
      <c r="AD57" s="67">
        <f t="shared" si="29"/>
        <v>83.147695080240908</v>
      </c>
      <c r="AE57" s="70">
        <f t="shared" si="30"/>
        <v>2.3704163653121411</v>
      </c>
      <c r="AF57" s="70">
        <f t="shared" si="31"/>
        <v>21.974675317915128</v>
      </c>
      <c r="AG57" s="70">
        <f t="shared" si="32"/>
        <v>57.134155826579317</v>
      </c>
      <c r="AH57" s="70">
        <f t="shared" si="33"/>
        <v>83.147695080240908</v>
      </c>
      <c r="AI57" s="71">
        <f t="shared" si="34"/>
        <v>0.98951974374586282</v>
      </c>
      <c r="AJ57" s="72">
        <f t="shared" si="35"/>
        <v>0.4624855277557508</v>
      </c>
      <c r="AK57" s="73">
        <f t="shared" si="21"/>
        <v>27.749131665345047</v>
      </c>
    </row>
    <row r="58" spans="1:37">
      <c r="A58" s="3">
        <f>'Exptl Setup'!A75</f>
        <v>68</v>
      </c>
      <c r="B58" s="3" t="str">
        <f>'Exptl Setup'!C75</f>
        <v>b</v>
      </c>
      <c r="C58" s="3">
        <f>'Exptl Setup'!D75</f>
        <v>24</v>
      </c>
      <c r="D58" s="3" t="str">
        <f>'Exptl Setup'!E75</f>
        <v>+</v>
      </c>
      <c r="E58" s="111">
        <f>'Exptl Setup'!K75</f>
        <v>19.998109570729465</v>
      </c>
      <c r="F58" s="63">
        <f>'Exptl Setup'!F75</f>
        <v>32</v>
      </c>
      <c r="G58" s="64">
        <f>'Exptl Setup'!$C$5</f>
        <v>1.2793390913194711</v>
      </c>
      <c r="H58" s="7">
        <f t="shared" si="40"/>
        <v>25.01291504115315</v>
      </c>
      <c r="I58" s="8">
        <f t="shared" si="41"/>
        <v>9.4388358645860944</v>
      </c>
      <c r="J58" s="8">
        <f t="shared" si="42"/>
        <v>6.9870849588468502</v>
      </c>
      <c r="K58" s="8">
        <f>'Exptl Setup'!H75+'Exptl Setup'!I75+'Exptl Setup'!J75+5</f>
        <v>23.003024686832859</v>
      </c>
      <c r="L58" s="8">
        <f t="shared" si="43"/>
        <v>29.990109645679709</v>
      </c>
      <c r="M58" s="44">
        <v>300</v>
      </c>
      <c r="N58" s="65">
        <f t="shared" si="44"/>
        <v>260.57105448973419</v>
      </c>
      <c r="O58" s="66">
        <v>60</v>
      </c>
      <c r="P58" s="30">
        <v>0.105</v>
      </c>
      <c r="Q58" s="7">
        <f t="shared" si="22"/>
        <v>2.9350104397509399E-2</v>
      </c>
      <c r="R58" s="67">
        <f t="shared" si="23"/>
        <v>1.0681089360881963</v>
      </c>
      <c r="S58" s="30">
        <v>120</v>
      </c>
      <c r="T58" s="113">
        <v>0.188</v>
      </c>
      <c r="U58" s="7">
        <f t="shared" si="24"/>
        <v>5.2550663111731115E-2</v>
      </c>
      <c r="V58" s="67">
        <f t="shared" si="25"/>
        <v>1.9124236189007713</v>
      </c>
      <c r="W58" s="30">
        <v>180</v>
      </c>
      <c r="X58" s="113">
        <v>0.56399999999999995</v>
      </c>
      <c r="Y58" s="7">
        <f t="shared" si="26"/>
        <v>0.15765198933519334</v>
      </c>
      <c r="Z58" s="67">
        <f t="shared" si="27"/>
        <v>5.7372708567023123</v>
      </c>
      <c r="AA58" s="69">
        <v>240</v>
      </c>
      <c r="AB58" s="113">
        <v>0.753</v>
      </c>
      <c r="AC58" s="7">
        <f t="shared" si="28"/>
        <v>0.21048217725071025</v>
      </c>
      <c r="AD58" s="67">
        <f t="shared" si="29"/>
        <v>7.6598669416610656</v>
      </c>
      <c r="AE58" s="70">
        <f t="shared" si="30"/>
        <v>1.0681089360881963</v>
      </c>
      <c r="AF58" s="70">
        <f t="shared" si="31"/>
        <v>1.9124236189007713</v>
      </c>
      <c r="AG58" s="70">
        <f t="shared" si="32"/>
        <v>5.7372708567023123</v>
      </c>
      <c r="AH58" s="70">
        <f t="shared" si="33"/>
        <v>7.6598669416610656</v>
      </c>
      <c r="AI58" s="71">
        <f t="shared" si="34"/>
        <v>0.94944769605819768</v>
      </c>
      <c r="AJ58" s="72">
        <f t="shared" si="35"/>
        <v>3.9333535424200247E-2</v>
      </c>
      <c r="AK58" s="73">
        <f t="shared" si="21"/>
        <v>2.3600121254520148</v>
      </c>
    </row>
    <row r="59" spans="1:37">
      <c r="A59" s="3">
        <f>'Exptl Setup'!A76</f>
        <v>69</v>
      </c>
      <c r="B59" s="3" t="str">
        <f>'Exptl Setup'!C76</f>
        <v>c</v>
      </c>
      <c r="C59" s="3">
        <f>'Exptl Setup'!D76</f>
        <v>24</v>
      </c>
      <c r="D59" s="3" t="str">
        <f>'Exptl Setup'!E76</f>
        <v>+</v>
      </c>
      <c r="E59" s="111">
        <f>'Exptl Setup'!K76</f>
        <v>19.999984569282837</v>
      </c>
      <c r="F59" s="63">
        <f>'Exptl Setup'!F76</f>
        <v>31.997</v>
      </c>
      <c r="G59" s="64">
        <f>'Exptl Setup'!$C$5</f>
        <v>1.2793390913194711</v>
      </c>
      <c r="H59" s="7">
        <f t="shared" si="40"/>
        <v>25.010570080368041</v>
      </c>
      <c r="I59" s="8">
        <f t="shared" si="41"/>
        <v>9.4379509737237886</v>
      </c>
      <c r="J59" s="8">
        <f t="shared" si="42"/>
        <v>6.9864299196319593</v>
      </c>
      <c r="K59" s="8">
        <f>'Exptl Setup'!H76+'Exptl Setup'!I76+'Exptl Setup'!J76+5</f>
        <v>23.003024686832859</v>
      </c>
      <c r="L59" s="8">
        <f t="shared" si="43"/>
        <v>29.989454606464818</v>
      </c>
      <c r="M59" s="44">
        <v>300</v>
      </c>
      <c r="N59" s="65">
        <f t="shared" si="44"/>
        <v>260.57259441981137</v>
      </c>
      <c r="O59" s="66">
        <v>60</v>
      </c>
      <c r="P59" s="30">
        <v>8.1000000000000003E-2</v>
      </c>
      <c r="Q59" s="7">
        <f t="shared" si="22"/>
        <v>2.2641600308218865E-2</v>
      </c>
      <c r="R59" s="67">
        <f t="shared" si="23"/>
        <v>0.82405032442181714</v>
      </c>
      <c r="S59" s="30">
        <v>120</v>
      </c>
      <c r="T59" s="113">
        <v>0.16200000000000001</v>
      </c>
      <c r="U59" s="7">
        <f t="shared" si="24"/>
        <v>4.528320061643773E-2</v>
      </c>
      <c r="V59" s="67">
        <f t="shared" si="25"/>
        <v>1.6481006488436343</v>
      </c>
      <c r="W59" s="30">
        <v>180</v>
      </c>
      <c r="X59" s="113">
        <v>0.434</v>
      </c>
      <c r="Y59" s="7">
        <f t="shared" si="26"/>
        <v>0.12131425350329615</v>
      </c>
      <c r="Z59" s="67">
        <f t="shared" si="27"/>
        <v>4.4152819851736878</v>
      </c>
      <c r="AA59" s="69">
        <v>240</v>
      </c>
      <c r="AB59" s="113">
        <v>0.36299999999999999</v>
      </c>
      <c r="AC59" s="7">
        <f t="shared" si="28"/>
        <v>0.10146791249238825</v>
      </c>
      <c r="AD59" s="67">
        <f t="shared" si="29"/>
        <v>3.6929662687051814</v>
      </c>
      <c r="AE59" s="70">
        <f t="shared" si="30"/>
        <v>0.82405032442181714</v>
      </c>
      <c r="AF59" s="70">
        <f t="shared" si="31"/>
        <v>1.6481006488436343</v>
      </c>
      <c r="AG59" s="70">
        <f t="shared" si="32"/>
        <v>4.4152819851736878</v>
      </c>
      <c r="AH59" s="70">
        <f t="shared" si="33"/>
        <v>3.6929662687051814</v>
      </c>
      <c r="AI59" s="71">
        <f t="shared" si="34"/>
        <v>0.75725433175814849</v>
      </c>
      <c r="AJ59" s="72">
        <f t="shared" si="35"/>
        <v>1.8956548615300245E-2</v>
      </c>
      <c r="AK59" s="73">
        <f t="shared" si="21"/>
        <v>1.1373929169180146</v>
      </c>
    </row>
    <row r="60" spans="1:37">
      <c r="A60" s="3">
        <f>'Exptl Setup'!A80</f>
        <v>73</v>
      </c>
      <c r="B60" s="3" t="str">
        <f>'Exptl Setup'!C80</f>
        <v>a</v>
      </c>
      <c r="C60" s="3">
        <f>'Exptl Setup'!D80</f>
        <v>24</v>
      </c>
      <c r="D60" s="3" t="str">
        <f>'Exptl Setup'!E80</f>
        <v>-</v>
      </c>
      <c r="E60" s="111">
        <f>'Exptl Setup'!K80</f>
        <v>0</v>
      </c>
      <c r="F60" s="63">
        <f>'Exptl Setup'!F80</f>
        <v>32.002000000000002</v>
      </c>
      <c r="G60" s="64">
        <f>'Exptl Setup'!$C$5</f>
        <v>1.2793390913194711</v>
      </c>
      <c r="H60" s="7">
        <f t="shared" ref="H60:H80" si="45">F60/G60</f>
        <v>25.014478348343221</v>
      </c>
      <c r="I60" s="8">
        <f t="shared" si="41"/>
        <v>9.439425791827631</v>
      </c>
      <c r="J60" s="8">
        <f t="shared" ref="J60:J80" si="46">F60-H60</f>
        <v>6.9875216516567811</v>
      </c>
      <c r="K60" s="8">
        <f>'Exptl Setup'!H80+'Exptl Setup'!I80+'Exptl Setup'!J80+5</f>
        <v>23.003024686832859</v>
      </c>
      <c r="L60" s="8">
        <f t="shared" ref="L60:L80" si="47">J60+K60</f>
        <v>29.99054633848964</v>
      </c>
      <c r="M60" s="44">
        <v>300</v>
      </c>
      <c r="N60" s="65">
        <f t="shared" ref="N60:N80" si="48">M60-(I60+L60)</f>
        <v>260.57002786968275</v>
      </c>
      <c r="O60" s="66">
        <v>60</v>
      </c>
      <c r="P60" s="30">
        <v>34.695</v>
      </c>
      <c r="Q60" s="7">
        <f t="shared" si="22"/>
        <v>9.6980870242338284</v>
      </c>
      <c r="R60" s="67">
        <f t="shared" si="23"/>
        <v>352.91070520166716</v>
      </c>
      <c r="S60" s="30">
        <v>120</v>
      </c>
      <c r="T60" s="113">
        <v>48.238999999999997</v>
      </c>
      <c r="U60" s="7">
        <f t="shared" si="24"/>
        <v>13.483960800173383</v>
      </c>
      <c r="V60" s="67">
        <f t="shared" si="25"/>
        <v>490.67760507921076</v>
      </c>
      <c r="W60" s="30">
        <v>180</v>
      </c>
      <c r="X60" s="113">
        <v>60.960999999999999</v>
      </c>
      <c r="Y60" s="7">
        <f t="shared" si="26"/>
        <v>17.040065804419033</v>
      </c>
      <c r="Z60" s="67">
        <f t="shared" si="27"/>
        <v>620.08328288799044</v>
      </c>
      <c r="AA60" s="69">
        <v>240</v>
      </c>
      <c r="AB60" s="113">
        <v>67.566000000000003</v>
      </c>
      <c r="AC60" s="7">
        <f t="shared" si="28"/>
        <v>18.886322175511825</v>
      </c>
      <c r="AD60" s="67">
        <f t="shared" si="29"/>
        <v>687.26804172520087</v>
      </c>
      <c r="AE60" s="70">
        <f t="shared" si="30"/>
        <v>352.91070520166716</v>
      </c>
      <c r="AF60" s="70">
        <f t="shared" si="31"/>
        <v>490.67760507921076</v>
      </c>
      <c r="AG60" s="70">
        <f t="shared" si="32"/>
        <v>620.08328288799044</v>
      </c>
      <c r="AH60" s="70">
        <f t="shared" si="33"/>
        <v>687.26804172520087</v>
      </c>
      <c r="AI60" s="71">
        <f t="shared" si="34"/>
        <v>0.978776062455606</v>
      </c>
      <c r="AJ60" s="72">
        <f t="shared" si="35"/>
        <v>1.8874628122989678</v>
      </c>
      <c r="AK60" s="73">
        <f t="shared" si="21"/>
        <v>113.24776873793807</v>
      </c>
    </row>
    <row r="61" spans="1:37">
      <c r="A61" s="3">
        <f>'Exptl Setup'!A81</f>
        <v>74</v>
      </c>
      <c r="B61" s="3" t="str">
        <f>'Exptl Setup'!C81</f>
        <v>b</v>
      </c>
      <c r="C61" s="3">
        <f>'Exptl Setup'!D81</f>
        <v>24</v>
      </c>
      <c r="D61" s="3" t="str">
        <f>'Exptl Setup'!E81</f>
        <v>-</v>
      </c>
      <c r="E61" s="111">
        <f>'Exptl Setup'!K81</f>
        <v>0</v>
      </c>
      <c r="F61" s="63">
        <f>'Exptl Setup'!F81</f>
        <v>31.992000000000001</v>
      </c>
      <c r="G61" s="64">
        <f>'Exptl Setup'!$C$5</f>
        <v>1.2793390913194711</v>
      </c>
      <c r="H61" s="7">
        <f t="shared" si="45"/>
        <v>25.00666181239286</v>
      </c>
      <c r="I61" s="8">
        <f t="shared" si="41"/>
        <v>9.4364761556199479</v>
      </c>
      <c r="J61" s="8">
        <f t="shared" si="46"/>
        <v>6.985338187607141</v>
      </c>
      <c r="K61" s="8">
        <f>'Exptl Setup'!H81+'Exptl Setup'!I81+'Exptl Setup'!J81+5</f>
        <v>23.003024686832859</v>
      </c>
      <c r="L61" s="8">
        <f t="shared" si="47"/>
        <v>29.98836287444</v>
      </c>
      <c r="M61" s="44">
        <v>300</v>
      </c>
      <c r="N61" s="65">
        <f t="shared" si="48"/>
        <v>260.57516096994004</v>
      </c>
      <c r="O61" s="66">
        <v>60</v>
      </c>
      <c r="P61" s="30">
        <v>34.338999999999999</v>
      </c>
      <c r="Q61" s="7">
        <f t="shared" si="22"/>
        <v>9.5987053407618603</v>
      </c>
      <c r="R61" s="67">
        <f t="shared" si="23"/>
        <v>349.4034149633884</v>
      </c>
      <c r="S61" s="30">
        <v>120</v>
      </c>
      <c r="T61" s="113">
        <v>51.981000000000002</v>
      </c>
      <c r="U61" s="7">
        <f t="shared" si="24"/>
        <v>14.530134899622654</v>
      </c>
      <c r="V61" s="67">
        <f t="shared" si="25"/>
        <v>528.91286622242615</v>
      </c>
      <c r="W61" s="30">
        <v>180</v>
      </c>
      <c r="X61" s="113">
        <v>65.081999999999994</v>
      </c>
      <c r="Y61" s="7">
        <f t="shared" si="26"/>
        <v>18.192228690045233</v>
      </c>
      <c r="Z61" s="67">
        <f t="shared" si="27"/>
        <v>662.217101623438</v>
      </c>
      <c r="AA61" s="69">
        <v>240</v>
      </c>
      <c r="AB61" s="113">
        <v>73.811999999999998</v>
      </c>
      <c r="AC61" s="7">
        <f t="shared" si="28"/>
        <v>20.632506439101732</v>
      </c>
      <c r="AD61" s="67">
        <f t="shared" si="29"/>
        <v>751.04589141435736</v>
      </c>
      <c r="AE61" s="70">
        <f t="shared" si="30"/>
        <v>349.4034149633884</v>
      </c>
      <c r="AF61" s="70">
        <f t="shared" si="31"/>
        <v>528.91286622242615</v>
      </c>
      <c r="AG61" s="70">
        <f t="shared" si="32"/>
        <v>662.217101623438</v>
      </c>
      <c r="AH61" s="70">
        <f t="shared" si="33"/>
        <v>751.04589141435736</v>
      </c>
      <c r="AI61" s="71">
        <f t="shared" si="34"/>
        <v>0.97755550745591613</v>
      </c>
      <c r="AJ61" s="72">
        <f t="shared" si="35"/>
        <v>2.2303861079231977</v>
      </c>
      <c r="AK61" s="73">
        <f t="shared" si="21"/>
        <v>133.82316647539187</v>
      </c>
    </row>
    <row r="62" spans="1:37">
      <c r="A62" s="3">
        <f>'Exptl Setup'!A82</f>
        <v>75</v>
      </c>
      <c r="B62" s="3" t="str">
        <f>'Exptl Setup'!C82</f>
        <v>c</v>
      </c>
      <c r="C62" s="3">
        <f>'Exptl Setup'!D82</f>
        <v>24</v>
      </c>
      <c r="D62" s="3" t="str">
        <f>'Exptl Setup'!E82</f>
        <v>-</v>
      </c>
      <c r="E62" s="111">
        <f>'Exptl Setup'!K82</f>
        <v>0</v>
      </c>
      <c r="F62" s="63">
        <f>'Exptl Setup'!F82</f>
        <v>31.998999999999999</v>
      </c>
      <c r="G62" s="64">
        <f>'Exptl Setup'!$C$5</f>
        <v>1.2793390913194711</v>
      </c>
      <c r="H62" s="7">
        <f t="shared" si="45"/>
        <v>25.012133387558112</v>
      </c>
      <c r="I62" s="8">
        <f t="shared" si="41"/>
        <v>9.4385409009653252</v>
      </c>
      <c r="J62" s="8">
        <f t="shared" si="46"/>
        <v>6.9868666124418866</v>
      </c>
      <c r="K62" s="8">
        <f>'Exptl Setup'!H82+'Exptl Setup'!I82+'Exptl Setup'!J82+5</f>
        <v>23.003024686832859</v>
      </c>
      <c r="L62" s="8">
        <f t="shared" si="47"/>
        <v>29.989891299274746</v>
      </c>
      <c r="M62" s="44">
        <v>300</v>
      </c>
      <c r="N62" s="65">
        <f t="shared" si="48"/>
        <v>260.57156779975992</v>
      </c>
      <c r="O62" s="66">
        <v>60</v>
      </c>
      <c r="P62" s="30">
        <v>33.975000000000001</v>
      </c>
      <c r="Q62" s="7">
        <f t="shared" si="22"/>
        <v>9.4968679599531303</v>
      </c>
      <c r="R62" s="67">
        <f t="shared" si="23"/>
        <v>345.62079901632586</v>
      </c>
      <c r="S62" s="30">
        <v>120</v>
      </c>
      <c r="T62" s="113">
        <v>48.125</v>
      </c>
      <c r="U62" s="7">
        <f t="shared" si="24"/>
        <v>13.452149244230887</v>
      </c>
      <c r="V62" s="67">
        <f t="shared" si="25"/>
        <v>489.56588528802592</v>
      </c>
      <c r="W62" s="30">
        <v>180</v>
      </c>
      <c r="X62" s="113">
        <v>58.448</v>
      </c>
      <c r="Y62" s="7">
        <f t="shared" si="26"/>
        <v>16.337687668089494</v>
      </c>
      <c r="Z62" s="67">
        <f t="shared" si="27"/>
        <v>594.57967508186061</v>
      </c>
      <c r="AA62" s="69">
        <v>240</v>
      </c>
      <c r="AB62" s="113">
        <v>2.5000000000000001E-2</v>
      </c>
      <c r="AC62" s="7">
        <f t="shared" si="28"/>
        <v>6.9881294775225389E-3</v>
      </c>
      <c r="AD62" s="67">
        <f t="shared" si="29"/>
        <v>0.25431994040936418</v>
      </c>
      <c r="AE62" s="70">
        <f t="shared" si="30"/>
        <v>345.62079901632586</v>
      </c>
      <c r="AF62" s="70">
        <f t="shared" si="31"/>
        <v>489.56588528802592</v>
      </c>
      <c r="AG62" s="70">
        <f t="shared" si="32"/>
        <v>594.57967508186061</v>
      </c>
      <c r="AH62" s="70"/>
      <c r="AI62" s="71">
        <f t="shared" si="34"/>
        <v>0.99191471039598789</v>
      </c>
      <c r="AJ62" s="72">
        <f t="shared" si="35"/>
        <v>2.0746573005461229</v>
      </c>
      <c r="AK62" s="73">
        <f t="shared" si="21"/>
        <v>124.47943803276738</v>
      </c>
    </row>
    <row r="63" spans="1:37">
      <c r="A63" s="3">
        <f>'Exptl Setup'!A86</f>
        <v>79</v>
      </c>
      <c r="B63" s="3" t="str">
        <f>'Exptl Setup'!C86</f>
        <v>a</v>
      </c>
      <c r="C63" s="3">
        <f>'Exptl Setup'!D86</f>
        <v>24</v>
      </c>
      <c r="D63" s="3" t="str">
        <f>'Exptl Setup'!E86</f>
        <v>-</v>
      </c>
      <c r="E63" s="111">
        <f>'Exptl Setup'!K86</f>
        <v>5.9999953707848501</v>
      </c>
      <c r="F63" s="63">
        <f>'Exptl Setup'!F86</f>
        <v>31.997</v>
      </c>
      <c r="G63" s="64">
        <f>'Exptl Setup'!$C$5</f>
        <v>1.2793390913194711</v>
      </c>
      <c r="H63" s="7">
        <f t="shared" si="45"/>
        <v>25.010570080368041</v>
      </c>
      <c r="I63" s="8">
        <f t="shared" si="41"/>
        <v>9.4379509737237886</v>
      </c>
      <c r="J63" s="8">
        <f t="shared" si="46"/>
        <v>6.9864299196319593</v>
      </c>
      <c r="K63" s="8">
        <f>'Exptl Setup'!H86+'Exptl Setup'!I86+'Exptl Setup'!J86+5</f>
        <v>23.003024686832859</v>
      </c>
      <c r="L63" s="8">
        <f t="shared" si="47"/>
        <v>29.989454606464818</v>
      </c>
      <c r="M63" s="44">
        <v>300</v>
      </c>
      <c r="N63" s="65">
        <f t="shared" si="48"/>
        <v>260.57259441981137</v>
      </c>
      <c r="O63" s="66">
        <v>60</v>
      </c>
      <c r="P63" s="30">
        <v>10.085000000000001</v>
      </c>
      <c r="Q63" s="7">
        <f t="shared" si="22"/>
        <v>2.8190190013381149</v>
      </c>
      <c r="R63" s="67">
        <f t="shared" si="23"/>
        <v>102.59935212091393</v>
      </c>
      <c r="S63" s="30">
        <v>120</v>
      </c>
      <c r="T63" s="113">
        <v>15.792</v>
      </c>
      <c r="U63" s="7">
        <f t="shared" si="24"/>
        <v>4.4142734823134848</v>
      </c>
      <c r="V63" s="67">
        <f t="shared" si="25"/>
        <v>160.65929287986833</v>
      </c>
      <c r="W63" s="30">
        <v>180</v>
      </c>
      <c r="X63" s="113">
        <v>21.503</v>
      </c>
      <c r="Y63" s="7">
        <f t="shared" si="26"/>
        <v>6.010646067007781</v>
      </c>
      <c r="Z63" s="67">
        <f t="shared" si="27"/>
        <v>218.75992748200412</v>
      </c>
      <c r="AA63" s="69">
        <v>240</v>
      </c>
      <c r="AB63" s="113">
        <v>28.059000000000001</v>
      </c>
      <c r="AC63" s="7">
        <f t="shared" si="28"/>
        <v>7.843218062324854</v>
      </c>
      <c r="AD63" s="67">
        <f t="shared" si="29"/>
        <v>285.45713645619475</v>
      </c>
      <c r="AE63" s="70">
        <f t="shared" si="30"/>
        <v>102.59935212091393</v>
      </c>
      <c r="AF63" s="70">
        <f t="shared" si="31"/>
        <v>160.65929287986833</v>
      </c>
      <c r="AG63" s="70">
        <f t="shared" si="32"/>
        <v>218.75992748200412</v>
      </c>
      <c r="AH63" s="70">
        <f t="shared" si="33"/>
        <v>285.45713645619475</v>
      </c>
      <c r="AI63" s="71">
        <f t="shared" si="34"/>
        <v>0.99878910269495358</v>
      </c>
      <c r="AJ63" s="72">
        <f t="shared" si="35"/>
        <v>1.0111233126799639</v>
      </c>
      <c r="AK63" s="73">
        <f t="shared" si="21"/>
        <v>60.667398760797838</v>
      </c>
    </row>
    <row r="64" spans="1:37">
      <c r="A64" s="3">
        <f>'Exptl Setup'!A87</f>
        <v>80</v>
      </c>
      <c r="B64" s="3" t="str">
        <f>'Exptl Setup'!C87</f>
        <v>b</v>
      </c>
      <c r="C64" s="3">
        <f>'Exptl Setup'!D87</f>
        <v>24</v>
      </c>
      <c r="D64" s="3" t="str">
        <f>'Exptl Setup'!E87</f>
        <v>-</v>
      </c>
      <c r="E64" s="111">
        <f>'Exptl Setup'!K87</f>
        <v>6.0001828940805995</v>
      </c>
      <c r="F64" s="63">
        <f>'Exptl Setup'!F87</f>
        <v>31.995999999999999</v>
      </c>
      <c r="G64" s="64">
        <f>'Exptl Setup'!$C$5</f>
        <v>1.2793390913194711</v>
      </c>
      <c r="H64" s="7">
        <f t="shared" si="45"/>
        <v>25.009788426773003</v>
      </c>
      <c r="I64" s="8">
        <f t="shared" si="41"/>
        <v>9.4376560101030211</v>
      </c>
      <c r="J64" s="8">
        <f t="shared" si="46"/>
        <v>6.9862115732269956</v>
      </c>
      <c r="K64" s="8">
        <f>'Exptl Setup'!H87+'Exptl Setup'!I87+'Exptl Setup'!J87+5</f>
        <v>23.003024686832859</v>
      </c>
      <c r="L64" s="8">
        <f t="shared" si="47"/>
        <v>29.989236260059855</v>
      </c>
      <c r="M64" s="44">
        <v>300</v>
      </c>
      <c r="N64" s="65">
        <f t="shared" si="48"/>
        <v>260.57310772983715</v>
      </c>
      <c r="O64" s="66">
        <v>60</v>
      </c>
      <c r="P64" s="30">
        <v>8.6440000000000001</v>
      </c>
      <c r="Q64" s="7">
        <f t="shared" si="22"/>
        <v>2.4162253808193097</v>
      </c>
      <c r="R64" s="67">
        <f t="shared" si="23"/>
        <v>87.942261643037327</v>
      </c>
      <c r="S64" s="30">
        <v>120</v>
      </c>
      <c r="T64" s="113">
        <v>13.465</v>
      </c>
      <c r="U64" s="7">
        <f t="shared" si="24"/>
        <v>3.7638216974470153</v>
      </c>
      <c r="V64" s="67">
        <f t="shared" si="25"/>
        <v>136.99011488008995</v>
      </c>
      <c r="W64" s="30">
        <v>180</v>
      </c>
      <c r="X64" s="113">
        <v>17.936</v>
      </c>
      <c r="Y64" s="7">
        <f t="shared" si="26"/>
        <v>5.013583807308553</v>
      </c>
      <c r="Z64" s="67">
        <f t="shared" si="27"/>
        <v>182.47714077157767</v>
      </c>
      <c r="AA64" s="69">
        <v>240</v>
      </c>
      <c r="AB64" s="113">
        <v>22.600999999999999</v>
      </c>
      <c r="AC64" s="7">
        <f t="shared" si="28"/>
        <v>6.3175740203490527</v>
      </c>
      <c r="AD64" s="67">
        <f t="shared" si="29"/>
        <v>229.93788239174995</v>
      </c>
      <c r="AE64" s="70">
        <f t="shared" si="30"/>
        <v>87.942261643037327</v>
      </c>
      <c r="AF64" s="70">
        <f t="shared" si="31"/>
        <v>136.99011488008995</v>
      </c>
      <c r="AG64" s="70">
        <f t="shared" si="32"/>
        <v>182.47714077157767</v>
      </c>
      <c r="AH64" s="70">
        <f t="shared" si="33"/>
        <v>229.93788239174995</v>
      </c>
      <c r="AI64" s="71">
        <f t="shared" si="34"/>
        <v>0.99980557901486122</v>
      </c>
      <c r="AJ64" s="72">
        <f t="shared" si="35"/>
        <v>0.78578981356270927</v>
      </c>
      <c r="AK64" s="73">
        <f t="shared" si="21"/>
        <v>47.147388813762554</v>
      </c>
    </row>
    <row r="65" spans="1:37">
      <c r="A65" s="3">
        <f>'Exptl Setup'!A88</f>
        <v>81</v>
      </c>
      <c r="B65" s="3" t="str">
        <f>'Exptl Setup'!C88</f>
        <v>c</v>
      </c>
      <c r="C65" s="3">
        <f>'Exptl Setup'!D88</f>
        <v>24</v>
      </c>
      <c r="D65" s="3" t="str">
        <f>'Exptl Setup'!E88</f>
        <v>-</v>
      </c>
      <c r="E65" s="111">
        <f>'Exptl Setup'!K88</f>
        <v>5.997558634145669</v>
      </c>
      <c r="F65" s="63">
        <f>'Exptl Setup'!F88</f>
        <v>32.01</v>
      </c>
      <c r="G65" s="64">
        <f>'Exptl Setup'!$C$5</f>
        <v>1.2793390913194711</v>
      </c>
      <c r="H65" s="7">
        <f t="shared" si="45"/>
        <v>25.020731577103508</v>
      </c>
      <c r="I65" s="8">
        <f t="shared" si="41"/>
        <v>9.4417855007937774</v>
      </c>
      <c r="J65" s="8">
        <f t="shared" si="46"/>
        <v>6.9892684228964903</v>
      </c>
      <c r="K65" s="8">
        <f>'Exptl Setup'!H88+'Exptl Setup'!I88+'Exptl Setup'!J88+5</f>
        <v>23.003024686832859</v>
      </c>
      <c r="L65" s="8">
        <f t="shared" si="47"/>
        <v>29.992293109729349</v>
      </c>
      <c r="M65" s="44">
        <v>300</v>
      </c>
      <c r="N65" s="65">
        <f t="shared" si="48"/>
        <v>260.5659213894769</v>
      </c>
      <c r="O65" s="66">
        <v>60</v>
      </c>
      <c r="P65" s="30">
        <v>8.9779999999999998</v>
      </c>
      <c r="Q65" s="7">
        <f t="shared" si="22"/>
        <v>2.5095399925994664</v>
      </c>
      <c r="R65" s="67">
        <f t="shared" si="23"/>
        <v>91.298643185476067</v>
      </c>
      <c r="S65" s="30">
        <v>120</v>
      </c>
      <c r="T65" s="113">
        <v>15.553000000000001</v>
      </c>
      <c r="U65" s="7">
        <f t="shared" si="24"/>
        <v>4.3473909005234468</v>
      </c>
      <c r="V65" s="67">
        <f t="shared" si="25"/>
        <v>158.16081504385269</v>
      </c>
      <c r="W65" s="30">
        <v>180</v>
      </c>
      <c r="X65" s="113">
        <v>21.064</v>
      </c>
      <c r="Y65" s="7">
        <f t="shared" si="26"/>
        <v>5.8878314105719713</v>
      </c>
      <c r="Z65" s="67">
        <f t="shared" si="27"/>
        <v>214.2030095855277</v>
      </c>
      <c r="AA65" s="69">
        <v>240</v>
      </c>
      <c r="AB65" s="113">
        <v>26.95</v>
      </c>
      <c r="AC65" s="7">
        <f t="shared" si="28"/>
        <v>7.533092314608556</v>
      </c>
      <c r="AD65" s="67">
        <f t="shared" si="29"/>
        <v>274.05863598224323</v>
      </c>
      <c r="AE65" s="70">
        <f t="shared" si="30"/>
        <v>91.298643185476067</v>
      </c>
      <c r="AF65" s="70">
        <f t="shared" si="31"/>
        <v>158.16081504385269</v>
      </c>
      <c r="AG65" s="70">
        <f t="shared" si="32"/>
        <v>214.2030095855277</v>
      </c>
      <c r="AH65" s="70">
        <f t="shared" si="33"/>
        <v>274.05863598224323</v>
      </c>
      <c r="AI65" s="71">
        <f t="shared" si="34"/>
        <v>0.99874312497334705</v>
      </c>
      <c r="AJ65" s="72">
        <f t="shared" si="35"/>
        <v>1.0072036215532942</v>
      </c>
      <c r="AK65" s="73">
        <f t="shared" si="21"/>
        <v>60.432217293197652</v>
      </c>
    </row>
    <row r="66" spans="1:37">
      <c r="A66" s="3">
        <f>'Exptl Setup'!A92</f>
        <v>85</v>
      </c>
      <c r="B66" s="3" t="str">
        <f>'Exptl Setup'!C92</f>
        <v>a</v>
      </c>
      <c r="C66" s="3">
        <f>'Exptl Setup'!D92</f>
        <v>24</v>
      </c>
      <c r="D66" s="3" t="str">
        <f>'Exptl Setup'!E92</f>
        <v>-</v>
      </c>
      <c r="E66" s="111">
        <f>'Exptl Setup'!K92</f>
        <v>16.000487717548268</v>
      </c>
      <c r="F66" s="63">
        <f>'Exptl Setup'!F92</f>
        <v>31.995999999999999</v>
      </c>
      <c r="G66" s="64">
        <f>'Exptl Setup'!$C$5</f>
        <v>1.2793390913194711</v>
      </c>
      <c r="H66" s="7">
        <f t="shared" si="45"/>
        <v>25.009788426773003</v>
      </c>
      <c r="I66" s="8">
        <f t="shared" si="41"/>
        <v>9.4376560101030211</v>
      </c>
      <c r="J66" s="8">
        <f t="shared" si="46"/>
        <v>6.9862115732269956</v>
      </c>
      <c r="K66" s="8">
        <f>'Exptl Setup'!H92+'Exptl Setup'!I92+'Exptl Setup'!J92+5</f>
        <v>23.003024686832862</v>
      </c>
      <c r="L66" s="8">
        <f t="shared" si="47"/>
        <v>29.989236260059858</v>
      </c>
      <c r="M66" s="44">
        <v>300</v>
      </c>
      <c r="N66" s="65">
        <f t="shared" si="48"/>
        <v>260.57310772983715</v>
      </c>
      <c r="O66" s="66">
        <v>60</v>
      </c>
      <c r="P66" s="30">
        <v>9.1379999999999999</v>
      </c>
      <c r="Q66" s="7">
        <f t="shared" si="22"/>
        <v>2.5543113755121301</v>
      </c>
      <c r="R66" s="67">
        <f t="shared" si="23"/>
        <v>92.9681150964918</v>
      </c>
      <c r="S66" s="30">
        <v>120</v>
      </c>
      <c r="T66" s="113">
        <v>12.05</v>
      </c>
      <c r="U66" s="7">
        <f t="shared" si="24"/>
        <v>3.3682919758066499</v>
      </c>
      <c r="V66" s="67">
        <f t="shared" si="25"/>
        <v>122.59419861159184</v>
      </c>
      <c r="W66" s="30">
        <v>180</v>
      </c>
      <c r="X66" s="113">
        <v>13.867000000000001</v>
      </c>
      <c r="Y66" s="7">
        <f t="shared" si="26"/>
        <v>3.876191272075586</v>
      </c>
      <c r="Z66" s="67">
        <f t="shared" si="27"/>
        <v>141.07997943128166</v>
      </c>
      <c r="AA66" s="69">
        <v>240</v>
      </c>
      <c r="AB66" s="113">
        <v>15.397</v>
      </c>
      <c r="AC66" s="7">
        <f t="shared" si="28"/>
        <v>4.3038665187962639</v>
      </c>
      <c r="AD66" s="67">
        <f t="shared" si="29"/>
        <v>156.64588182760824</v>
      </c>
      <c r="AE66" s="70">
        <f t="shared" si="30"/>
        <v>92.9681150964918</v>
      </c>
      <c r="AF66" s="70">
        <f t="shared" si="31"/>
        <v>122.59419861159184</v>
      </c>
      <c r="AG66" s="70">
        <f t="shared" si="32"/>
        <v>141.07997943128166</v>
      </c>
      <c r="AH66" s="70">
        <f t="shared" si="33"/>
        <v>156.64588182760824</v>
      </c>
      <c r="AI66" s="71">
        <f t="shared" si="34"/>
        <v>0.97650903956139512</v>
      </c>
      <c r="AJ66" s="72">
        <f t="shared" si="35"/>
        <v>0.34919846835506524</v>
      </c>
      <c r="AK66" s="73">
        <f t="shared" si="21"/>
        <v>20.951908101303914</v>
      </c>
    </row>
    <row r="67" spans="1:37">
      <c r="A67" s="3">
        <f>'Exptl Setup'!A93</f>
        <v>86</v>
      </c>
      <c r="B67" s="3" t="str">
        <f>'Exptl Setup'!C93</f>
        <v>b</v>
      </c>
      <c r="C67" s="3">
        <f>'Exptl Setup'!D93</f>
        <v>24</v>
      </c>
      <c r="D67" s="3" t="str">
        <f>'Exptl Setup'!E93</f>
        <v>-</v>
      </c>
      <c r="E67" s="111">
        <f>'Exptl Setup'!K93</f>
        <v>15.999987655426267</v>
      </c>
      <c r="F67" s="63">
        <f>'Exptl Setup'!F93</f>
        <v>31.997</v>
      </c>
      <c r="G67" s="64">
        <f>'Exptl Setup'!$C$5</f>
        <v>1.2793390913194711</v>
      </c>
      <c r="H67" s="7">
        <f t="shared" si="45"/>
        <v>25.010570080368041</v>
      </c>
      <c r="I67" s="8">
        <f t="shared" si="41"/>
        <v>9.4379509737237886</v>
      </c>
      <c r="J67" s="8">
        <f t="shared" si="46"/>
        <v>6.9864299196319593</v>
      </c>
      <c r="K67" s="8">
        <f>'Exptl Setup'!H93+'Exptl Setup'!I93+'Exptl Setup'!J93+5</f>
        <v>23.003024686832862</v>
      </c>
      <c r="L67" s="8">
        <f t="shared" si="47"/>
        <v>29.989454606464822</v>
      </c>
      <c r="M67" s="44">
        <v>300</v>
      </c>
      <c r="N67" s="65">
        <f t="shared" si="48"/>
        <v>260.57259441981137</v>
      </c>
      <c r="O67" s="66">
        <v>60</v>
      </c>
      <c r="P67" s="30">
        <v>9.6660000000000004</v>
      </c>
      <c r="Q67" s="7">
        <f t="shared" si="22"/>
        <v>2.7018976367807848</v>
      </c>
      <c r="R67" s="67">
        <f t="shared" si="23"/>
        <v>98.336672047670206</v>
      </c>
      <c r="S67" s="30">
        <v>120</v>
      </c>
      <c r="T67" s="113">
        <v>13.359</v>
      </c>
      <c r="U67" s="7">
        <f t="shared" si="24"/>
        <v>3.7341868952777264</v>
      </c>
      <c r="V67" s="67">
        <f t="shared" si="25"/>
        <v>135.90726276482786</v>
      </c>
      <c r="W67" s="30">
        <v>180</v>
      </c>
      <c r="X67" s="113">
        <v>14.638</v>
      </c>
      <c r="Y67" s="7">
        <f t="shared" si="26"/>
        <v>4.0917005594038001</v>
      </c>
      <c r="Z67" s="67">
        <f t="shared" si="27"/>
        <v>148.91911912205632</v>
      </c>
      <c r="AA67" s="69">
        <v>240</v>
      </c>
      <c r="AB67" s="113">
        <v>16.274999999999999</v>
      </c>
      <c r="AC67" s="7">
        <f t="shared" si="28"/>
        <v>4.5492845063736054</v>
      </c>
      <c r="AD67" s="67">
        <f t="shared" si="29"/>
        <v>165.57307444401326</v>
      </c>
      <c r="AE67" s="70">
        <f t="shared" si="30"/>
        <v>98.336672047670206</v>
      </c>
      <c r="AF67" s="70">
        <f t="shared" si="31"/>
        <v>135.90726276482786</v>
      </c>
      <c r="AG67" s="70">
        <f t="shared" si="32"/>
        <v>148.91911912205632</v>
      </c>
      <c r="AH67" s="70">
        <f t="shared" si="33"/>
        <v>165.57307444401326</v>
      </c>
      <c r="AI67" s="71">
        <f t="shared" si="34"/>
        <v>0.93923528763107478</v>
      </c>
      <c r="AJ67" s="72">
        <f t="shared" si="35"/>
        <v>0.35786843924376271</v>
      </c>
      <c r="AK67" s="73">
        <f t="shared" si="21"/>
        <v>21.472106354625762</v>
      </c>
    </row>
    <row r="68" spans="1:37">
      <c r="A68" s="3">
        <f>'Exptl Setup'!A94</f>
        <v>87</v>
      </c>
      <c r="B68" s="3" t="str">
        <f>'Exptl Setup'!C94</f>
        <v>c</v>
      </c>
      <c r="C68" s="3">
        <f>'Exptl Setup'!D94</f>
        <v>24</v>
      </c>
      <c r="D68" s="3" t="str">
        <f>'Exptl Setup'!E94</f>
        <v>-</v>
      </c>
      <c r="E68" s="111">
        <f>'Exptl Setup'!K94</f>
        <v>15.998987624946851</v>
      </c>
      <c r="F68" s="63">
        <f>'Exptl Setup'!F94</f>
        <v>31.998999999999999</v>
      </c>
      <c r="G68" s="64">
        <f>'Exptl Setup'!$C$5</f>
        <v>1.2793390913194711</v>
      </c>
      <c r="H68" s="7">
        <f t="shared" si="45"/>
        <v>25.012133387558112</v>
      </c>
      <c r="I68" s="8">
        <f t="shared" si="41"/>
        <v>9.4385409009653252</v>
      </c>
      <c r="J68" s="8">
        <f t="shared" si="46"/>
        <v>6.9868666124418866</v>
      </c>
      <c r="K68" s="8">
        <f>'Exptl Setup'!H94+'Exptl Setup'!I94+'Exptl Setup'!J94+5</f>
        <v>23.003024686832862</v>
      </c>
      <c r="L68" s="8">
        <f t="shared" si="47"/>
        <v>29.989891299274749</v>
      </c>
      <c r="M68" s="44">
        <v>300</v>
      </c>
      <c r="N68" s="65">
        <f t="shared" si="48"/>
        <v>260.57156779975992</v>
      </c>
      <c r="O68" s="66">
        <v>60</v>
      </c>
      <c r="P68" s="30">
        <v>8.7530000000000001</v>
      </c>
      <c r="Q68" s="7">
        <f t="shared" si="22"/>
        <v>2.4466838926701913</v>
      </c>
      <c r="R68" s="67">
        <f t="shared" si="23"/>
        <v>89.042497536126561</v>
      </c>
      <c r="S68" s="30">
        <v>120</v>
      </c>
      <c r="T68" s="113">
        <v>11.538</v>
      </c>
      <c r="U68" s="7">
        <f t="shared" si="24"/>
        <v>3.2251615164662022</v>
      </c>
      <c r="V68" s="67">
        <f t="shared" si="25"/>
        <v>117.37373889772974</v>
      </c>
      <c r="W68" s="30">
        <v>180</v>
      </c>
      <c r="X68" s="113">
        <v>12.949</v>
      </c>
      <c r="Y68" s="7">
        <f t="shared" si="26"/>
        <v>3.6195715441775742</v>
      </c>
      <c r="Z68" s="67">
        <f t="shared" si="27"/>
        <v>131.72755633443421</v>
      </c>
      <c r="AA68" s="69">
        <v>240</v>
      </c>
      <c r="AB68" s="113">
        <v>14.23</v>
      </c>
      <c r="AC68" s="7">
        <f t="shared" si="28"/>
        <v>3.977643298605829</v>
      </c>
      <c r="AD68" s="67">
        <f t="shared" si="29"/>
        <v>144.75891008101007</v>
      </c>
      <c r="AE68" s="70">
        <f t="shared" si="30"/>
        <v>89.042497536126561</v>
      </c>
      <c r="AF68" s="70">
        <f t="shared" si="31"/>
        <v>117.37373889772974</v>
      </c>
      <c r="AG68" s="70">
        <f t="shared" si="32"/>
        <v>131.72755633443421</v>
      </c>
      <c r="AH68" s="70">
        <f t="shared" si="33"/>
        <v>144.75891008101007</v>
      </c>
      <c r="AI68" s="71">
        <f t="shared" si="34"/>
        <v>0.96117806034144671</v>
      </c>
      <c r="AJ68" s="72">
        <f t="shared" si="35"/>
        <v>0.30250509178559171</v>
      </c>
      <c r="AK68" s="73">
        <f t="shared" si="21"/>
        <v>18.150305507135503</v>
      </c>
    </row>
    <row r="69" spans="1:37">
      <c r="A69" s="3">
        <f>'Exptl Setup'!A98</f>
        <v>91</v>
      </c>
      <c r="B69" s="3" t="str">
        <f>'Exptl Setup'!C98</f>
        <v>a</v>
      </c>
      <c r="C69" s="3">
        <f>'Exptl Setup'!D98</f>
        <v>24</v>
      </c>
      <c r="D69" s="3" t="str">
        <f>'Exptl Setup'!E98</f>
        <v>-</v>
      </c>
      <c r="E69" s="111">
        <f>'Exptl Setup'!K98</f>
        <v>20.001859919464366</v>
      </c>
      <c r="F69" s="63">
        <f>'Exptl Setup'!F98</f>
        <v>31.994</v>
      </c>
      <c r="G69" s="64">
        <f>'Exptl Setup'!$C$5</f>
        <v>1.2793390913194711</v>
      </c>
      <c r="H69" s="7">
        <f t="shared" si="45"/>
        <v>25.008225119582931</v>
      </c>
      <c r="I69" s="8">
        <f t="shared" si="41"/>
        <v>9.4370660828614845</v>
      </c>
      <c r="J69" s="8">
        <f t="shared" si="46"/>
        <v>6.9857748804170683</v>
      </c>
      <c r="K69" s="8">
        <f>'Exptl Setup'!H98+'Exptl Setup'!I98+'Exptl Setup'!J98+5</f>
        <v>23.003024686832859</v>
      </c>
      <c r="L69" s="8">
        <f t="shared" si="47"/>
        <v>29.988799567249927</v>
      </c>
      <c r="M69" s="44">
        <v>300</v>
      </c>
      <c r="N69" s="65">
        <f t="shared" si="48"/>
        <v>260.5741343498886</v>
      </c>
      <c r="O69" s="66">
        <v>60</v>
      </c>
      <c r="P69" s="30">
        <v>5.5E-2</v>
      </c>
      <c r="Q69" s="7">
        <f t="shared" si="22"/>
        <v>1.537398806220148E-2</v>
      </c>
      <c r="R69" s="67">
        <f t="shared" si="23"/>
        <v>0.55959506455751606</v>
      </c>
      <c r="S69" s="30">
        <v>120</v>
      </c>
      <c r="T69" s="113">
        <v>0.11600000000000001</v>
      </c>
      <c r="U69" s="7">
        <f t="shared" si="24"/>
        <v>3.2425138458461303E-2</v>
      </c>
      <c r="V69" s="67">
        <f t="shared" si="25"/>
        <v>1.1802368634303977</v>
      </c>
      <c r="W69" s="30">
        <v>180</v>
      </c>
      <c r="X69" s="113">
        <v>0.18</v>
      </c>
      <c r="Y69" s="7">
        <f t="shared" si="26"/>
        <v>5.0314870021750294E-2</v>
      </c>
      <c r="Z69" s="67">
        <f t="shared" si="27"/>
        <v>1.8314020294609616</v>
      </c>
      <c r="AA69" s="69">
        <v>240</v>
      </c>
      <c r="AB69" s="113">
        <v>0.216</v>
      </c>
      <c r="AC69" s="7">
        <f t="shared" si="28"/>
        <v>6.0377844026100358E-2</v>
      </c>
      <c r="AD69" s="67">
        <f t="shared" si="29"/>
        <v>2.1976824353531543</v>
      </c>
      <c r="AE69" s="70">
        <f t="shared" si="30"/>
        <v>0.55959506455751606</v>
      </c>
      <c r="AF69" s="70">
        <f t="shared" si="31"/>
        <v>1.1802368634303977</v>
      </c>
      <c r="AG69" s="70">
        <f t="shared" si="32"/>
        <v>1.8314020294609616</v>
      </c>
      <c r="AH69" s="70">
        <f t="shared" si="33"/>
        <v>2.1976824353531543</v>
      </c>
      <c r="AI69" s="71">
        <f t="shared" si="34"/>
        <v>0.98652796782010888</v>
      </c>
      <c r="AJ69" s="72">
        <f t="shared" si="35"/>
        <v>9.2757121306957981E-3</v>
      </c>
      <c r="AK69" s="73">
        <f t="shared" si="21"/>
        <v>0.55654272784174785</v>
      </c>
    </row>
    <row r="70" spans="1:37">
      <c r="A70" s="3">
        <f>'Exptl Setup'!A99</f>
        <v>92</v>
      </c>
      <c r="B70" s="3" t="str">
        <f>'Exptl Setup'!C99</f>
        <v>b</v>
      </c>
      <c r="C70" s="3">
        <f>'Exptl Setup'!D99</f>
        <v>24</v>
      </c>
      <c r="D70" s="3" t="str">
        <f>'Exptl Setup'!E99</f>
        <v>-</v>
      </c>
      <c r="E70" s="111">
        <f>'Exptl Setup'!K99</f>
        <v>19.992486683849631</v>
      </c>
      <c r="F70" s="63">
        <f>'Exptl Setup'!F99</f>
        <v>32.009</v>
      </c>
      <c r="G70" s="64">
        <f>'Exptl Setup'!$C$5</f>
        <v>1.2793390913194711</v>
      </c>
      <c r="H70" s="7">
        <f t="shared" si="45"/>
        <v>25.019949923508474</v>
      </c>
      <c r="I70" s="8">
        <f t="shared" si="41"/>
        <v>9.44149053717301</v>
      </c>
      <c r="J70" s="8">
        <f t="shared" si="46"/>
        <v>6.9890500764915267</v>
      </c>
      <c r="K70" s="8">
        <f>'Exptl Setup'!H99+'Exptl Setup'!I99+'Exptl Setup'!J99+5</f>
        <v>23.003024686832859</v>
      </c>
      <c r="L70" s="8">
        <f t="shared" si="47"/>
        <v>29.992074763324386</v>
      </c>
      <c r="M70" s="44">
        <v>300</v>
      </c>
      <c r="N70" s="65">
        <f t="shared" si="48"/>
        <v>260.56643469950262</v>
      </c>
      <c r="O70" s="66">
        <v>60</v>
      </c>
      <c r="P70" s="30">
        <v>8.0000000000000002E-3</v>
      </c>
      <c r="Q70" s="7">
        <f t="shared" si="22"/>
        <v>2.236171407599389E-3</v>
      </c>
      <c r="R70" s="67">
        <f t="shared" si="23"/>
        <v>8.1355863717623322E-2</v>
      </c>
      <c r="S70" s="30">
        <v>120</v>
      </c>
      <c r="T70" s="113">
        <v>4.5999999999999999E-2</v>
      </c>
      <c r="U70" s="7">
        <f t="shared" si="24"/>
        <v>1.2857985593696487E-2</v>
      </c>
      <c r="V70" s="67">
        <f t="shared" si="25"/>
        <v>0.46779621637633417</v>
      </c>
      <c r="W70" s="30">
        <v>180</v>
      </c>
      <c r="X70" s="113">
        <v>3.5999999999999997E-2</v>
      </c>
      <c r="Y70" s="7">
        <f t="shared" si="26"/>
        <v>1.0062771334197251E-2</v>
      </c>
      <c r="Z70" s="67">
        <f t="shared" si="27"/>
        <v>0.36610138672930503</v>
      </c>
      <c r="AA70" s="69">
        <v>240</v>
      </c>
      <c r="AB70" s="113">
        <v>9.2999999999999999E-2</v>
      </c>
      <c r="AC70" s="7">
        <f t="shared" si="28"/>
        <v>2.5995492613342896E-2</v>
      </c>
      <c r="AD70" s="67">
        <f t="shared" si="29"/>
        <v>0.94576191571737112</v>
      </c>
      <c r="AE70" s="70">
        <f t="shared" si="30"/>
        <v>8.1355863717623322E-2</v>
      </c>
      <c r="AF70" s="70">
        <f t="shared" si="31"/>
        <v>0.46779621637633417</v>
      </c>
      <c r="AG70" s="70">
        <f t="shared" si="32"/>
        <v>0.36610138672930503</v>
      </c>
      <c r="AH70" s="70">
        <f t="shared" si="33"/>
        <v>0.94576191571737112</v>
      </c>
      <c r="AI70" s="71">
        <f t="shared" si="34"/>
        <v>0.79974685230830733</v>
      </c>
      <c r="AJ70" s="72">
        <f t="shared" si="35"/>
        <v>4.1525388772536906E-3</v>
      </c>
      <c r="AK70" s="73">
        <f t="shared" si="21"/>
        <v>0.24915233263522144</v>
      </c>
    </row>
    <row r="71" spans="1:37" ht="13.5" thickBot="1">
      <c r="A71" s="132">
        <f>'Exptl Setup'!A100</f>
        <v>93</v>
      </c>
      <c r="B71" s="132" t="str">
        <f>'Exptl Setup'!C100</f>
        <v>c</v>
      </c>
      <c r="C71" s="132">
        <f>'Exptl Setup'!D100</f>
        <v>24</v>
      </c>
      <c r="D71" s="132" t="str">
        <f>'Exptl Setup'!E100</f>
        <v>-</v>
      </c>
      <c r="E71" s="133">
        <f>'Exptl Setup'!K100</f>
        <v>19.999984569282837</v>
      </c>
      <c r="F71" s="134">
        <f>'Exptl Setup'!F100</f>
        <v>31.997</v>
      </c>
      <c r="G71" s="135">
        <f>'Exptl Setup'!$C$5</f>
        <v>1.2793390913194711</v>
      </c>
      <c r="H71" s="136">
        <f t="shared" si="45"/>
        <v>25.010570080368041</v>
      </c>
      <c r="I71" s="137">
        <f t="shared" si="41"/>
        <v>9.4379509737237886</v>
      </c>
      <c r="J71" s="137">
        <f t="shared" si="46"/>
        <v>6.9864299196319593</v>
      </c>
      <c r="K71" s="137">
        <f>'Exptl Setup'!H100+'Exptl Setup'!I100+'Exptl Setup'!J100+5</f>
        <v>23.003024686832859</v>
      </c>
      <c r="L71" s="137">
        <f t="shared" si="47"/>
        <v>29.989454606464818</v>
      </c>
      <c r="M71" s="138">
        <v>300</v>
      </c>
      <c r="N71" s="139">
        <f t="shared" si="48"/>
        <v>260.57259441981137</v>
      </c>
      <c r="O71" s="140">
        <v>60</v>
      </c>
      <c r="P71" s="132">
        <v>1.9E-2</v>
      </c>
      <c r="Q71" s="136">
        <f t="shared" si="22"/>
        <v>5.3109926648908451E-3</v>
      </c>
      <c r="R71" s="141">
        <f t="shared" si="23"/>
        <v>0.19329575511129046</v>
      </c>
      <c r="S71" s="132">
        <v>120</v>
      </c>
      <c r="T71" s="142">
        <v>0.01</v>
      </c>
      <c r="U71" s="136">
        <f t="shared" si="24"/>
        <v>2.795259297310971E-3</v>
      </c>
      <c r="V71" s="141">
        <f t="shared" si="25"/>
        <v>0.10173460795331077</v>
      </c>
      <c r="W71" s="132">
        <v>180</v>
      </c>
      <c r="X71" s="142">
        <v>2.5999999999999999E-2</v>
      </c>
      <c r="Y71" s="136">
        <f t="shared" si="26"/>
        <v>7.2676741730085242E-3</v>
      </c>
      <c r="Z71" s="141">
        <f t="shared" si="27"/>
        <v>0.26450998067860798</v>
      </c>
      <c r="AA71" s="143">
        <v>240</v>
      </c>
      <c r="AB71" s="142">
        <v>3.9E-2</v>
      </c>
      <c r="AC71" s="136">
        <f t="shared" si="28"/>
        <v>1.0901511259512787E-2</v>
      </c>
      <c r="AD71" s="141">
        <f t="shared" si="29"/>
        <v>0.39676497101791203</v>
      </c>
      <c r="AE71" s="144">
        <f t="shared" si="30"/>
        <v>0.19329575511129046</v>
      </c>
      <c r="AF71" s="144">
        <f t="shared" si="31"/>
        <v>0.10173460795331077</v>
      </c>
      <c r="AG71" s="144">
        <f t="shared" si="32"/>
        <v>0.26450998067860798</v>
      </c>
      <c r="AH71" s="144">
        <f t="shared" si="33"/>
        <v>0.39676497101791203</v>
      </c>
      <c r="AI71" s="145">
        <f t="shared" si="34"/>
        <v>0.64320712694877513</v>
      </c>
      <c r="AJ71" s="146">
        <f t="shared" si="35"/>
        <v>1.288638367408603E-3</v>
      </c>
      <c r="AK71" s="147">
        <f t="shared" si="21"/>
        <v>7.7318302044516188E-2</v>
      </c>
    </row>
    <row r="72" spans="1:37">
      <c r="A72" s="3">
        <f>'Exptl Setup'!A104</f>
        <v>97</v>
      </c>
      <c r="B72" s="3" t="str">
        <f>'Exptl Setup'!C104</f>
        <v>a</v>
      </c>
      <c r="C72" s="3">
        <f>'Exptl Setup'!D104</f>
        <v>32</v>
      </c>
      <c r="D72" s="3" t="str">
        <f>'Exptl Setup'!E104</f>
        <v>+</v>
      </c>
      <c r="E72" s="111">
        <f>'Exptl Setup'!K104</f>
        <v>0</v>
      </c>
      <c r="F72" s="63">
        <f>'Exptl Setup'!F104</f>
        <v>31.995999999999999</v>
      </c>
      <c r="G72" s="64">
        <f>'Exptl Setup'!$C$5</f>
        <v>1.2793390913194711</v>
      </c>
      <c r="H72" s="7">
        <f t="shared" si="45"/>
        <v>25.009788426773003</v>
      </c>
      <c r="I72" s="8">
        <f t="shared" si="41"/>
        <v>9.4376560101030211</v>
      </c>
      <c r="J72" s="8">
        <f t="shared" si="46"/>
        <v>6.9862115732269956</v>
      </c>
      <c r="K72" s="8">
        <f>'Exptl Setup'!H104+'Exptl Setup'!I104+'Exptl Setup'!J104+5</f>
        <v>23.003024686832859</v>
      </c>
      <c r="L72" s="8">
        <f t="shared" si="47"/>
        <v>29.989236260059855</v>
      </c>
      <c r="M72" s="44">
        <v>300</v>
      </c>
      <c r="N72" s="65">
        <f t="shared" si="48"/>
        <v>260.57310772983715</v>
      </c>
      <c r="O72" s="66">
        <v>60</v>
      </c>
      <c r="P72" s="30">
        <v>36.226999999999997</v>
      </c>
      <c r="Q72" s="7">
        <f t="shared" ref="Q72:Q135" si="49">((P72*($N72+($L72*$H$17))))*(1/1000)</f>
        <v>10.126399452908505</v>
      </c>
      <c r="R72" s="67">
        <f t="shared" ref="R72:R135" si="50">((Q72*$H$18*$H$19)/($H$20*$H$21*$F72))*1000</f>
        <v>368.56597785079975</v>
      </c>
      <c r="S72" s="30">
        <v>120</v>
      </c>
      <c r="T72" s="30">
        <v>48.158999999999999</v>
      </c>
      <c r="U72" s="7">
        <f t="shared" ref="U72:U135" si="51">((T72*($N72+($L72*$H$17))))*(1/1000)</f>
        <v>13.461707324719704</v>
      </c>
      <c r="V72" s="67">
        <f t="shared" ref="V72:V135" si="52">((U72*$H$18*$H$19)/($H$20*$H$21*$F72))*1000</f>
        <v>489.95966895731544</v>
      </c>
      <c r="W72" s="30">
        <v>180</v>
      </c>
      <c r="X72" s="30">
        <v>58.226999999999997</v>
      </c>
      <c r="Y72" s="7">
        <f t="shared" ref="Y72:Y135" si="53">((X72*($N72+($L72*$H$17))))*(1/1000)</f>
        <v>16.275978163924794</v>
      </c>
      <c r="Z72" s="67">
        <f t="shared" ref="Z72:Z135" si="54">((Y72*$H$18*$H$19)/($H$20*$H$21*$F72))*1000</f>
        <v>592.3894110005939</v>
      </c>
      <c r="AA72" s="69">
        <v>240</v>
      </c>
      <c r="AB72" s="113">
        <v>69.366</v>
      </c>
      <c r="AC72" s="7">
        <f t="shared" ref="AC72:AC135" si="55">((AB72*($N72+($L72*$H$17))))*(1/1000)</f>
        <v>19.389621675834363</v>
      </c>
      <c r="AD72" s="67">
        <f t="shared" ref="AD72:AD135" si="56">((AC72*$H$18*$H$19)/($H$20*$H$21*$F72))*1000</f>
        <v>705.71528472130115</v>
      </c>
      <c r="AE72" s="70">
        <f t="shared" ref="AE72:AE135" si="57">R72</f>
        <v>368.56597785079975</v>
      </c>
      <c r="AF72" s="70">
        <f t="shared" ref="AF72:AF135" si="58">V72</f>
        <v>489.95966895731544</v>
      </c>
      <c r="AG72" s="70">
        <f t="shared" ref="AG72:AG135" si="59">Z72</f>
        <v>592.3894110005939</v>
      </c>
      <c r="AH72" s="70">
        <f t="shared" ref="AH72:AH135" si="60">AD72</f>
        <v>705.71528472130115</v>
      </c>
      <c r="AI72" s="71">
        <f t="shared" ref="AI72:AI135" si="61">RSQ(AE72:AH72,AE$23:AH$23)</f>
        <v>0.99902002327090067</v>
      </c>
      <c r="AJ72" s="72">
        <f t="shared" ref="AJ72:AJ135" si="62">SLOPE(AE72:AH72,AE$23:AH$23)</f>
        <v>1.8564627710913046</v>
      </c>
      <c r="AK72" s="73">
        <f t="shared" ref="AK72:AK135" si="63">AJ72*60</f>
        <v>111.38776626547828</v>
      </c>
    </row>
    <row r="73" spans="1:37">
      <c r="A73" s="3">
        <f>'Exptl Setup'!A105</f>
        <v>98</v>
      </c>
      <c r="B73" s="3" t="str">
        <f>'Exptl Setup'!C105</f>
        <v>b</v>
      </c>
      <c r="C73" s="3">
        <f>'Exptl Setup'!D105</f>
        <v>32</v>
      </c>
      <c r="D73" s="3" t="str">
        <f>'Exptl Setup'!E105</f>
        <v>+</v>
      </c>
      <c r="E73" s="111">
        <f>'Exptl Setup'!K105</f>
        <v>0</v>
      </c>
      <c r="F73" s="63">
        <f>'Exptl Setup'!F105</f>
        <v>32.006999999999998</v>
      </c>
      <c r="G73" s="64">
        <f>'Exptl Setup'!$C$5</f>
        <v>1.2793390913194711</v>
      </c>
      <c r="H73" s="7">
        <f t="shared" si="45"/>
        <v>25.018386616318399</v>
      </c>
      <c r="I73" s="8">
        <f t="shared" si="41"/>
        <v>9.4409006099314716</v>
      </c>
      <c r="J73" s="8">
        <f t="shared" si="46"/>
        <v>6.9886133836815993</v>
      </c>
      <c r="K73" s="8">
        <f>'Exptl Setup'!H105+'Exptl Setup'!I105+'Exptl Setup'!J105+5</f>
        <v>23.003024686832859</v>
      </c>
      <c r="L73" s="8">
        <f t="shared" si="47"/>
        <v>29.991638070514458</v>
      </c>
      <c r="M73" s="44">
        <v>300</v>
      </c>
      <c r="N73" s="65">
        <f t="shared" si="48"/>
        <v>260.56746131955407</v>
      </c>
      <c r="O73" s="66">
        <v>60</v>
      </c>
      <c r="P73" s="30">
        <v>37.664000000000001</v>
      </c>
      <c r="Q73" s="7">
        <f t="shared" si="49"/>
        <v>10.52792325871361</v>
      </c>
      <c r="R73" s="67">
        <f t="shared" si="50"/>
        <v>383.04836874989604</v>
      </c>
      <c r="S73" s="30">
        <v>120</v>
      </c>
      <c r="T73" s="30">
        <v>50.643000000000001</v>
      </c>
      <c r="U73" s="7">
        <f t="shared" si="51"/>
        <v>14.155841588546977</v>
      </c>
      <c r="V73" s="67">
        <f t="shared" si="52"/>
        <v>515.04669017101162</v>
      </c>
      <c r="W73" s="30">
        <v>180</v>
      </c>
      <c r="X73" s="30">
        <v>61.744</v>
      </c>
      <c r="Y73" s="7">
        <f t="shared" si="53"/>
        <v>17.258817270762879</v>
      </c>
      <c r="Z73" s="67">
        <f t="shared" si="54"/>
        <v>627.94547791242508</v>
      </c>
      <c r="AA73" s="69">
        <v>240</v>
      </c>
      <c r="AB73" s="113">
        <v>73.201999999999998</v>
      </c>
      <c r="AC73" s="7">
        <f t="shared" si="55"/>
        <v>20.461582370017886</v>
      </c>
      <c r="AD73" s="67">
        <f t="shared" si="56"/>
        <v>744.47500767921338</v>
      </c>
      <c r="AE73" s="70">
        <f t="shared" si="57"/>
        <v>383.04836874989604</v>
      </c>
      <c r="AF73" s="70">
        <f t="shared" si="58"/>
        <v>515.04669017101162</v>
      </c>
      <c r="AG73" s="70">
        <f t="shared" si="59"/>
        <v>627.94547791242508</v>
      </c>
      <c r="AH73" s="70">
        <f t="shared" si="60"/>
        <v>744.47500767921338</v>
      </c>
      <c r="AI73" s="71">
        <f t="shared" si="61"/>
        <v>0.99880617227838031</v>
      </c>
      <c r="AJ73" s="72">
        <f t="shared" si="62"/>
        <v>1.9952978408822755</v>
      </c>
      <c r="AK73" s="73">
        <f t="shared" si="63"/>
        <v>119.71787045293652</v>
      </c>
    </row>
    <row r="74" spans="1:37">
      <c r="A74" s="3">
        <f>'Exptl Setup'!A106</f>
        <v>99</v>
      </c>
      <c r="B74" s="3" t="str">
        <f>'Exptl Setup'!C106</f>
        <v>c</v>
      </c>
      <c r="C74" s="3">
        <f>'Exptl Setup'!D106</f>
        <v>32</v>
      </c>
      <c r="D74" s="3" t="str">
        <f>'Exptl Setup'!E106</f>
        <v>+</v>
      </c>
      <c r="E74" s="111">
        <f>'Exptl Setup'!K106</f>
        <v>0</v>
      </c>
      <c r="F74" s="63">
        <f>'Exptl Setup'!F106</f>
        <v>31.991</v>
      </c>
      <c r="G74" s="64">
        <f>'Exptl Setup'!$C$5</f>
        <v>1.2793390913194711</v>
      </c>
      <c r="H74" s="7">
        <f t="shared" si="45"/>
        <v>25.005880158797822</v>
      </c>
      <c r="I74" s="8">
        <f t="shared" si="41"/>
        <v>9.4361811919991787</v>
      </c>
      <c r="J74" s="8">
        <f t="shared" si="46"/>
        <v>6.9851198412021773</v>
      </c>
      <c r="K74" s="8">
        <f>'Exptl Setup'!H106+'Exptl Setup'!I106+'Exptl Setup'!J106+5</f>
        <v>23.003024686832859</v>
      </c>
      <c r="L74" s="8">
        <f t="shared" si="47"/>
        <v>29.988144528035036</v>
      </c>
      <c r="M74" s="44">
        <v>300</v>
      </c>
      <c r="N74" s="65">
        <f t="shared" si="48"/>
        <v>260.57567427996577</v>
      </c>
      <c r="O74" s="66">
        <v>60</v>
      </c>
      <c r="P74" s="30">
        <v>35.616</v>
      </c>
      <c r="Q74" s="7">
        <f t="shared" si="49"/>
        <v>9.9556757166378933</v>
      </c>
      <c r="R74" s="67">
        <f t="shared" si="50"/>
        <v>362.40885675147729</v>
      </c>
      <c r="S74" s="30">
        <v>120</v>
      </c>
      <c r="T74" s="30">
        <v>47.691000000000003</v>
      </c>
      <c r="U74" s="7">
        <f t="shared" si="51"/>
        <v>13.33097850971973</v>
      </c>
      <c r="V74" s="67">
        <f t="shared" si="52"/>
        <v>485.27742552040399</v>
      </c>
      <c r="W74" s="30">
        <v>180</v>
      </c>
      <c r="X74" s="30">
        <v>58.573999999999998</v>
      </c>
      <c r="Y74" s="7">
        <f t="shared" si="53"/>
        <v>16.373083710308514</v>
      </c>
      <c r="Z74" s="67">
        <f t="shared" si="54"/>
        <v>596.01685690029854</v>
      </c>
      <c r="AA74" s="69">
        <v>240</v>
      </c>
      <c r="AB74" s="113">
        <v>69.328000000000003</v>
      </c>
      <c r="AC74" s="7">
        <f t="shared" si="55"/>
        <v>19.379129775468105</v>
      </c>
      <c r="AD74" s="67">
        <f t="shared" si="56"/>
        <v>705.44365512315869</v>
      </c>
      <c r="AE74" s="70">
        <f t="shared" si="57"/>
        <v>362.40885675147729</v>
      </c>
      <c r="AF74" s="70">
        <f t="shared" si="58"/>
        <v>485.27742552040399</v>
      </c>
      <c r="AG74" s="70">
        <f t="shared" si="59"/>
        <v>596.01685690029854</v>
      </c>
      <c r="AH74" s="70">
        <f t="shared" si="60"/>
        <v>705.44365512315869</v>
      </c>
      <c r="AI74" s="71">
        <f t="shared" si="61"/>
        <v>0.99921523439471505</v>
      </c>
      <c r="AJ74" s="72">
        <f t="shared" si="62"/>
        <v>1.8997397108248979</v>
      </c>
      <c r="AK74" s="73">
        <f t="shared" si="63"/>
        <v>113.98438264949388</v>
      </c>
    </row>
    <row r="75" spans="1:37">
      <c r="A75" s="3">
        <f>'Exptl Setup'!A110</f>
        <v>103</v>
      </c>
      <c r="B75" s="3" t="str">
        <f>'Exptl Setup'!C110</f>
        <v>a</v>
      </c>
      <c r="C75" s="3">
        <f>'Exptl Setup'!D110</f>
        <v>32</v>
      </c>
      <c r="D75" s="3" t="str">
        <f>'Exptl Setup'!E110</f>
        <v>+</v>
      </c>
      <c r="E75" s="111">
        <f>'Exptl Setup'!K110</f>
        <v>6.0009331044949628</v>
      </c>
      <c r="F75" s="63">
        <f>'Exptl Setup'!F110</f>
        <v>31.992000000000001</v>
      </c>
      <c r="G75" s="64">
        <f>'Exptl Setup'!$C$5</f>
        <v>1.2793390913194711</v>
      </c>
      <c r="H75" s="7">
        <f t="shared" si="45"/>
        <v>25.00666181239286</v>
      </c>
      <c r="I75" s="8">
        <f t="shared" si="41"/>
        <v>9.4364761556199479</v>
      </c>
      <c r="J75" s="8">
        <f t="shared" si="46"/>
        <v>6.985338187607141</v>
      </c>
      <c r="K75" s="8">
        <f>'Exptl Setup'!H110+'Exptl Setup'!I110+'Exptl Setup'!J110+5</f>
        <v>23.003024686832859</v>
      </c>
      <c r="L75" s="8">
        <f t="shared" si="47"/>
        <v>29.98836287444</v>
      </c>
      <c r="M75" s="44">
        <v>300</v>
      </c>
      <c r="N75" s="65">
        <f t="shared" si="48"/>
        <v>260.57516096994004</v>
      </c>
      <c r="O75" s="66">
        <v>60</v>
      </c>
      <c r="P75" s="30">
        <v>0.65200000000000002</v>
      </c>
      <c r="Q75" s="7">
        <f t="shared" si="49"/>
        <v>0.18225212971189417</v>
      </c>
      <c r="R75" s="67">
        <f t="shared" si="50"/>
        <v>6.6341776567788582</v>
      </c>
      <c r="S75" s="30">
        <v>120</v>
      </c>
      <c r="T75" s="30">
        <v>151.05500000000001</v>
      </c>
      <c r="U75" s="7">
        <f t="shared" si="51"/>
        <v>42.224072781641375</v>
      </c>
      <c r="V75" s="67">
        <f t="shared" si="52"/>
        <v>1537.0026164796482</v>
      </c>
      <c r="W75" s="30">
        <v>180</v>
      </c>
      <c r="X75" s="30">
        <v>215.46799999999999</v>
      </c>
      <c r="Y75" s="7">
        <f t="shared" si="53"/>
        <v>60.229297369267492</v>
      </c>
      <c r="Z75" s="67">
        <f t="shared" si="54"/>
        <v>2192.4125634215134</v>
      </c>
      <c r="AA75" s="69">
        <v>240</v>
      </c>
      <c r="AB75" s="113">
        <v>282.23899999999998</v>
      </c>
      <c r="AC75" s="7">
        <f t="shared" si="55"/>
        <v>78.893648524164561</v>
      </c>
      <c r="AD75" s="67">
        <f t="shared" si="56"/>
        <v>2871.8154412141234</v>
      </c>
      <c r="AE75" s="70">
        <f t="shared" si="57"/>
        <v>6.6341776567788582</v>
      </c>
      <c r="AF75" s="70">
        <f t="shared" si="58"/>
        <v>1537.0026164796482</v>
      </c>
      <c r="AG75" s="70">
        <f t="shared" si="59"/>
        <v>2192.4125634215134</v>
      </c>
      <c r="AH75" s="70">
        <f t="shared" si="60"/>
        <v>2871.8154412141234</v>
      </c>
      <c r="AI75" s="71">
        <f t="shared" si="61"/>
        <v>0.95079573114842553</v>
      </c>
      <c r="AJ75" s="72">
        <f t="shared" si="62"/>
        <v>15.418256229356498</v>
      </c>
      <c r="AK75" s="73">
        <f t="shared" si="63"/>
        <v>925.09537376138985</v>
      </c>
    </row>
    <row r="76" spans="1:37">
      <c r="A76" s="3">
        <f>'Exptl Setup'!A111</f>
        <v>104</v>
      </c>
      <c r="B76" s="3" t="str">
        <f>'Exptl Setup'!C111</f>
        <v>b</v>
      </c>
      <c r="C76" s="3">
        <f>'Exptl Setup'!D111</f>
        <v>32</v>
      </c>
      <c r="D76" s="3" t="str">
        <f>'Exptl Setup'!E111</f>
        <v>+</v>
      </c>
      <c r="E76" s="111">
        <f>'Exptl Setup'!K111</f>
        <v>6.0005579758393095</v>
      </c>
      <c r="F76" s="63">
        <f>'Exptl Setup'!F111</f>
        <v>31.994</v>
      </c>
      <c r="G76" s="64">
        <f>'Exptl Setup'!$C$5</f>
        <v>1.2793390913194711</v>
      </c>
      <c r="H76" s="7">
        <f t="shared" si="45"/>
        <v>25.008225119582931</v>
      </c>
      <c r="I76" s="8">
        <f t="shared" si="41"/>
        <v>9.4370660828614845</v>
      </c>
      <c r="J76" s="8">
        <f t="shared" si="46"/>
        <v>6.9857748804170683</v>
      </c>
      <c r="K76" s="8">
        <f>'Exptl Setup'!H111+'Exptl Setup'!I111+'Exptl Setup'!J111+5</f>
        <v>23.003024686832859</v>
      </c>
      <c r="L76" s="8">
        <f t="shared" si="47"/>
        <v>29.988799567249927</v>
      </c>
      <c r="M76" s="44">
        <v>300</v>
      </c>
      <c r="N76" s="65">
        <f t="shared" si="48"/>
        <v>260.5741343498886</v>
      </c>
      <c r="O76" s="66">
        <v>60</v>
      </c>
      <c r="P76" s="30">
        <v>70.606999999999999</v>
      </c>
      <c r="Q76" s="7">
        <f t="shared" si="49"/>
        <v>19.736566820142908</v>
      </c>
      <c r="R76" s="67">
        <f t="shared" si="50"/>
        <v>718.38779496750067</v>
      </c>
      <c r="S76" s="30">
        <v>120</v>
      </c>
      <c r="T76" s="30">
        <v>150.68700000000001</v>
      </c>
      <c r="U76" s="7">
        <f t="shared" si="51"/>
        <v>42.121093438708265</v>
      </c>
      <c r="V76" s="67">
        <f t="shared" si="52"/>
        <v>1533.1582089632443</v>
      </c>
      <c r="W76" s="30">
        <v>180</v>
      </c>
      <c r="X76" s="30">
        <v>218.84200000000001</v>
      </c>
      <c r="Y76" s="7">
        <f t="shared" si="53"/>
        <v>61.172259918332664</v>
      </c>
      <c r="Z76" s="67">
        <f t="shared" si="54"/>
        <v>2226.5982385071993</v>
      </c>
      <c r="AA76" s="69">
        <v>240</v>
      </c>
      <c r="AB76" s="113">
        <v>282.25200000000001</v>
      </c>
      <c r="AC76" s="7">
        <f t="shared" si="55"/>
        <v>78.89707051877258</v>
      </c>
      <c r="AD76" s="67">
        <f t="shared" si="56"/>
        <v>2871.7604756634191</v>
      </c>
      <c r="AE76" s="70">
        <f t="shared" si="57"/>
        <v>718.38779496750067</v>
      </c>
      <c r="AF76" s="70">
        <f t="shared" si="58"/>
        <v>1533.1582089632443</v>
      </c>
      <c r="AG76" s="70">
        <f t="shared" si="59"/>
        <v>2226.5982385071993</v>
      </c>
      <c r="AH76" s="70">
        <f t="shared" si="60"/>
        <v>2871.7604756634191</v>
      </c>
      <c r="AI76" s="71">
        <f t="shared" si="61"/>
        <v>0.99709345487491796</v>
      </c>
      <c r="AJ76" s="72">
        <f t="shared" si="62"/>
        <v>11.922596786052852</v>
      </c>
      <c r="AK76" s="73">
        <f t="shared" si="63"/>
        <v>715.35580716317111</v>
      </c>
    </row>
    <row r="77" spans="1:37">
      <c r="A77" s="3">
        <f>'Exptl Setup'!A112</f>
        <v>105</v>
      </c>
      <c r="B77" s="3" t="str">
        <f>'Exptl Setup'!C112</f>
        <v>c</v>
      </c>
      <c r="C77" s="3">
        <f>'Exptl Setup'!D112</f>
        <v>32</v>
      </c>
      <c r="D77" s="3" t="str">
        <f>'Exptl Setup'!E112</f>
        <v>+</v>
      </c>
      <c r="E77" s="111">
        <f>'Exptl Setup'!K112</f>
        <v>5.9981207822977121</v>
      </c>
      <c r="F77" s="63">
        <f>'Exptl Setup'!F112</f>
        <v>32.006999999999998</v>
      </c>
      <c r="G77" s="64">
        <f>'Exptl Setup'!$C$5</f>
        <v>1.2793390913194711</v>
      </c>
      <c r="H77" s="7">
        <f t="shared" si="45"/>
        <v>25.018386616318399</v>
      </c>
      <c r="I77" s="8">
        <f t="shared" si="41"/>
        <v>9.4409006099314716</v>
      </c>
      <c r="J77" s="8">
        <f t="shared" si="46"/>
        <v>6.9886133836815993</v>
      </c>
      <c r="K77" s="8">
        <f>'Exptl Setup'!H112+'Exptl Setup'!I112+'Exptl Setup'!J112+5</f>
        <v>23.003024686832859</v>
      </c>
      <c r="L77" s="8">
        <f t="shared" si="47"/>
        <v>29.991638070514458</v>
      </c>
      <c r="M77" s="44">
        <v>300</v>
      </c>
      <c r="N77" s="65">
        <f t="shared" si="48"/>
        <v>260.56746131955407</v>
      </c>
      <c r="O77" s="66">
        <v>60</v>
      </c>
      <c r="P77" s="30">
        <v>69.542000000000002</v>
      </c>
      <c r="Q77" s="7">
        <f t="shared" si="49"/>
        <v>19.438531203734652</v>
      </c>
      <c r="R77" s="67">
        <f t="shared" si="50"/>
        <v>707.25227430982568</v>
      </c>
      <c r="S77" s="30">
        <v>120</v>
      </c>
      <c r="T77" s="30">
        <v>147.88499999999999</v>
      </c>
      <c r="U77" s="7">
        <f t="shared" si="51"/>
        <v>41.337137083550928</v>
      </c>
      <c r="V77" s="67">
        <f t="shared" si="52"/>
        <v>1504.0120011835802</v>
      </c>
      <c r="W77" s="30">
        <v>180</v>
      </c>
      <c r="X77" s="30">
        <v>225.09200000000001</v>
      </c>
      <c r="Y77" s="7">
        <f t="shared" si="53"/>
        <v>62.918205770772197</v>
      </c>
      <c r="Z77" s="67">
        <f t="shared" si="54"/>
        <v>2289.2184425088044</v>
      </c>
      <c r="AA77" s="69">
        <v>240</v>
      </c>
      <c r="AB77" s="113">
        <v>280.03699999999998</v>
      </c>
      <c r="AC77" s="7">
        <f t="shared" si="55"/>
        <v>78.276551762966832</v>
      </c>
      <c r="AD77" s="67">
        <f t="shared" si="56"/>
        <v>2848.0170996074398</v>
      </c>
      <c r="AE77" s="70">
        <f t="shared" si="57"/>
        <v>707.25227430982568</v>
      </c>
      <c r="AF77" s="70">
        <f t="shared" si="58"/>
        <v>1504.0120011835802</v>
      </c>
      <c r="AG77" s="70">
        <f t="shared" si="59"/>
        <v>2289.2184425088044</v>
      </c>
      <c r="AH77" s="70">
        <f>AD77</f>
        <v>2848.0170996074398</v>
      </c>
      <c r="AI77" s="71">
        <f t="shared" si="61"/>
        <v>0.9937011009397938</v>
      </c>
      <c r="AJ77" s="72">
        <f t="shared" si="62"/>
        <v>12.012501528696777</v>
      </c>
      <c r="AK77" s="73">
        <f t="shared" si="63"/>
        <v>720.7500917218066</v>
      </c>
    </row>
    <row r="78" spans="1:37">
      <c r="A78" s="3">
        <f>'Exptl Setup'!A116</f>
        <v>109</v>
      </c>
      <c r="B78" s="3" t="str">
        <f>'Exptl Setup'!C116</f>
        <v>a</v>
      </c>
      <c r="C78" s="3">
        <f>'Exptl Setup'!D116</f>
        <v>32</v>
      </c>
      <c r="D78" s="3" t="str">
        <f>'Exptl Setup'!E116</f>
        <v>+</v>
      </c>
      <c r="E78" s="111">
        <f>'Exptl Setup'!K116</f>
        <v>16.000987810929029</v>
      </c>
      <c r="F78" s="63">
        <f>'Exptl Setup'!F116</f>
        <v>31.995000000000001</v>
      </c>
      <c r="G78" s="64">
        <f>'Exptl Setup'!$C$5</f>
        <v>1.2793390913194711</v>
      </c>
      <c r="H78" s="7">
        <f t="shared" si="45"/>
        <v>25.009006773177969</v>
      </c>
      <c r="I78" s="8">
        <f t="shared" si="41"/>
        <v>9.4373610464822519</v>
      </c>
      <c r="J78" s="8">
        <f t="shared" si="46"/>
        <v>6.9859932268220319</v>
      </c>
      <c r="K78" s="8">
        <f>'Exptl Setup'!H116+'Exptl Setup'!I116+'Exptl Setup'!J116+5</f>
        <v>23.003024686832862</v>
      </c>
      <c r="L78" s="8">
        <f t="shared" si="47"/>
        <v>29.989017913654894</v>
      </c>
      <c r="M78" s="44">
        <v>300</v>
      </c>
      <c r="N78" s="65">
        <f t="shared" si="48"/>
        <v>260.57362103986287</v>
      </c>
      <c r="O78" s="66">
        <v>60</v>
      </c>
      <c r="P78" s="30">
        <v>129.16800000000001</v>
      </c>
      <c r="Q78" s="7">
        <f t="shared" si="49"/>
        <v>36.105902248907469</v>
      </c>
      <c r="R78" s="67">
        <f t="shared" si="50"/>
        <v>1314.1712562201408</v>
      </c>
      <c r="S78" s="30">
        <v>120</v>
      </c>
      <c r="T78" s="30">
        <v>323.75299999999999</v>
      </c>
      <c r="U78" s="7">
        <f t="shared" si="51"/>
        <v>90.497601347009621</v>
      </c>
      <c r="V78" s="67">
        <f t="shared" si="52"/>
        <v>3293.903185889998</v>
      </c>
      <c r="W78" s="30">
        <v>180</v>
      </c>
      <c r="X78" s="112">
        <v>280.05500000000001</v>
      </c>
      <c r="Y78" s="7">
        <f t="shared" si="53"/>
        <v>78.282844468581857</v>
      </c>
      <c r="Z78" s="67">
        <f>((Y78*$H$18*$H$19)/($H$20*$H$21*$F78))*1000*1.88</f>
        <v>5356.7109081364988</v>
      </c>
      <c r="AA78" s="69">
        <v>240</v>
      </c>
      <c r="AB78" s="112">
        <v>377.596</v>
      </c>
      <c r="AC78" s="7">
        <f t="shared" si="55"/>
        <v>105.54815639770271</v>
      </c>
      <c r="AD78" s="67">
        <f>((AC78*$H$18*$H$19)/($H$20*$H$21*$F78))*1000*1.88</f>
        <v>7222.4120693032064</v>
      </c>
      <c r="AE78" s="70">
        <f t="shared" si="57"/>
        <v>1314.1712562201408</v>
      </c>
      <c r="AF78" s="70">
        <f t="shared" si="58"/>
        <v>3293.903185889998</v>
      </c>
      <c r="AG78" s="70">
        <f t="shared" ref="AG78:AG80" si="64">Z78</f>
        <v>5356.7109081364988</v>
      </c>
      <c r="AH78" s="70">
        <f t="shared" ref="AH78:AH79" si="65">AD78</f>
        <v>7222.4120693032064</v>
      </c>
      <c r="AI78" s="71">
        <f>RSQ(AE78:AH78,AE$23:AH$23)</f>
        <v>0.99963359472844882</v>
      </c>
      <c r="AJ78" s="72">
        <f t="shared" si="62"/>
        <v>32.979216935826159</v>
      </c>
      <c r="AK78" s="73">
        <f t="shared" si="63"/>
        <v>1978.7530161495695</v>
      </c>
    </row>
    <row r="79" spans="1:37">
      <c r="A79" s="3">
        <f>'Exptl Setup'!A117</f>
        <v>110</v>
      </c>
      <c r="B79" s="3" t="str">
        <f>'Exptl Setup'!C117</f>
        <v>b</v>
      </c>
      <c r="C79" s="3">
        <f>'Exptl Setup'!D117</f>
        <v>32</v>
      </c>
      <c r="D79" s="3" t="str">
        <f>'Exptl Setup'!E117</f>
        <v>+</v>
      </c>
      <c r="E79" s="111">
        <f>'Exptl Setup'!K117</f>
        <v>15.999487624560107</v>
      </c>
      <c r="F79" s="63">
        <f>'Exptl Setup'!F117</f>
        <v>31.998000000000001</v>
      </c>
      <c r="G79" s="64">
        <f>'Exptl Setup'!$C$5</f>
        <v>1.2793390913194711</v>
      </c>
      <c r="H79" s="7">
        <f t="shared" si="45"/>
        <v>25.011351733963078</v>
      </c>
      <c r="I79" s="8">
        <f t="shared" si="41"/>
        <v>9.4382459373445577</v>
      </c>
      <c r="J79" s="8">
        <f t="shared" si="46"/>
        <v>6.9866482660369229</v>
      </c>
      <c r="K79" s="8">
        <f>'Exptl Setup'!H117+'Exptl Setup'!I117+'Exptl Setup'!J117+5</f>
        <v>23.003024686832862</v>
      </c>
      <c r="L79" s="8">
        <f t="shared" si="47"/>
        <v>29.989672952869785</v>
      </c>
      <c r="M79" s="44">
        <v>300</v>
      </c>
      <c r="N79" s="65">
        <f t="shared" si="48"/>
        <v>260.57208110978564</v>
      </c>
      <c r="O79" s="66">
        <v>60</v>
      </c>
      <c r="P79" s="30">
        <v>130.78200000000001</v>
      </c>
      <c r="Q79" s="7">
        <f t="shared" si="49"/>
        <v>36.556911057633229</v>
      </c>
      <c r="R79" s="67">
        <f t="shared" si="50"/>
        <v>1330.4621824445735</v>
      </c>
      <c r="S79" s="30">
        <v>120</v>
      </c>
      <c r="T79" s="30">
        <v>309.73500000000001</v>
      </c>
      <c r="U79" s="7">
        <f t="shared" si="51"/>
        <v>86.578847597039569</v>
      </c>
      <c r="V79" s="67">
        <f t="shared" si="52"/>
        <v>3150.974171365096</v>
      </c>
      <c r="W79" s="30">
        <v>180</v>
      </c>
      <c r="X79" s="112">
        <v>266.07900000000001</v>
      </c>
      <c r="Y79" s="7">
        <f t="shared" si="53"/>
        <v>74.375879993454703</v>
      </c>
      <c r="Z79" s="67">
        <f t="shared" ref="Z79:Z80" si="66">((Y79*$H$18*$H$19)/($H$20*$H$21*$F79))*1000*1.88</f>
        <v>5088.8893612287548</v>
      </c>
      <c r="AA79" s="69">
        <v>240</v>
      </c>
      <c r="AB79" s="112">
        <v>315.8</v>
      </c>
      <c r="AC79" s="7">
        <f t="shared" si="55"/>
        <v>88.274170084572603</v>
      </c>
      <c r="AD79" s="67">
        <f t="shared" ref="AD79:AD80" si="67">((AC79*$H$18*$H$19)/($H$20*$H$21*$F79))*1000*1.88</f>
        <v>6039.8274958791962</v>
      </c>
      <c r="AE79" s="70">
        <f t="shared" si="57"/>
        <v>1330.4621824445735</v>
      </c>
      <c r="AF79" s="70">
        <f t="shared" si="58"/>
        <v>3150.974171365096</v>
      </c>
      <c r="AG79" s="70">
        <f t="shared" si="64"/>
        <v>5088.8893612287548</v>
      </c>
      <c r="AH79" s="70">
        <f t="shared" si="65"/>
        <v>6039.8274958791962</v>
      </c>
      <c r="AI79" s="71">
        <f t="shared" si="61"/>
        <v>0.98099535151318051</v>
      </c>
      <c r="AJ79" s="72">
        <f t="shared" si="62"/>
        <v>26.776685216945882</v>
      </c>
      <c r="AK79" s="73">
        <f t="shared" si="63"/>
        <v>1606.6011130167528</v>
      </c>
    </row>
    <row r="80" spans="1:37">
      <c r="A80" s="3">
        <f>'Exptl Setup'!A118</f>
        <v>111</v>
      </c>
      <c r="B80" s="3" t="str">
        <f>'Exptl Setup'!C118</f>
        <v>c</v>
      </c>
      <c r="C80" s="3">
        <f>'Exptl Setup'!D118</f>
        <v>32</v>
      </c>
      <c r="D80" s="3" t="str">
        <f>'Exptl Setup'!E118</f>
        <v>+</v>
      </c>
      <c r="E80" s="111">
        <f>'Exptl Setup'!K118</f>
        <v>16.000487717548268</v>
      </c>
      <c r="F80" s="63">
        <f>'Exptl Setup'!F118</f>
        <v>31.995999999999999</v>
      </c>
      <c r="G80" s="64">
        <f>'Exptl Setup'!$C$5</f>
        <v>1.2793390913194711</v>
      </c>
      <c r="H80" s="7">
        <f t="shared" si="45"/>
        <v>25.009788426773003</v>
      </c>
      <c r="I80" s="8">
        <f t="shared" si="41"/>
        <v>9.4376560101030211</v>
      </c>
      <c r="J80" s="8">
        <f t="shared" si="46"/>
        <v>6.9862115732269956</v>
      </c>
      <c r="K80" s="8">
        <f>'Exptl Setup'!H118+'Exptl Setup'!I118+'Exptl Setup'!J118+5</f>
        <v>23.003024686832862</v>
      </c>
      <c r="L80" s="8">
        <f t="shared" si="47"/>
        <v>29.989236260059858</v>
      </c>
      <c r="M80" s="44">
        <v>300</v>
      </c>
      <c r="N80" s="65">
        <f t="shared" si="48"/>
        <v>260.57310772983715</v>
      </c>
      <c r="O80" s="66">
        <v>60</v>
      </c>
      <c r="P80" s="30">
        <v>184.59200000000001</v>
      </c>
      <c r="Q80" s="7">
        <f t="shared" si="49"/>
        <v>51.598319701087227</v>
      </c>
      <c r="R80" s="67">
        <f t="shared" si="50"/>
        <v>1878.0006896357645</v>
      </c>
      <c r="S80" s="30">
        <v>120</v>
      </c>
      <c r="T80" s="30">
        <v>393.92500000000001</v>
      </c>
      <c r="U80" s="7">
        <f t="shared" si="51"/>
        <v>110.11239971532237</v>
      </c>
      <c r="V80" s="67">
        <f t="shared" si="52"/>
        <v>4007.7111774333048</v>
      </c>
      <c r="W80" s="30">
        <v>180</v>
      </c>
      <c r="X80" s="112">
        <v>323.95800000000003</v>
      </c>
      <c r="Y80" s="7">
        <f t="shared" si="53"/>
        <v>90.554782730155253</v>
      </c>
      <c r="Z80" s="67">
        <f t="shared" si="66"/>
        <v>6196.2571137236891</v>
      </c>
      <c r="AA80" s="69">
        <v>240</v>
      </c>
      <c r="AB80" s="112">
        <v>24.265000000000001</v>
      </c>
      <c r="AC80" s="7">
        <f t="shared" si="55"/>
        <v>6.7827057919459213</v>
      </c>
      <c r="AD80" s="67">
        <f t="shared" si="67"/>
        <v>464.11009718699728</v>
      </c>
      <c r="AE80" s="70">
        <f t="shared" si="57"/>
        <v>1878.0006896357645</v>
      </c>
      <c r="AF80" s="70">
        <f t="shared" si="58"/>
        <v>4007.7111774333048</v>
      </c>
      <c r="AG80" s="70">
        <f t="shared" si="64"/>
        <v>6196.2571137236891</v>
      </c>
      <c r="AH80" s="70"/>
      <c r="AI80" s="71">
        <f t="shared" si="61"/>
        <v>0.99993812529323223</v>
      </c>
      <c r="AJ80" s="72">
        <f t="shared" si="62"/>
        <v>35.985470200732706</v>
      </c>
      <c r="AK80" s="73">
        <f t="shared" si="63"/>
        <v>2159.1282120439623</v>
      </c>
    </row>
    <row r="81" spans="1:37">
      <c r="A81" s="3">
        <f>'Exptl Setup'!A122</f>
        <v>115</v>
      </c>
      <c r="B81" s="3" t="str">
        <f>'Exptl Setup'!C122</f>
        <v>a</v>
      </c>
      <c r="C81" s="3">
        <f>'Exptl Setup'!D122</f>
        <v>32</v>
      </c>
      <c r="D81" s="3" t="str">
        <f>'Exptl Setup'!E122</f>
        <v>+</v>
      </c>
      <c r="E81" s="111">
        <f>'Exptl Setup'!K122</f>
        <v>19.994985354267858</v>
      </c>
      <c r="F81" s="63">
        <f>'Exptl Setup'!F122</f>
        <v>32.005000000000003</v>
      </c>
      <c r="G81" s="64">
        <f>'Exptl Setup'!$C$5</f>
        <v>1.2793390913194711</v>
      </c>
      <c r="H81" s="7">
        <f t="shared" ref="H81:H112" si="68">F81/G81</f>
        <v>25.016823309128331</v>
      </c>
      <c r="I81" s="8">
        <f t="shared" si="41"/>
        <v>9.4403106826899368</v>
      </c>
      <c r="J81" s="8">
        <f t="shared" ref="J81:J112" si="69">F81-H81</f>
        <v>6.988176690871672</v>
      </c>
      <c r="K81" s="8">
        <f>'Exptl Setup'!H122+'Exptl Setup'!I122+'Exptl Setup'!J122+5</f>
        <v>23.003024686832859</v>
      </c>
      <c r="L81" s="8">
        <f t="shared" ref="L81:L112" si="70">J81+K81</f>
        <v>29.991201377704531</v>
      </c>
      <c r="M81" s="44">
        <v>300</v>
      </c>
      <c r="N81" s="65">
        <f t="shared" ref="N81:N112" si="71">M81-(I81+L81)</f>
        <v>260.56848793960552</v>
      </c>
      <c r="O81" s="66">
        <v>60</v>
      </c>
      <c r="P81" s="30">
        <v>0.878</v>
      </c>
      <c r="Q81" s="7">
        <f t="shared" si="49"/>
        <v>0.24542113009065636</v>
      </c>
      <c r="R81" s="67">
        <f t="shared" si="50"/>
        <v>8.929969930440528</v>
      </c>
      <c r="S81" s="30">
        <v>120</v>
      </c>
      <c r="T81" s="30">
        <v>3.0459999999999998</v>
      </c>
      <c r="U81" s="7">
        <f t="shared" si="51"/>
        <v>0.85142683628261873</v>
      </c>
      <c r="V81" s="67">
        <f t="shared" si="52"/>
        <v>30.980282924967941</v>
      </c>
      <c r="W81" s="30">
        <v>180</v>
      </c>
      <c r="X81" s="30">
        <v>5.4580000000000002</v>
      </c>
      <c r="Y81" s="7">
        <f t="shared" si="53"/>
        <v>1.5256361367138982</v>
      </c>
      <c r="Z81" s="67">
        <f t="shared" si="54"/>
        <v>55.512273212237368</v>
      </c>
      <c r="AA81" s="69">
        <v>240</v>
      </c>
      <c r="AB81" s="113">
        <v>9.7010000000000005</v>
      </c>
      <c r="AC81" s="7">
        <f t="shared" si="55"/>
        <v>2.7116519168672641</v>
      </c>
      <c r="AD81" s="67">
        <f t="shared" si="56"/>
        <v>98.667014003648731</v>
      </c>
      <c r="AE81" s="70">
        <f t="shared" si="57"/>
        <v>8.929969930440528</v>
      </c>
      <c r="AF81" s="70">
        <f t="shared" si="58"/>
        <v>30.980282924967941</v>
      </c>
      <c r="AG81" s="70">
        <f t="shared" si="59"/>
        <v>55.512273212237368</v>
      </c>
      <c r="AH81" s="70">
        <f t="shared" si="60"/>
        <v>98.667014003648731</v>
      </c>
      <c r="AI81" s="71">
        <f t="shared" si="61"/>
        <v>0.97197873813234759</v>
      </c>
      <c r="AJ81" s="72">
        <f t="shared" si="62"/>
        <v>0.48957187084482345</v>
      </c>
      <c r="AK81" s="73">
        <f t="shared" si="63"/>
        <v>29.374312250689407</v>
      </c>
    </row>
    <row r="82" spans="1:37">
      <c r="A82" s="3">
        <f>'Exptl Setup'!A123</f>
        <v>116</v>
      </c>
      <c r="B82" s="3" t="str">
        <f>'Exptl Setup'!C123</f>
        <v>b</v>
      </c>
      <c r="C82" s="3">
        <f>'Exptl Setup'!D123</f>
        <v>32</v>
      </c>
      <c r="D82" s="3" t="str">
        <f>'Exptl Setup'!E123</f>
        <v>+</v>
      </c>
      <c r="E82" s="111">
        <f>'Exptl Setup'!K123</f>
        <v>19.999984569282837</v>
      </c>
      <c r="F82" s="63">
        <f>'Exptl Setup'!F123</f>
        <v>31.997</v>
      </c>
      <c r="G82" s="64">
        <f>'Exptl Setup'!$C$5</f>
        <v>1.2793390913194711</v>
      </c>
      <c r="H82" s="7">
        <f t="shared" si="68"/>
        <v>25.010570080368041</v>
      </c>
      <c r="I82" s="8">
        <f t="shared" si="41"/>
        <v>9.4379509737237886</v>
      </c>
      <c r="J82" s="8">
        <f t="shared" si="69"/>
        <v>6.9864299196319593</v>
      </c>
      <c r="K82" s="8">
        <f>'Exptl Setup'!H123+'Exptl Setup'!I123+'Exptl Setup'!J123+5</f>
        <v>23.003024686832859</v>
      </c>
      <c r="L82" s="8">
        <f t="shared" si="70"/>
        <v>29.989454606464818</v>
      </c>
      <c r="M82" s="44">
        <v>300</v>
      </c>
      <c r="N82" s="65">
        <f t="shared" si="71"/>
        <v>260.57259441981137</v>
      </c>
      <c r="O82" s="66">
        <v>60</v>
      </c>
      <c r="P82" s="30">
        <v>7.2999999999999995E-2</v>
      </c>
      <c r="Q82" s="7">
        <f t="shared" si="49"/>
        <v>2.0405392870370086E-2</v>
      </c>
      <c r="R82" s="67">
        <f t="shared" si="50"/>
        <v>0.74266263805916855</v>
      </c>
      <c r="S82" s="30">
        <v>120</v>
      </c>
      <c r="T82" s="30">
        <v>0.17199999999999999</v>
      </c>
      <c r="U82" s="7">
        <f t="shared" si="51"/>
        <v>4.8078459913748706E-2</v>
      </c>
      <c r="V82" s="67">
        <f t="shared" si="52"/>
        <v>1.7498352567969453</v>
      </c>
      <c r="W82" s="30">
        <v>180</v>
      </c>
      <c r="X82" s="30">
        <v>0.30199999999999999</v>
      </c>
      <c r="Y82" s="7">
        <f t="shared" si="53"/>
        <v>8.4416830778791321E-2</v>
      </c>
      <c r="Z82" s="67">
        <f t="shared" si="54"/>
        <v>3.0723851601899854</v>
      </c>
      <c r="AA82" s="69">
        <v>240</v>
      </c>
      <c r="AB82" s="113">
        <v>0.45100000000000001</v>
      </c>
      <c r="AC82" s="7">
        <f t="shared" si="55"/>
        <v>0.12606619430872482</v>
      </c>
      <c r="AD82" s="67">
        <f t="shared" si="56"/>
        <v>4.588230818694317</v>
      </c>
      <c r="AE82" s="70">
        <f t="shared" si="57"/>
        <v>0.74266263805916855</v>
      </c>
      <c r="AF82" s="70">
        <f t="shared" si="58"/>
        <v>1.7498352567969453</v>
      </c>
      <c r="AG82" s="70">
        <f t="shared" si="59"/>
        <v>3.0723851601899854</v>
      </c>
      <c r="AH82" s="70">
        <f t="shared" si="60"/>
        <v>4.588230818694317</v>
      </c>
      <c r="AI82" s="71">
        <f t="shared" si="61"/>
        <v>0.99214824198616403</v>
      </c>
      <c r="AJ82" s="72">
        <f t="shared" si="62"/>
        <v>2.143209074216414E-2</v>
      </c>
      <c r="AK82" s="73">
        <f t="shared" si="63"/>
        <v>1.2859254445298485</v>
      </c>
    </row>
    <row r="83" spans="1:37">
      <c r="A83" s="3">
        <f>'Exptl Setup'!A124</f>
        <v>117</v>
      </c>
      <c r="B83" s="3" t="str">
        <f>'Exptl Setup'!C124</f>
        <v>c</v>
      </c>
      <c r="C83" s="3">
        <f>'Exptl Setup'!D124</f>
        <v>32</v>
      </c>
      <c r="D83" s="3" t="str">
        <f>'Exptl Setup'!E124</f>
        <v>+</v>
      </c>
      <c r="E83" s="111">
        <f>'Exptl Setup'!K124</f>
        <v>20.000609646935334</v>
      </c>
      <c r="F83" s="63">
        <f>'Exptl Setup'!F124</f>
        <v>31.995999999999999</v>
      </c>
      <c r="G83" s="64">
        <f>'Exptl Setup'!$C$5</f>
        <v>1.2793390913194711</v>
      </c>
      <c r="H83" s="7">
        <f t="shared" si="68"/>
        <v>25.009788426773003</v>
      </c>
      <c r="I83" s="8">
        <f t="shared" si="41"/>
        <v>9.4376560101030211</v>
      </c>
      <c r="J83" s="8">
        <f t="shared" si="69"/>
        <v>6.9862115732269956</v>
      </c>
      <c r="K83" s="8">
        <f>'Exptl Setup'!H124+'Exptl Setup'!I124+'Exptl Setup'!J124+5</f>
        <v>23.003024686832859</v>
      </c>
      <c r="L83" s="8">
        <f t="shared" si="70"/>
        <v>29.989236260059855</v>
      </c>
      <c r="M83" s="44">
        <v>300</v>
      </c>
      <c r="N83" s="65">
        <f t="shared" si="71"/>
        <v>260.57310772983715</v>
      </c>
      <c r="O83" s="66">
        <v>60</v>
      </c>
      <c r="P83" s="30">
        <v>2.5000000000000001E-2</v>
      </c>
      <c r="Q83" s="7">
        <f t="shared" si="49"/>
        <v>6.9881576261548745E-3</v>
      </c>
      <c r="R83" s="67">
        <f t="shared" si="50"/>
        <v>0.25434481039749346</v>
      </c>
      <c r="S83" s="30">
        <v>120</v>
      </c>
      <c r="T83" s="30">
        <v>9.2999999999999999E-2</v>
      </c>
      <c r="U83" s="7">
        <f t="shared" si="51"/>
        <v>2.5995946369296131E-2</v>
      </c>
      <c r="V83" s="67">
        <f t="shared" si="52"/>
        <v>0.94616269467867542</v>
      </c>
      <c r="W83" s="30">
        <v>180</v>
      </c>
      <c r="X83" s="30">
        <v>0.16900000000000001</v>
      </c>
      <c r="Y83" s="7">
        <f t="shared" si="53"/>
        <v>4.7239945552806951E-2</v>
      </c>
      <c r="Z83" s="67">
        <f t="shared" si="54"/>
        <v>1.7193709182870553</v>
      </c>
      <c r="AA83" s="69">
        <v>240</v>
      </c>
      <c r="AB83" s="113">
        <v>0.23699999999999999</v>
      </c>
      <c r="AC83" s="7">
        <f t="shared" si="55"/>
        <v>6.6247734295948213E-2</v>
      </c>
      <c r="AD83" s="67">
        <f t="shared" si="56"/>
        <v>2.4111888025682378</v>
      </c>
      <c r="AE83" s="70">
        <f t="shared" si="57"/>
        <v>0.25434481039749346</v>
      </c>
      <c r="AF83" s="70">
        <f t="shared" si="58"/>
        <v>0.94616269467867542</v>
      </c>
      <c r="AG83" s="70">
        <f t="shared" si="59"/>
        <v>1.7193709182870553</v>
      </c>
      <c r="AH83" s="70">
        <f t="shared" si="60"/>
        <v>2.4111888025682378</v>
      </c>
      <c r="AI83" s="71">
        <f t="shared" si="61"/>
        <v>0.9994952681388013</v>
      </c>
      <c r="AJ83" s="72">
        <f t="shared" si="62"/>
        <v>1.2072900333534354E-2</v>
      </c>
      <c r="AK83" s="73">
        <f t="shared" si="63"/>
        <v>0.72437402001206119</v>
      </c>
    </row>
    <row r="84" spans="1:37">
      <c r="A84" s="3">
        <f>'Exptl Setup'!A128</f>
        <v>121</v>
      </c>
      <c r="B84" s="3" t="str">
        <f>'Exptl Setup'!C128</f>
        <v>a</v>
      </c>
      <c r="C84" s="3">
        <f>'Exptl Setup'!D128</f>
        <v>32</v>
      </c>
      <c r="D84" s="3" t="str">
        <f>'Exptl Setup'!E128</f>
        <v>-</v>
      </c>
      <c r="E84" s="111">
        <f>'Exptl Setup'!K128</f>
        <v>0</v>
      </c>
      <c r="F84" s="63">
        <f>'Exptl Setup'!F128</f>
        <v>31.995999999999999</v>
      </c>
      <c r="G84" s="64">
        <f>'Exptl Setup'!$C$5</f>
        <v>1.2793390913194711</v>
      </c>
      <c r="H84" s="7">
        <f t="shared" si="68"/>
        <v>25.009788426773003</v>
      </c>
      <c r="I84" s="8">
        <f t="shared" si="41"/>
        <v>9.4376560101030211</v>
      </c>
      <c r="J84" s="8">
        <f t="shared" si="69"/>
        <v>6.9862115732269956</v>
      </c>
      <c r="K84" s="8">
        <f>'Exptl Setup'!H128+'Exptl Setup'!I128+'Exptl Setup'!J128+5</f>
        <v>23.003024686832859</v>
      </c>
      <c r="L84" s="8">
        <f t="shared" si="70"/>
        <v>29.989236260059855</v>
      </c>
      <c r="M84" s="44">
        <v>300</v>
      </c>
      <c r="N84" s="65">
        <f t="shared" si="71"/>
        <v>260.57310772983715</v>
      </c>
      <c r="O84" s="66">
        <v>60</v>
      </c>
      <c r="P84" s="30">
        <v>36.561</v>
      </c>
      <c r="Q84" s="7">
        <f t="shared" si="49"/>
        <v>10.219761238793936</v>
      </c>
      <c r="R84" s="67">
        <f t="shared" si="50"/>
        <v>371.96402451771036</v>
      </c>
      <c r="S84" s="30">
        <v>120</v>
      </c>
      <c r="T84" s="30">
        <v>48.95</v>
      </c>
      <c r="U84" s="7">
        <f t="shared" si="51"/>
        <v>13.682812632011245</v>
      </c>
      <c r="V84" s="67">
        <f t="shared" si="52"/>
        <v>498.00713875829211</v>
      </c>
      <c r="W84" s="30">
        <v>180</v>
      </c>
      <c r="X84" s="30">
        <v>59.924999999999997</v>
      </c>
      <c r="Y84" s="7">
        <f t="shared" si="53"/>
        <v>16.750613829893236</v>
      </c>
      <c r="Z84" s="67">
        <f t="shared" si="54"/>
        <v>609.66451052279194</v>
      </c>
      <c r="AA84" s="69">
        <v>240</v>
      </c>
      <c r="AB84" s="113">
        <v>68.736000000000004</v>
      </c>
      <c r="AC84" s="7">
        <f t="shared" si="55"/>
        <v>19.213520103655259</v>
      </c>
      <c r="AD84" s="67">
        <f t="shared" si="56"/>
        <v>699.30579549928439</v>
      </c>
      <c r="AE84" s="70">
        <f t="shared" si="57"/>
        <v>371.96402451771036</v>
      </c>
      <c r="AF84" s="70">
        <f t="shared" si="58"/>
        <v>498.00713875829211</v>
      </c>
      <c r="AG84" s="70">
        <f t="shared" si="59"/>
        <v>609.66451052279194</v>
      </c>
      <c r="AH84" s="70">
        <f t="shared" si="60"/>
        <v>699.30579549928439</v>
      </c>
      <c r="AI84" s="71">
        <f t="shared" si="61"/>
        <v>0.99444334360444786</v>
      </c>
      <c r="AJ84" s="72">
        <f t="shared" si="62"/>
        <v>1.82280447451537</v>
      </c>
      <c r="AK84" s="73">
        <f t="shared" si="63"/>
        <v>109.3682684709222</v>
      </c>
    </row>
    <row r="85" spans="1:37">
      <c r="A85" s="3">
        <f>'Exptl Setup'!A129</f>
        <v>122</v>
      </c>
      <c r="B85" s="3" t="str">
        <f>'Exptl Setup'!C129</f>
        <v>b</v>
      </c>
      <c r="C85" s="3">
        <f>'Exptl Setup'!D129</f>
        <v>32</v>
      </c>
      <c r="D85" s="3" t="str">
        <f>'Exptl Setup'!E129</f>
        <v>-</v>
      </c>
      <c r="E85" s="111">
        <f>'Exptl Setup'!K129</f>
        <v>0</v>
      </c>
      <c r="F85" s="63">
        <f>'Exptl Setup'!F129</f>
        <v>32.003</v>
      </c>
      <c r="G85" s="64">
        <f>'Exptl Setup'!$C$5</f>
        <v>1.2793390913194711</v>
      </c>
      <c r="H85" s="7">
        <f t="shared" si="68"/>
        <v>25.015260001938255</v>
      </c>
      <c r="I85" s="8">
        <f t="shared" si="41"/>
        <v>9.4397207554483984</v>
      </c>
      <c r="J85" s="8">
        <f t="shared" si="69"/>
        <v>6.9877399980617447</v>
      </c>
      <c r="K85" s="8">
        <f>'Exptl Setup'!H129+'Exptl Setup'!I129+'Exptl Setup'!J129+5</f>
        <v>23.003024686832859</v>
      </c>
      <c r="L85" s="8">
        <f t="shared" si="70"/>
        <v>29.990764684894604</v>
      </c>
      <c r="M85" s="44">
        <v>300</v>
      </c>
      <c r="N85" s="65">
        <f t="shared" si="71"/>
        <v>260.56951455965702</v>
      </c>
      <c r="O85" s="66">
        <v>60</v>
      </c>
      <c r="P85" s="30">
        <v>34.079000000000001</v>
      </c>
      <c r="Q85" s="7">
        <f t="shared" si="49"/>
        <v>9.5258874171267554</v>
      </c>
      <c r="R85" s="67">
        <f t="shared" si="50"/>
        <v>346.63357749149469</v>
      </c>
      <c r="S85" s="30">
        <v>120</v>
      </c>
      <c r="T85" s="30">
        <v>47.631</v>
      </c>
      <c r="U85" s="7">
        <f t="shared" si="51"/>
        <v>13.313992299221351</v>
      </c>
      <c r="V85" s="67">
        <f t="shared" si="52"/>
        <v>484.47735935612502</v>
      </c>
      <c r="W85" s="30">
        <v>180</v>
      </c>
      <c r="X85" s="30">
        <v>59.412999999999997</v>
      </c>
      <c r="Y85" s="7">
        <f t="shared" si="53"/>
        <v>16.607340271538245</v>
      </c>
      <c r="Z85" s="67">
        <f t="shared" si="54"/>
        <v>604.31763665313463</v>
      </c>
      <c r="AA85" s="69">
        <v>240</v>
      </c>
      <c r="AB85" s="113">
        <v>67.117000000000004</v>
      </c>
      <c r="AC85" s="7">
        <f t="shared" si="55"/>
        <v>18.760790685621537</v>
      </c>
      <c r="AD85" s="67">
        <f t="shared" si="56"/>
        <v>682.67865314406674</v>
      </c>
      <c r="AE85" s="70">
        <f t="shared" si="57"/>
        <v>346.63357749149469</v>
      </c>
      <c r="AF85" s="70">
        <f t="shared" si="58"/>
        <v>484.47735935612502</v>
      </c>
      <c r="AG85" s="70">
        <f t="shared" si="59"/>
        <v>604.31763665313463</v>
      </c>
      <c r="AH85" s="70">
        <f t="shared" si="60"/>
        <v>682.67865314406674</v>
      </c>
      <c r="AI85" s="71">
        <f t="shared" si="61"/>
        <v>0.98586508592920741</v>
      </c>
      <c r="AJ85" s="72">
        <f t="shared" si="62"/>
        <v>1.8799591737578765</v>
      </c>
      <c r="AK85" s="73">
        <f t="shared" si="63"/>
        <v>112.79755042547259</v>
      </c>
    </row>
    <row r="86" spans="1:37">
      <c r="A86" s="3">
        <f>'Exptl Setup'!A130</f>
        <v>123</v>
      </c>
      <c r="B86" s="3" t="str">
        <f>'Exptl Setup'!C130</f>
        <v>c</v>
      </c>
      <c r="C86" s="3">
        <f>'Exptl Setup'!D130</f>
        <v>32</v>
      </c>
      <c r="D86" s="3" t="str">
        <f>'Exptl Setup'!E130</f>
        <v>-</v>
      </c>
      <c r="E86" s="111">
        <f>'Exptl Setup'!K130</f>
        <v>0</v>
      </c>
      <c r="F86" s="63">
        <f>'Exptl Setup'!F130</f>
        <v>31.994</v>
      </c>
      <c r="G86" s="64">
        <f>'Exptl Setup'!$C$5</f>
        <v>1.2793390913194711</v>
      </c>
      <c r="H86" s="7">
        <f t="shared" si="68"/>
        <v>25.008225119582931</v>
      </c>
      <c r="I86" s="8">
        <f t="shared" si="41"/>
        <v>9.4370660828614845</v>
      </c>
      <c r="J86" s="8">
        <f t="shared" si="69"/>
        <v>6.9857748804170683</v>
      </c>
      <c r="K86" s="8">
        <f>'Exptl Setup'!H130+'Exptl Setup'!I130+'Exptl Setup'!J130+5</f>
        <v>23.003024686832859</v>
      </c>
      <c r="L86" s="8">
        <f t="shared" si="70"/>
        <v>29.988799567249927</v>
      </c>
      <c r="M86" s="44">
        <v>300</v>
      </c>
      <c r="N86" s="65">
        <f t="shared" si="71"/>
        <v>260.5741343498886</v>
      </c>
      <c r="O86" s="66">
        <v>60</v>
      </c>
      <c r="P86" s="30">
        <v>36.362000000000002</v>
      </c>
      <c r="Q86" s="7">
        <f t="shared" si="49"/>
        <v>10.164162798504915</v>
      </c>
      <c r="R86" s="67">
        <f t="shared" si="50"/>
        <v>369.96355886255276</v>
      </c>
      <c r="S86" s="30">
        <v>120</v>
      </c>
      <c r="T86" s="30">
        <v>49.683</v>
      </c>
      <c r="U86" s="7">
        <f t="shared" si="51"/>
        <v>13.887742707170112</v>
      </c>
      <c r="V86" s="67">
        <f t="shared" si="52"/>
        <v>505.49748349838319</v>
      </c>
      <c r="W86" s="30">
        <v>180</v>
      </c>
      <c r="X86" s="30">
        <v>61.180999999999997</v>
      </c>
      <c r="Y86" s="7">
        <f t="shared" si="53"/>
        <v>17.10174479333725</v>
      </c>
      <c r="Z86" s="67">
        <f t="shared" si="54"/>
        <v>622.48337535806172</v>
      </c>
      <c r="AA86" s="69">
        <v>240</v>
      </c>
      <c r="AB86" s="113">
        <v>70.518000000000001</v>
      </c>
      <c r="AC86" s="7">
        <f t="shared" si="55"/>
        <v>19.711688912187711</v>
      </c>
      <c r="AD86" s="67">
        <f t="shared" si="56"/>
        <v>717.48226840848963</v>
      </c>
      <c r="AE86" s="70">
        <f t="shared" si="57"/>
        <v>369.96355886255276</v>
      </c>
      <c r="AF86" s="70">
        <f t="shared" si="58"/>
        <v>505.49748349838319</v>
      </c>
      <c r="AG86" s="70">
        <f t="shared" si="59"/>
        <v>622.48337535806172</v>
      </c>
      <c r="AH86" s="70">
        <f t="shared" si="60"/>
        <v>717.48226840848963</v>
      </c>
      <c r="AI86" s="71">
        <f t="shared" si="61"/>
        <v>0.99391818193708692</v>
      </c>
      <c r="AJ86" s="72">
        <f t="shared" si="62"/>
        <v>1.9325700341624816</v>
      </c>
      <c r="AK86" s="73">
        <f t="shared" si="63"/>
        <v>115.9542020497489</v>
      </c>
    </row>
    <row r="87" spans="1:37">
      <c r="A87" s="3">
        <f>'Exptl Setup'!A134</f>
        <v>127</v>
      </c>
      <c r="B87" s="3" t="str">
        <f>'Exptl Setup'!C134</f>
        <v>a</v>
      </c>
      <c r="C87" s="3">
        <f>'Exptl Setup'!D134</f>
        <v>32</v>
      </c>
      <c r="D87" s="3" t="str">
        <f>'Exptl Setup'!E134</f>
        <v>-</v>
      </c>
      <c r="E87" s="111">
        <f>'Exptl Setup'!K134</f>
        <v>5.9996203593550685</v>
      </c>
      <c r="F87" s="63">
        <f>'Exptl Setup'!F134</f>
        <v>31.998999999999999</v>
      </c>
      <c r="G87" s="64">
        <f>'Exptl Setup'!$C$5</f>
        <v>1.2793390913194711</v>
      </c>
      <c r="H87" s="7">
        <f t="shared" si="68"/>
        <v>25.012133387558112</v>
      </c>
      <c r="I87" s="8">
        <f t="shared" si="41"/>
        <v>9.4385409009653252</v>
      </c>
      <c r="J87" s="8">
        <f t="shared" si="69"/>
        <v>6.9868666124418866</v>
      </c>
      <c r="K87" s="8">
        <f>'Exptl Setup'!H134+'Exptl Setup'!I134+'Exptl Setup'!J134+5</f>
        <v>23.003024686832859</v>
      </c>
      <c r="L87" s="8">
        <f t="shared" si="70"/>
        <v>29.989891299274746</v>
      </c>
      <c r="M87" s="44">
        <v>300</v>
      </c>
      <c r="N87" s="65">
        <f t="shared" si="71"/>
        <v>260.57156779975992</v>
      </c>
      <c r="O87" s="66">
        <v>60</v>
      </c>
      <c r="P87" s="30">
        <v>8.8949999999999996</v>
      </c>
      <c r="Q87" s="7">
        <f t="shared" si="49"/>
        <v>2.4863764681025193</v>
      </c>
      <c r="R87" s="67">
        <f t="shared" si="50"/>
        <v>90.487034797651759</v>
      </c>
      <c r="S87" s="30">
        <v>120</v>
      </c>
      <c r="T87" s="30">
        <v>14.048999999999999</v>
      </c>
      <c r="U87" s="7">
        <f t="shared" si="51"/>
        <v>3.9270492411885658</v>
      </c>
      <c r="V87" s="67">
        <f t="shared" si="52"/>
        <v>142.91763371244627</v>
      </c>
      <c r="W87" s="30">
        <v>180</v>
      </c>
      <c r="X87" s="30">
        <v>20.001999999999999</v>
      </c>
      <c r="Y87" s="7">
        <f t="shared" si="53"/>
        <v>5.5910626323762331</v>
      </c>
      <c r="Z87" s="67">
        <f t="shared" si="54"/>
        <v>203.47629792272406</v>
      </c>
      <c r="AA87" s="69">
        <v>240</v>
      </c>
      <c r="AB87" s="113">
        <v>28.181999999999999</v>
      </c>
      <c r="AC87" s="7">
        <f t="shared" si="55"/>
        <v>7.877578597421607</v>
      </c>
      <c r="AD87" s="67">
        <f t="shared" si="56"/>
        <v>286.68978242466801</v>
      </c>
      <c r="AE87" s="70">
        <f t="shared" si="57"/>
        <v>90.487034797651759</v>
      </c>
      <c r="AF87" s="70">
        <f t="shared" si="58"/>
        <v>142.91763371244627</v>
      </c>
      <c r="AG87" s="70">
        <f t="shared" si="59"/>
        <v>203.47629792272406</v>
      </c>
      <c r="AH87" s="70">
        <f t="shared" si="60"/>
        <v>286.68978242466801</v>
      </c>
      <c r="AI87" s="71">
        <f t="shared" si="61"/>
        <v>0.98839272005191303</v>
      </c>
      <c r="AJ87" s="72">
        <f t="shared" si="62"/>
        <v>1.0819448451522109</v>
      </c>
      <c r="AK87" s="73">
        <f t="shared" si="63"/>
        <v>64.916690709132652</v>
      </c>
    </row>
    <row r="88" spans="1:37">
      <c r="A88" s="3">
        <f>'Exptl Setup'!A135</f>
        <v>128</v>
      </c>
      <c r="B88" s="3" t="str">
        <f>'Exptl Setup'!C135</f>
        <v>b</v>
      </c>
      <c r="C88" s="3">
        <f>'Exptl Setup'!D135</f>
        <v>32</v>
      </c>
      <c r="D88" s="3" t="str">
        <f>'Exptl Setup'!E135</f>
        <v>-</v>
      </c>
      <c r="E88" s="111">
        <f>'Exptl Setup'!K135</f>
        <v>5.9994328712188389</v>
      </c>
      <c r="F88" s="63">
        <f>'Exptl Setup'!F135</f>
        <v>32</v>
      </c>
      <c r="G88" s="64">
        <f>'Exptl Setup'!$C$5</f>
        <v>1.2793390913194711</v>
      </c>
      <c r="H88" s="7">
        <f t="shared" si="68"/>
        <v>25.01291504115315</v>
      </c>
      <c r="I88" s="8">
        <f t="shared" si="41"/>
        <v>9.4388358645860944</v>
      </c>
      <c r="J88" s="8">
        <f t="shared" si="69"/>
        <v>6.9870849588468502</v>
      </c>
      <c r="K88" s="8">
        <f>'Exptl Setup'!H135+'Exptl Setup'!I135+'Exptl Setup'!J135+5</f>
        <v>23.003024686832859</v>
      </c>
      <c r="L88" s="8">
        <f t="shared" si="70"/>
        <v>29.990109645679709</v>
      </c>
      <c r="M88" s="44">
        <v>300</v>
      </c>
      <c r="N88" s="65">
        <f t="shared" si="71"/>
        <v>260.57105448973419</v>
      </c>
      <c r="O88" s="66">
        <v>60</v>
      </c>
      <c r="P88" s="30">
        <v>7.6079999999999997</v>
      </c>
      <c r="Q88" s="7">
        <f t="shared" si="49"/>
        <v>2.1266247072023954</v>
      </c>
      <c r="R88" s="67">
        <f t="shared" si="50"/>
        <v>77.39212176913334</v>
      </c>
      <c r="S88" s="30">
        <v>120</v>
      </c>
      <c r="T88" s="30">
        <v>14.855</v>
      </c>
      <c r="U88" s="7">
        <f t="shared" si="51"/>
        <v>4.1523409602381154</v>
      </c>
      <c r="V88" s="67">
        <f t="shared" si="52"/>
        <v>151.11198329133481</v>
      </c>
      <c r="W88" s="30">
        <v>180</v>
      </c>
      <c r="X88" s="30">
        <v>22.175000000000001</v>
      </c>
      <c r="Y88" s="7">
        <f t="shared" si="53"/>
        <v>6.1984625239501998</v>
      </c>
      <c r="Z88" s="67">
        <f t="shared" si="54"/>
        <v>225.57443483576915</v>
      </c>
      <c r="AA88" s="69">
        <v>240</v>
      </c>
      <c r="AB88" s="113">
        <v>34.878999999999998</v>
      </c>
      <c r="AC88" s="7">
        <f t="shared" si="55"/>
        <v>9.7495456312450504</v>
      </c>
      <c r="AD88" s="67">
        <f t="shared" si="56"/>
        <v>354.8054436363829</v>
      </c>
      <c r="AE88" s="70">
        <f t="shared" si="57"/>
        <v>77.39212176913334</v>
      </c>
      <c r="AF88" s="70">
        <f t="shared" si="58"/>
        <v>151.11198329133481</v>
      </c>
      <c r="AG88" s="70">
        <f t="shared" si="59"/>
        <v>225.57443483576915</v>
      </c>
      <c r="AH88" s="70">
        <f t="shared" si="60"/>
        <v>354.8054436363829</v>
      </c>
      <c r="AI88" s="71">
        <f t="shared" si="61"/>
        <v>0.97819435024717449</v>
      </c>
      <c r="AJ88" s="72">
        <f t="shared" si="62"/>
        <v>1.5111706952436383</v>
      </c>
      <c r="AK88" s="73">
        <f t="shared" si="63"/>
        <v>90.6702417146183</v>
      </c>
    </row>
    <row r="89" spans="1:37">
      <c r="A89" s="3">
        <f>'Exptl Setup'!A136</f>
        <v>129</v>
      </c>
      <c r="B89" s="3" t="str">
        <f>'Exptl Setup'!C136</f>
        <v>c</v>
      </c>
      <c r="C89" s="3">
        <f>'Exptl Setup'!D136</f>
        <v>32</v>
      </c>
      <c r="D89" s="3" t="str">
        <f>'Exptl Setup'!E136</f>
        <v>-</v>
      </c>
      <c r="E89" s="111">
        <f>'Exptl Setup'!K136</f>
        <v>5.9971839272461223</v>
      </c>
      <c r="F89" s="63">
        <f>'Exptl Setup'!F136</f>
        <v>32.012</v>
      </c>
      <c r="G89" s="64">
        <f>'Exptl Setup'!$C$5</f>
        <v>1.2793390913194711</v>
      </c>
      <c r="H89" s="7">
        <f t="shared" si="68"/>
        <v>25.022294884293583</v>
      </c>
      <c r="I89" s="8">
        <f t="shared" si="41"/>
        <v>9.442375428035314</v>
      </c>
      <c r="J89" s="8">
        <f t="shared" si="69"/>
        <v>6.9897051157064176</v>
      </c>
      <c r="K89" s="8">
        <f>'Exptl Setup'!H136+'Exptl Setup'!I136+'Exptl Setup'!J136+5</f>
        <v>23.003024686832859</v>
      </c>
      <c r="L89" s="8">
        <f t="shared" si="70"/>
        <v>29.992729802539277</v>
      </c>
      <c r="M89" s="44">
        <v>300</v>
      </c>
      <c r="N89" s="65">
        <f t="shared" si="71"/>
        <v>260.56489476942539</v>
      </c>
      <c r="O89" s="66">
        <v>60</v>
      </c>
      <c r="P89" s="30">
        <v>10.234999999999999</v>
      </c>
      <c r="Q89" s="7">
        <f t="shared" si="49"/>
        <v>2.8608902705473902</v>
      </c>
      <c r="R89" s="67">
        <f t="shared" si="50"/>
        <v>104.07448463889205</v>
      </c>
      <c r="S89" s="30">
        <v>120</v>
      </c>
      <c r="T89" s="30">
        <v>14.709</v>
      </c>
      <c r="U89" s="7">
        <f t="shared" si="51"/>
        <v>4.1114640927681059</v>
      </c>
      <c r="V89" s="67">
        <f t="shared" si="52"/>
        <v>149.56830430419768</v>
      </c>
      <c r="W89" s="30">
        <v>180</v>
      </c>
      <c r="X89" s="30">
        <v>17.898</v>
      </c>
      <c r="Y89" s="7">
        <f t="shared" si="53"/>
        <v>5.0028543294828713</v>
      </c>
      <c r="Z89" s="67">
        <f t="shared" si="54"/>
        <v>181.99561563916853</v>
      </c>
      <c r="AA89" s="69">
        <v>240</v>
      </c>
      <c r="AB89" s="113">
        <v>20.917000000000002</v>
      </c>
      <c r="AC89" s="7">
        <f t="shared" si="55"/>
        <v>5.8467261151968506</v>
      </c>
      <c r="AD89" s="67">
        <f t="shared" si="56"/>
        <v>212.69428384872543</v>
      </c>
      <c r="AE89" s="70">
        <f t="shared" si="57"/>
        <v>104.07448463889205</v>
      </c>
      <c r="AF89" s="70">
        <f t="shared" si="58"/>
        <v>149.56830430419768</v>
      </c>
      <c r="AG89" s="70">
        <f t="shared" si="59"/>
        <v>181.99561563916853</v>
      </c>
      <c r="AH89" s="70">
        <f t="shared" si="60"/>
        <v>212.69428384872543</v>
      </c>
      <c r="AI89" s="71">
        <f t="shared" si="61"/>
        <v>0.99056248852186057</v>
      </c>
      <c r="AJ89" s="72">
        <f t="shared" si="62"/>
        <v>0.59714451494078502</v>
      </c>
      <c r="AK89" s="73">
        <f t="shared" si="63"/>
        <v>35.8286708964471</v>
      </c>
    </row>
    <row r="90" spans="1:37">
      <c r="A90" s="3">
        <f>'Exptl Setup'!A140</f>
        <v>133</v>
      </c>
      <c r="B90" s="3" t="str">
        <f>'Exptl Setup'!C140</f>
        <v>a</v>
      </c>
      <c r="C90" s="3">
        <f>'Exptl Setup'!D140</f>
        <v>32</v>
      </c>
      <c r="D90" s="3" t="str">
        <f>'Exptl Setup'!E140</f>
        <v>-</v>
      </c>
      <c r="E90" s="111">
        <f>'Exptl Setup'!K140</f>
        <v>15.998487656583571</v>
      </c>
      <c r="F90" s="63">
        <f>'Exptl Setup'!F140</f>
        <v>32</v>
      </c>
      <c r="G90" s="64">
        <f>'Exptl Setup'!$C$5</f>
        <v>1.2793390913194711</v>
      </c>
      <c r="H90" s="7">
        <f t="shared" si="68"/>
        <v>25.01291504115315</v>
      </c>
      <c r="I90" s="8">
        <f t="shared" ref="I90:I120" si="72">H90/H$16</f>
        <v>9.4388358645860944</v>
      </c>
      <c r="J90" s="8">
        <f t="shared" si="69"/>
        <v>6.9870849588468502</v>
      </c>
      <c r="K90" s="8">
        <f>'Exptl Setup'!H140+'Exptl Setup'!I140+'Exptl Setup'!J140+5</f>
        <v>23.003024686832862</v>
      </c>
      <c r="L90" s="8">
        <f t="shared" si="70"/>
        <v>29.990109645679713</v>
      </c>
      <c r="M90" s="44">
        <v>300</v>
      </c>
      <c r="N90" s="65">
        <f t="shared" si="71"/>
        <v>260.57105448973419</v>
      </c>
      <c r="O90" s="66">
        <v>60</v>
      </c>
      <c r="P90" s="30">
        <v>4.5640000000000001</v>
      </c>
      <c r="Q90" s="7">
        <f t="shared" si="49"/>
        <v>1.2757512044784085</v>
      </c>
      <c r="R90" s="67">
        <f t="shared" si="50"/>
        <v>46.427135088633605</v>
      </c>
      <c r="S90" s="30">
        <v>120</v>
      </c>
      <c r="T90" s="30">
        <v>8.2899999999999991</v>
      </c>
      <c r="U90" s="7">
        <f t="shared" si="51"/>
        <v>2.3172606233843132</v>
      </c>
      <c r="V90" s="67">
        <f t="shared" si="52"/>
        <v>84.32974362067759</v>
      </c>
      <c r="W90" s="30">
        <v>180</v>
      </c>
      <c r="X90" s="30">
        <v>8.24</v>
      </c>
      <c r="Y90" s="7">
        <f t="shared" si="53"/>
        <v>2.3032843831950234</v>
      </c>
      <c r="Z90" s="67">
        <f t="shared" si="54"/>
        <v>83.821120317778465</v>
      </c>
      <c r="AA90" s="69">
        <v>240</v>
      </c>
      <c r="AB90" s="113">
        <v>7.8140000000000001</v>
      </c>
      <c r="AC90" s="7">
        <f t="shared" si="55"/>
        <v>2.1842068167822708</v>
      </c>
      <c r="AD90" s="67">
        <f t="shared" si="56"/>
        <v>79.487649777077792</v>
      </c>
      <c r="AE90" s="70">
        <f t="shared" si="57"/>
        <v>46.427135088633605</v>
      </c>
      <c r="AF90" s="70">
        <f t="shared" si="58"/>
        <v>84.32974362067759</v>
      </c>
      <c r="AG90" s="70">
        <f t="shared" si="59"/>
        <v>83.821120317778465</v>
      </c>
      <c r="AH90" s="70">
        <f t="shared" si="60"/>
        <v>79.487649777077792</v>
      </c>
      <c r="AI90" s="71">
        <f t="shared" si="61"/>
        <v>0.49044668856484158</v>
      </c>
      <c r="AJ90" s="72">
        <f t="shared" si="62"/>
        <v>0.16445486793738903</v>
      </c>
      <c r="AK90" s="73">
        <f t="shared" si="63"/>
        <v>9.8672920762433414</v>
      </c>
    </row>
    <row r="91" spans="1:37">
      <c r="A91" s="3">
        <f>'Exptl Setup'!A141</f>
        <v>134</v>
      </c>
      <c r="B91" s="3" t="str">
        <f>'Exptl Setup'!C141</f>
        <v>b</v>
      </c>
      <c r="C91" s="3">
        <f>'Exptl Setup'!D141</f>
        <v>32</v>
      </c>
      <c r="D91" s="3" t="str">
        <f>'Exptl Setup'!E141</f>
        <v>-</v>
      </c>
      <c r="E91" s="111">
        <f>'Exptl Setup'!K141</f>
        <v>15.996987938964294</v>
      </c>
      <c r="F91" s="63">
        <f>'Exptl Setup'!F141</f>
        <v>32.003</v>
      </c>
      <c r="G91" s="64">
        <f>'Exptl Setup'!$C$5</f>
        <v>1.2793390913194711</v>
      </c>
      <c r="H91" s="7">
        <f t="shared" si="68"/>
        <v>25.015260001938255</v>
      </c>
      <c r="I91" s="8">
        <f t="shared" si="72"/>
        <v>9.4397207554483984</v>
      </c>
      <c r="J91" s="8">
        <f t="shared" si="69"/>
        <v>6.9877399980617447</v>
      </c>
      <c r="K91" s="8">
        <f>'Exptl Setup'!H141+'Exptl Setup'!I141+'Exptl Setup'!J141+5</f>
        <v>23.003024686832862</v>
      </c>
      <c r="L91" s="8">
        <f t="shared" si="70"/>
        <v>29.990764684894607</v>
      </c>
      <c r="M91" s="44">
        <v>300</v>
      </c>
      <c r="N91" s="65">
        <f t="shared" si="71"/>
        <v>260.56951455965702</v>
      </c>
      <c r="O91" s="66">
        <v>60</v>
      </c>
      <c r="P91" s="3">
        <v>4.6509999999999998</v>
      </c>
      <c r="Q91" s="7">
        <f t="shared" si="49"/>
        <v>1.3000646256362138</v>
      </c>
      <c r="R91" s="67">
        <f t="shared" si="50"/>
        <v>47.307513979663185</v>
      </c>
      <c r="S91" s="30">
        <v>120</v>
      </c>
      <c r="T91" s="3">
        <v>7.3540000000000001</v>
      </c>
      <c r="U91" s="7">
        <f t="shared" si="51"/>
        <v>2.0556171268391137</v>
      </c>
      <c r="V91" s="67">
        <f t="shared" si="52"/>
        <v>74.801001463436492</v>
      </c>
      <c r="W91" s="30">
        <v>180</v>
      </c>
      <c r="X91" s="3">
        <v>7.3470000000000004</v>
      </c>
      <c r="Y91" s="7">
        <f t="shared" si="53"/>
        <v>2.0536604610942302</v>
      </c>
      <c r="Z91" s="67">
        <f t="shared" si="54"/>
        <v>74.729801162886588</v>
      </c>
      <c r="AA91" s="69">
        <v>240</v>
      </c>
      <c r="AB91" s="113">
        <v>6.9269999999999996</v>
      </c>
      <c r="AC91" s="7">
        <f t="shared" si="55"/>
        <v>1.9362605164012154</v>
      </c>
      <c r="AD91" s="67">
        <f t="shared" si="56"/>
        <v>70.457783129891823</v>
      </c>
      <c r="AE91" s="70">
        <f t="shared" si="57"/>
        <v>47.307513979663185</v>
      </c>
      <c r="AF91" s="70">
        <f t="shared" si="58"/>
        <v>74.801001463436492</v>
      </c>
      <c r="AG91" s="70">
        <f t="shared" si="59"/>
        <v>74.729801162886588</v>
      </c>
      <c r="AH91" s="70">
        <f t="shared" si="60"/>
        <v>70.457783129891823</v>
      </c>
      <c r="AI91" s="71">
        <f t="shared" si="61"/>
        <v>0.46263313953225288</v>
      </c>
      <c r="AJ91" s="72">
        <f t="shared" si="62"/>
        <v>0.11563267858356001</v>
      </c>
      <c r="AK91" s="73">
        <f t="shared" si="63"/>
        <v>6.9379607150136007</v>
      </c>
    </row>
    <row r="92" spans="1:37">
      <c r="A92" s="3">
        <f>'Exptl Setup'!A142</f>
        <v>135</v>
      </c>
      <c r="B92" s="3" t="str">
        <f>'Exptl Setup'!C142</f>
        <v>c</v>
      </c>
      <c r="C92" s="3">
        <f>'Exptl Setup'!D142</f>
        <v>32</v>
      </c>
      <c r="D92" s="3" t="str">
        <f>'Exptl Setup'!E142</f>
        <v>-</v>
      </c>
      <c r="E92" s="111">
        <f>'Exptl Setup'!K142</f>
        <v>15.993989347079705</v>
      </c>
      <c r="F92" s="63">
        <f>'Exptl Setup'!F142</f>
        <v>32.009</v>
      </c>
      <c r="G92" s="64">
        <f>'Exptl Setup'!$C$5</f>
        <v>1.2793390913194711</v>
      </c>
      <c r="H92" s="7">
        <f t="shared" si="68"/>
        <v>25.019949923508474</v>
      </c>
      <c r="I92" s="8">
        <f t="shared" si="72"/>
        <v>9.44149053717301</v>
      </c>
      <c r="J92" s="8">
        <f t="shared" si="69"/>
        <v>6.9890500764915267</v>
      </c>
      <c r="K92" s="8">
        <f>'Exptl Setup'!H142+'Exptl Setup'!I142+'Exptl Setup'!J142+5</f>
        <v>23.003024686832862</v>
      </c>
      <c r="L92" s="8">
        <f t="shared" si="70"/>
        <v>29.992074763324389</v>
      </c>
      <c r="M92" s="44">
        <v>300</v>
      </c>
      <c r="N92" s="65">
        <f t="shared" si="71"/>
        <v>260.56643469950262</v>
      </c>
      <c r="O92" s="66">
        <v>60</v>
      </c>
      <c r="P92" s="3">
        <v>4.5220000000000002</v>
      </c>
      <c r="Q92" s="7">
        <f t="shared" si="49"/>
        <v>1.2639958881455549</v>
      </c>
      <c r="R92" s="67">
        <f t="shared" si="50"/>
        <v>45.986401966386595</v>
      </c>
      <c r="S92" s="30">
        <v>120</v>
      </c>
      <c r="T92" s="3">
        <v>8.73</v>
      </c>
      <c r="U92" s="7">
        <f t="shared" si="51"/>
        <v>2.4402220485428332</v>
      </c>
      <c r="V92" s="67">
        <f t="shared" si="52"/>
        <v>88.779586281856467</v>
      </c>
      <c r="W92" s="30">
        <v>180</v>
      </c>
      <c r="X92" s="3">
        <v>9.99</v>
      </c>
      <c r="Y92" s="7">
        <f t="shared" si="53"/>
        <v>2.7924190452397371</v>
      </c>
      <c r="Z92" s="67">
        <f t="shared" si="54"/>
        <v>101.59313481738212</v>
      </c>
      <c r="AA92" s="69">
        <v>240</v>
      </c>
      <c r="AB92" s="113">
        <v>8.8369999999999997</v>
      </c>
      <c r="AC92" s="7">
        <f t="shared" si="55"/>
        <v>2.4701308411194751</v>
      </c>
      <c r="AD92" s="67">
        <f t="shared" si="56"/>
        <v>89.867720959079676</v>
      </c>
      <c r="AE92" s="70">
        <f t="shared" si="57"/>
        <v>45.986401966386595</v>
      </c>
      <c r="AF92" s="70">
        <f t="shared" si="58"/>
        <v>88.779586281856467</v>
      </c>
      <c r="AG92" s="70">
        <f t="shared" si="59"/>
        <v>101.59313481738212</v>
      </c>
      <c r="AH92" s="70">
        <f t="shared" si="60"/>
        <v>89.867720959079676</v>
      </c>
      <c r="AI92" s="71">
        <f t="shared" si="61"/>
        <v>0.58357321230331105</v>
      </c>
      <c r="AJ92" s="72">
        <f t="shared" si="62"/>
        <v>0.24076250918934153</v>
      </c>
      <c r="AK92" s="73">
        <f t="shared" si="63"/>
        <v>14.445750551360492</v>
      </c>
    </row>
    <row r="93" spans="1:37">
      <c r="A93" s="3">
        <f>'Exptl Setup'!A146</f>
        <v>139</v>
      </c>
      <c r="B93" s="3" t="str">
        <f>'Exptl Setup'!C146</f>
        <v>a</v>
      </c>
      <c r="C93" s="3">
        <f>'Exptl Setup'!D146</f>
        <v>32</v>
      </c>
      <c r="D93" s="3" t="str">
        <f>'Exptl Setup'!E146</f>
        <v>-</v>
      </c>
      <c r="E93" s="111">
        <f>'Exptl Setup'!K146</f>
        <v>20.001859919464366</v>
      </c>
      <c r="F93" s="63">
        <f>'Exptl Setup'!F146</f>
        <v>31.994</v>
      </c>
      <c r="G93" s="64">
        <f>'Exptl Setup'!$C$5</f>
        <v>1.2793390913194711</v>
      </c>
      <c r="H93" s="7">
        <f t="shared" si="68"/>
        <v>25.008225119582931</v>
      </c>
      <c r="I93" s="8">
        <f t="shared" si="72"/>
        <v>9.4370660828614845</v>
      </c>
      <c r="J93" s="8">
        <f t="shared" si="69"/>
        <v>6.9857748804170683</v>
      </c>
      <c r="K93" s="8">
        <f>'Exptl Setup'!H146+'Exptl Setup'!I146+'Exptl Setup'!J146+5</f>
        <v>23.003024686832859</v>
      </c>
      <c r="L93" s="8">
        <f t="shared" si="70"/>
        <v>29.988799567249927</v>
      </c>
      <c r="M93" s="44">
        <v>300</v>
      </c>
      <c r="N93" s="65">
        <f t="shared" si="71"/>
        <v>260.5741343498886</v>
      </c>
      <c r="O93" s="66">
        <v>60</v>
      </c>
      <c r="P93" s="3">
        <v>4.4999999999999998E-2</v>
      </c>
      <c r="Q93" s="7">
        <f t="shared" si="49"/>
        <v>1.2578717505437573E-2</v>
      </c>
      <c r="R93" s="67">
        <f t="shared" si="50"/>
        <v>0.45785050736524041</v>
      </c>
      <c r="S93" s="30">
        <v>120</v>
      </c>
      <c r="T93" s="3">
        <v>0.10100000000000001</v>
      </c>
      <c r="U93" s="7">
        <f t="shared" si="51"/>
        <v>2.8232232623315447E-2</v>
      </c>
      <c r="V93" s="67">
        <f t="shared" si="52"/>
        <v>1.0276200276419842</v>
      </c>
      <c r="W93" s="30">
        <v>180</v>
      </c>
      <c r="X93" s="3">
        <v>0.17399999999999999</v>
      </c>
      <c r="Y93" s="7">
        <f t="shared" si="53"/>
        <v>4.8637707687691954E-2</v>
      </c>
      <c r="Z93" s="67">
        <f t="shared" si="54"/>
        <v>1.7703552951455963</v>
      </c>
      <c r="AA93" s="69">
        <v>240</v>
      </c>
      <c r="AB93" s="113">
        <v>0.21099999999999999</v>
      </c>
      <c r="AC93" s="7">
        <f t="shared" si="55"/>
        <v>5.89802087477184E-2</v>
      </c>
      <c r="AD93" s="67">
        <f t="shared" si="56"/>
        <v>2.1468101567570161</v>
      </c>
      <c r="AE93" s="70">
        <f t="shared" si="57"/>
        <v>0.45785050736524041</v>
      </c>
      <c r="AF93" s="70">
        <f t="shared" si="58"/>
        <v>1.0276200276419842</v>
      </c>
      <c r="AG93" s="70">
        <f t="shared" si="59"/>
        <v>1.7703552951455963</v>
      </c>
      <c r="AH93" s="70">
        <f t="shared" si="60"/>
        <v>2.1468101567570161</v>
      </c>
      <c r="AI93" s="71">
        <f t="shared" si="61"/>
        <v>0.98604587863483062</v>
      </c>
      <c r="AJ93" s="72">
        <f t="shared" si="62"/>
        <v>9.6826903594648978E-3</v>
      </c>
      <c r="AK93" s="73">
        <f t="shared" si="63"/>
        <v>0.58096142156789388</v>
      </c>
    </row>
    <row r="94" spans="1:37">
      <c r="A94" s="3">
        <f>'Exptl Setup'!A147</f>
        <v>140</v>
      </c>
      <c r="B94" s="3" t="str">
        <f>'Exptl Setup'!C147</f>
        <v>b</v>
      </c>
      <c r="C94" s="3">
        <f>'Exptl Setup'!D147</f>
        <v>32</v>
      </c>
      <c r="D94" s="3" t="str">
        <f>'Exptl Setup'!E147</f>
        <v>-</v>
      </c>
      <c r="E94" s="111">
        <f>'Exptl Setup'!K147</f>
        <v>19.989364223881516</v>
      </c>
      <c r="F94" s="63">
        <f>'Exptl Setup'!F147</f>
        <v>32.014000000000003</v>
      </c>
      <c r="G94" s="64">
        <f>'Exptl Setup'!$C$5</f>
        <v>1.2793390913194711</v>
      </c>
      <c r="H94" s="7">
        <f t="shared" si="68"/>
        <v>25.023858191483654</v>
      </c>
      <c r="I94" s="8">
        <f t="shared" si="72"/>
        <v>9.4429653552768507</v>
      </c>
      <c r="J94" s="8">
        <f t="shared" si="69"/>
        <v>6.9901418085163485</v>
      </c>
      <c r="K94" s="8">
        <f>'Exptl Setup'!H147+'Exptl Setup'!I147+'Exptl Setup'!J147+5</f>
        <v>23.003024686832859</v>
      </c>
      <c r="L94" s="8">
        <f t="shared" si="70"/>
        <v>29.993166495349207</v>
      </c>
      <c r="M94" s="44">
        <v>300</v>
      </c>
      <c r="N94" s="65">
        <f t="shared" si="71"/>
        <v>260.56386814937395</v>
      </c>
      <c r="O94" s="66">
        <v>60</v>
      </c>
      <c r="P94" s="3">
        <v>0</v>
      </c>
      <c r="Q94" s="7">
        <f t="shared" si="49"/>
        <v>0</v>
      </c>
      <c r="R94" s="67">
        <f t="shared" si="50"/>
        <v>0</v>
      </c>
      <c r="S94" s="30">
        <v>120</v>
      </c>
      <c r="T94" s="3">
        <v>3.7999999999999999E-2</v>
      </c>
      <c r="U94" s="7">
        <f t="shared" si="51"/>
        <v>1.0621742876228515E-2</v>
      </c>
      <c r="V94" s="67">
        <f t="shared" si="52"/>
        <v>0.386377403785156</v>
      </c>
      <c r="W94" s="30">
        <v>180</v>
      </c>
      <c r="X94" s="3">
        <v>5.8999999999999997E-2</v>
      </c>
      <c r="Y94" s="7">
        <f t="shared" si="53"/>
        <v>1.6491653413091643E-2</v>
      </c>
      <c r="Z94" s="67">
        <f t="shared" si="54"/>
        <v>0.59990175850853167</v>
      </c>
      <c r="AA94" s="69">
        <v>240</v>
      </c>
      <c r="AB94" s="113">
        <v>6.7000000000000004E-2</v>
      </c>
      <c r="AC94" s="7">
        <f t="shared" si="55"/>
        <v>1.8727809808087123E-2</v>
      </c>
      <c r="AD94" s="67">
        <f t="shared" si="56"/>
        <v>0.68124436983172254</v>
      </c>
      <c r="AE94" s="70">
        <f t="shared" si="57"/>
        <v>0</v>
      </c>
      <c r="AF94" s="70">
        <f t="shared" si="58"/>
        <v>0.386377403785156</v>
      </c>
      <c r="AG94" s="70">
        <f t="shared" si="59"/>
        <v>0.59990175850853167</v>
      </c>
      <c r="AH94" s="70">
        <f t="shared" si="60"/>
        <v>0.68124436983172254</v>
      </c>
      <c r="AI94" s="71">
        <f t="shared" si="61"/>
        <v>0.9160594795539031</v>
      </c>
      <c r="AJ94" s="72">
        <f t="shared" si="62"/>
        <v>3.7620957736975717E-3</v>
      </c>
      <c r="AK94" s="73">
        <f t="shared" si="63"/>
        <v>0.22572574642185431</v>
      </c>
    </row>
    <row r="95" spans="1:37" ht="13.5" thickBot="1">
      <c r="A95" s="132">
        <f>'Exptl Setup'!A148</f>
        <v>141</v>
      </c>
      <c r="B95" s="132" t="str">
        <f>'Exptl Setup'!C148</f>
        <v>c</v>
      </c>
      <c r="C95" s="132">
        <f>'Exptl Setup'!D148</f>
        <v>32</v>
      </c>
      <c r="D95" s="132" t="str">
        <f>'Exptl Setup'!E148</f>
        <v>-</v>
      </c>
      <c r="E95" s="133">
        <f>'Exptl Setup'!K148</f>
        <v>19.999984569282837</v>
      </c>
      <c r="F95" s="134">
        <f>'Exptl Setup'!F148</f>
        <v>31.997</v>
      </c>
      <c r="G95" s="135">
        <f>'Exptl Setup'!$C$5</f>
        <v>1.2793390913194711</v>
      </c>
      <c r="H95" s="136">
        <f t="shared" si="68"/>
        <v>25.010570080368041</v>
      </c>
      <c r="I95" s="137">
        <f t="shared" si="72"/>
        <v>9.4379509737237886</v>
      </c>
      <c r="J95" s="137">
        <f t="shared" si="69"/>
        <v>6.9864299196319593</v>
      </c>
      <c r="K95" s="137">
        <f>'Exptl Setup'!H148+'Exptl Setup'!I148+'Exptl Setup'!J148+5</f>
        <v>23.003024686832859</v>
      </c>
      <c r="L95" s="137">
        <f t="shared" si="70"/>
        <v>29.989454606464818</v>
      </c>
      <c r="M95" s="138">
        <v>300</v>
      </c>
      <c r="N95" s="139">
        <f t="shared" si="71"/>
        <v>260.57259441981137</v>
      </c>
      <c r="O95" s="140">
        <v>60</v>
      </c>
      <c r="P95" s="132">
        <v>5.1999999999999998E-2</v>
      </c>
      <c r="Q95" s="136">
        <f t="shared" si="49"/>
        <v>1.4535348346017048E-2</v>
      </c>
      <c r="R95" s="141">
        <f t="shared" si="50"/>
        <v>0.52901996135721596</v>
      </c>
      <c r="S95" s="132">
        <v>120</v>
      </c>
      <c r="T95" s="132">
        <v>0.11600000000000001</v>
      </c>
      <c r="U95" s="136">
        <f t="shared" si="51"/>
        <v>3.2425007848807266E-2</v>
      </c>
      <c r="V95" s="141">
        <f t="shared" si="52"/>
        <v>1.1801214522584051</v>
      </c>
      <c r="W95" s="132">
        <v>180</v>
      </c>
      <c r="X95" s="132">
        <v>0.16900000000000001</v>
      </c>
      <c r="Y95" s="136">
        <f t="shared" si="53"/>
        <v>4.7239882124555418E-2</v>
      </c>
      <c r="Z95" s="141">
        <f t="shared" si="54"/>
        <v>1.7193148744109521</v>
      </c>
      <c r="AA95" s="143">
        <v>240</v>
      </c>
      <c r="AB95" s="142">
        <v>0.22900000000000001</v>
      </c>
      <c r="AC95" s="136">
        <f t="shared" si="55"/>
        <v>6.4011437908421245E-2</v>
      </c>
      <c r="AD95" s="141">
        <f t="shared" si="56"/>
        <v>2.3297225221308167</v>
      </c>
      <c r="AE95" s="144">
        <f t="shared" si="57"/>
        <v>0.52901996135721596</v>
      </c>
      <c r="AF95" s="144">
        <f t="shared" si="58"/>
        <v>1.1801214522584051</v>
      </c>
      <c r="AG95" s="144">
        <f t="shared" si="59"/>
        <v>1.7193148744109521</v>
      </c>
      <c r="AH95" s="144">
        <f t="shared" si="60"/>
        <v>2.3297225221308167</v>
      </c>
      <c r="AI95" s="145">
        <f t="shared" si="61"/>
        <v>0.99881684531131043</v>
      </c>
      <c r="AJ95" s="146">
        <f t="shared" si="62"/>
        <v>9.9021685074555821E-3</v>
      </c>
      <c r="AK95" s="147">
        <f t="shared" si="63"/>
        <v>0.59413011044733488</v>
      </c>
    </row>
    <row r="96" spans="1:37">
      <c r="A96" s="3">
        <f>'Exptl Setup'!A152</f>
        <v>145</v>
      </c>
      <c r="B96" s="3" t="str">
        <f>'Exptl Setup'!C152</f>
        <v>a</v>
      </c>
      <c r="C96" s="3">
        <f>'Exptl Setup'!D152</f>
        <v>40</v>
      </c>
      <c r="D96" s="3" t="str">
        <f>'Exptl Setup'!E152</f>
        <v>+</v>
      </c>
      <c r="E96" s="111">
        <f>'Exptl Setup'!K152</f>
        <v>0</v>
      </c>
      <c r="F96" s="63">
        <f>'Exptl Setup'!F152</f>
        <v>31.995999999999999</v>
      </c>
      <c r="G96" s="64">
        <f>'Exptl Setup'!$C$5</f>
        <v>1.2793390913194711</v>
      </c>
      <c r="H96" s="7">
        <f t="shared" si="68"/>
        <v>25.009788426773003</v>
      </c>
      <c r="I96" s="8">
        <f t="shared" si="72"/>
        <v>9.4376560101030211</v>
      </c>
      <c r="J96" s="8">
        <f t="shared" si="69"/>
        <v>6.9862115732269956</v>
      </c>
      <c r="K96" s="8">
        <f>'Exptl Setup'!H152+'Exptl Setup'!I152+'Exptl Setup'!J152+5</f>
        <v>23.003024686832859</v>
      </c>
      <c r="L96" s="8">
        <f t="shared" si="70"/>
        <v>29.989236260059855</v>
      </c>
      <c r="M96" s="44">
        <v>300</v>
      </c>
      <c r="N96" s="65">
        <f t="shared" si="71"/>
        <v>260.57310772983715</v>
      </c>
      <c r="O96" s="66">
        <v>60</v>
      </c>
      <c r="P96" s="3">
        <v>36.362000000000002</v>
      </c>
      <c r="Q96" s="7">
        <f t="shared" si="49"/>
        <v>10.164135504089742</v>
      </c>
      <c r="R96" s="67">
        <f t="shared" si="50"/>
        <v>369.93943982694628</v>
      </c>
      <c r="S96" s="30">
        <v>120</v>
      </c>
      <c r="T96" s="3">
        <v>45.316000000000003</v>
      </c>
      <c r="U96" s="7">
        <f t="shared" si="51"/>
        <v>12.667014039473372</v>
      </c>
      <c r="V96" s="67">
        <f t="shared" si="52"/>
        <v>461.03557711891244</v>
      </c>
      <c r="W96" s="30">
        <v>180</v>
      </c>
      <c r="X96" s="3">
        <v>53.186</v>
      </c>
      <c r="Y96" s="7">
        <f t="shared" si="53"/>
        <v>14.866886060186927</v>
      </c>
      <c r="Z96" s="67">
        <f t="shared" si="54"/>
        <v>541.10332343204334</v>
      </c>
      <c r="AA96" s="69">
        <v>240</v>
      </c>
      <c r="AB96" s="113">
        <v>60.756999999999998</v>
      </c>
      <c r="AC96" s="7">
        <f t="shared" si="55"/>
        <v>16.983179715691669</v>
      </c>
      <c r="AD96" s="67">
        <f t="shared" si="56"/>
        <v>618.12910581282028</v>
      </c>
      <c r="AE96" s="70">
        <f t="shared" si="57"/>
        <v>369.93943982694628</v>
      </c>
      <c r="AF96" s="70">
        <f t="shared" si="58"/>
        <v>461.03557711891244</v>
      </c>
      <c r="AG96" s="70">
        <f t="shared" si="59"/>
        <v>541.10332343204334</v>
      </c>
      <c r="AH96" s="70">
        <f t="shared" si="60"/>
        <v>618.12910581282028</v>
      </c>
      <c r="AI96" s="71">
        <f t="shared" si="61"/>
        <v>0.99845295948372648</v>
      </c>
      <c r="AJ96" s="72">
        <f t="shared" si="62"/>
        <v>1.3743945737845882</v>
      </c>
      <c r="AK96" s="73">
        <f t="shared" si="63"/>
        <v>82.46367442707529</v>
      </c>
    </row>
    <row r="97" spans="1:37">
      <c r="A97" s="3">
        <f>'Exptl Setup'!A153</f>
        <v>146</v>
      </c>
      <c r="B97" s="3" t="str">
        <f>'Exptl Setup'!C153</f>
        <v>b</v>
      </c>
      <c r="C97" s="3">
        <f>'Exptl Setup'!D153</f>
        <v>40</v>
      </c>
      <c r="D97" s="3" t="str">
        <f>'Exptl Setup'!E153</f>
        <v>+</v>
      </c>
      <c r="E97" s="111">
        <f>'Exptl Setup'!K153</f>
        <v>0</v>
      </c>
      <c r="F97" s="63">
        <f>'Exptl Setup'!F153</f>
        <v>32.002000000000002</v>
      </c>
      <c r="G97" s="64">
        <f>'Exptl Setup'!$C$5</f>
        <v>1.2793390913194711</v>
      </c>
      <c r="H97" s="7">
        <f t="shared" si="68"/>
        <v>25.014478348343221</v>
      </c>
      <c r="I97" s="8">
        <f t="shared" si="72"/>
        <v>9.439425791827631</v>
      </c>
      <c r="J97" s="8">
        <f t="shared" si="69"/>
        <v>6.9875216516567811</v>
      </c>
      <c r="K97" s="8">
        <f>'Exptl Setup'!H153+'Exptl Setup'!I153+'Exptl Setup'!J153+5</f>
        <v>23.003024686832859</v>
      </c>
      <c r="L97" s="8">
        <f t="shared" si="70"/>
        <v>29.99054633848964</v>
      </c>
      <c r="M97" s="44">
        <v>300</v>
      </c>
      <c r="N97" s="65">
        <f t="shared" si="71"/>
        <v>260.57002786968275</v>
      </c>
      <c r="O97" s="66">
        <v>60</v>
      </c>
      <c r="P97" s="3">
        <v>32.137</v>
      </c>
      <c r="Q97" s="7">
        <f t="shared" si="49"/>
        <v>8.9830644962617807</v>
      </c>
      <c r="R97" s="67">
        <f t="shared" si="50"/>
        <v>326.89123311906548</v>
      </c>
      <c r="S97" s="30">
        <v>120</v>
      </c>
      <c r="T97" s="3">
        <v>44.512999999999998</v>
      </c>
      <c r="U97" s="7">
        <f t="shared" si="51"/>
        <v>12.442454178115588</v>
      </c>
      <c r="V97" s="67">
        <f t="shared" si="52"/>
        <v>452.77746708868153</v>
      </c>
      <c r="W97" s="30">
        <v>180</v>
      </c>
      <c r="X97" s="3">
        <v>50.779000000000003</v>
      </c>
      <c r="Y97" s="7">
        <f t="shared" si="53"/>
        <v>14.193951895188631</v>
      </c>
      <c r="Z97" s="67">
        <f t="shared" si="54"/>
        <v>516.513984707752</v>
      </c>
      <c r="AA97" s="69">
        <v>240</v>
      </c>
      <c r="AB97" s="113">
        <v>59.404000000000003</v>
      </c>
      <c r="AC97" s="7">
        <f t="shared" si="55"/>
        <v>16.604846853655751</v>
      </c>
      <c r="AD97" s="67">
        <f t="shared" si="56"/>
        <v>604.24578561175485</v>
      </c>
      <c r="AE97" s="70">
        <f t="shared" si="57"/>
        <v>326.89123311906548</v>
      </c>
      <c r="AF97" s="70">
        <f t="shared" si="58"/>
        <v>452.77746708868153</v>
      </c>
      <c r="AG97" s="70">
        <f t="shared" si="59"/>
        <v>516.513984707752</v>
      </c>
      <c r="AH97" s="70">
        <f t="shared" si="60"/>
        <v>604.24578561175485</v>
      </c>
      <c r="AI97" s="71">
        <f t="shared" si="61"/>
        <v>0.9820111045364065</v>
      </c>
      <c r="AJ97" s="72">
        <f t="shared" si="62"/>
        <v>1.4930002918285643</v>
      </c>
      <c r="AK97" s="73">
        <f t="shared" si="63"/>
        <v>89.580017509713855</v>
      </c>
    </row>
    <row r="98" spans="1:37">
      <c r="A98" s="3">
        <f>'Exptl Setup'!A154</f>
        <v>147</v>
      </c>
      <c r="B98" s="3" t="str">
        <f>'Exptl Setup'!C154</f>
        <v>c</v>
      </c>
      <c r="C98" s="3">
        <f>'Exptl Setup'!D154</f>
        <v>40</v>
      </c>
      <c r="D98" s="3" t="str">
        <f>'Exptl Setup'!E154</f>
        <v>+</v>
      </c>
      <c r="E98" s="111">
        <f>'Exptl Setup'!K154</f>
        <v>0</v>
      </c>
      <c r="F98" s="63">
        <f>'Exptl Setup'!F154</f>
        <v>32.000999999999998</v>
      </c>
      <c r="G98" s="64">
        <f>'Exptl Setup'!$C$5</f>
        <v>1.2793390913194711</v>
      </c>
      <c r="H98" s="7">
        <f t="shared" si="68"/>
        <v>25.013696694748184</v>
      </c>
      <c r="I98" s="8">
        <f t="shared" si="72"/>
        <v>9.4391308282068618</v>
      </c>
      <c r="J98" s="8">
        <f t="shared" si="69"/>
        <v>6.9873033052518139</v>
      </c>
      <c r="K98" s="8">
        <f>'Exptl Setup'!H154+'Exptl Setup'!I154+'Exptl Setup'!J154+5</f>
        <v>23.003024686832859</v>
      </c>
      <c r="L98" s="8">
        <f t="shared" si="70"/>
        <v>29.990327992084673</v>
      </c>
      <c r="M98" s="44">
        <v>300</v>
      </c>
      <c r="N98" s="65">
        <f t="shared" si="71"/>
        <v>260.57054117970847</v>
      </c>
      <c r="O98" s="66">
        <v>60</v>
      </c>
      <c r="P98" s="3">
        <v>38.158000000000001</v>
      </c>
      <c r="Q98" s="7">
        <f t="shared" si="49"/>
        <v>10.666093141585199</v>
      </c>
      <c r="R98" s="67">
        <f t="shared" si="50"/>
        <v>388.14830902609702</v>
      </c>
      <c r="S98" s="30">
        <v>120</v>
      </c>
      <c r="T98" s="3">
        <v>48.643999999999998</v>
      </c>
      <c r="U98" s="7">
        <f t="shared" si="51"/>
        <v>13.597186298529021</v>
      </c>
      <c r="V98" s="67">
        <f t="shared" si="52"/>
        <v>494.81331160609744</v>
      </c>
      <c r="W98" s="30">
        <v>180</v>
      </c>
      <c r="X98" s="3">
        <v>56.08</v>
      </c>
      <c r="Y98" s="7">
        <f t="shared" si="53"/>
        <v>15.675729948637191</v>
      </c>
      <c r="Z98" s="67">
        <f t="shared" si="54"/>
        <v>570.45330389914375</v>
      </c>
      <c r="AA98" s="69">
        <v>240</v>
      </c>
      <c r="AB98" s="113">
        <v>68.326999999999998</v>
      </c>
      <c r="AC98" s="7">
        <f t="shared" si="55"/>
        <v>19.099065624117927</v>
      </c>
      <c r="AD98" s="67">
        <f t="shared" si="56"/>
        <v>695.03143536941491</v>
      </c>
      <c r="AE98" s="70">
        <f t="shared" si="57"/>
        <v>388.14830902609702</v>
      </c>
      <c r="AF98" s="70">
        <f t="shared" si="58"/>
        <v>494.81331160609744</v>
      </c>
      <c r="AG98" s="70">
        <f t="shared" si="59"/>
        <v>570.45330389914375</v>
      </c>
      <c r="AH98" s="70">
        <f t="shared" si="60"/>
        <v>695.03143536941491</v>
      </c>
      <c r="AI98" s="71">
        <f t="shared" si="61"/>
        <v>0.99200621826040392</v>
      </c>
      <c r="AJ98" s="72">
        <f t="shared" si="62"/>
        <v>1.6604822855383334</v>
      </c>
      <c r="AK98" s="73">
        <f t="shared" si="63"/>
        <v>99.62893713230001</v>
      </c>
    </row>
    <row r="99" spans="1:37">
      <c r="A99" s="3">
        <f>'Exptl Setup'!A158</f>
        <v>151</v>
      </c>
      <c r="B99" s="3" t="str">
        <f>'Exptl Setup'!C158</f>
        <v>a</v>
      </c>
      <c r="C99" s="3">
        <f>'Exptl Setup'!D158</f>
        <v>40</v>
      </c>
      <c r="D99" s="3" t="str">
        <f>'Exptl Setup'!E158</f>
        <v>+</v>
      </c>
      <c r="E99" s="111">
        <f>'Exptl Setup'!K158</f>
        <v>5.9990579300982079</v>
      </c>
      <c r="F99" s="63">
        <f>'Exptl Setup'!F158</f>
        <v>32.002000000000002</v>
      </c>
      <c r="G99" s="64">
        <f>'Exptl Setup'!$C$5</f>
        <v>1.2793390913194711</v>
      </c>
      <c r="H99" s="7">
        <f t="shared" si="68"/>
        <v>25.014478348343221</v>
      </c>
      <c r="I99" s="8">
        <f t="shared" si="72"/>
        <v>9.439425791827631</v>
      </c>
      <c r="J99" s="8">
        <f t="shared" si="69"/>
        <v>6.9875216516567811</v>
      </c>
      <c r="K99" s="8">
        <f>'Exptl Setup'!H158+'Exptl Setup'!I158+'Exptl Setup'!J158+5</f>
        <v>23.003024686832859</v>
      </c>
      <c r="L99" s="8">
        <f t="shared" si="70"/>
        <v>29.99054633848964</v>
      </c>
      <c r="M99" s="44">
        <v>300</v>
      </c>
      <c r="N99" s="65">
        <f t="shared" si="71"/>
        <v>260.57002786968275</v>
      </c>
      <c r="O99" s="66">
        <v>60</v>
      </c>
      <c r="P99" s="3">
        <v>58.752000000000002</v>
      </c>
      <c r="Q99" s="7">
        <f t="shared" si="49"/>
        <v>16.422597170998294</v>
      </c>
      <c r="R99" s="67">
        <f t="shared" si="50"/>
        <v>597.61377005356246</v>
      </c>
      <c r="S99" s="30">
        <v>120</v>
      </c>
      <c r="T99" s="3">
        <v>129.029</v>
      </c>
      <c r="U99" s="7">
        <f t="shared" si="51"/>
        <v>36.066709054614968</v>
      </c>
      <c r="V99" s="67">
        <f t="shared" si="52"/>
        <v>1312.4575697208791</v>
      </c>
      <c r="W99" s="30">
        <v>180</v>
      </c>
      <c r="X99" s="3">
        <v>185.74799999999999</v>
      </c>
      <c r="Y99" s="7">
        <f t="shared" si="53"/>
        <v>51.921033825547916</v>
      </c>
      <c r="Z99" s="67">
        <f t="shared" si="54"/>
        <v>1889.3920642686053</v>
      </c>
      <c r="AA99" s="69">
        <v>240</v>
      </c>
      <c r="AB99" s="113">
        <v>245.41399999999999</v>
      </c>
      <c r="AC99" s="7">
        <f t="shared" si="55"/>
        <v>68.599115981130424</v>
      </c>
      <c r="AD99" s="67">
        <f t="shared" si="56"/>
        <v>2496.3028622672409</v>
      </c>
      <c r="AE99" s="70">
        <f t="shared" si="57"/>
        <v>597.61377005356246</v>
      </c>
      <c r="AF99" s="70">
        <f t="shared" si="58"/>
        <v>1312.4575697208791</v>
      </c>
      <c r="AG99" s="70">
        <f t="shared" si="59"/>
        <v>1889.3920642686053</v>
      </c>
      <c r="AH99" s="70">
        <f t="shared" si="60"/>
        <v>2496.3028622672409</v>
      </c>
      <c r="AI99" s="71">
        <f t="shared" si="61"/>
        <v>0.9978083202103879</v>
      </c>
      <c r="AJ99" s="72">
        <f t="shared" si="62"/>
        <v>10.455002951981271</v>
      </c>
      <c r="AK99" s="73">
        <f t="shared" si="63"/>
        <v>627.30017711887626</v>
      </c>
    </row>
    <row r="100" spans="1:37">
      <c r="A100" s="3">
        <f>'Exptl Setup'!A159</f>
        <v>152</v>
      </c>
      <c r="B100" s="3" t="str">
        <f>'Exptl Setup'!C159</f>
        <v>b</v>
      </c>
      <c r="C100" s="3">
        <f>'Exptl Setup'!D159</f>
        <v>40</v>
      </c>
      <c r="D100" s="3" t="str">
        <f>'Exptl Setup'!E159</f>
        <v>+</v>
      </c>
      <c r="E100" s="111">
        <f>'Exptl Setup'!K159</f>
        <v>5.9999953707848501</v>
      </c>
      <c r="F100" s="63">
        <f>'Exptl Setup'!F159</f>
        <v>31.997</v>
      </c>
      <c r="G100" s="64">
        <f>'Exptl Setup'!$C$5</f>
        <v>1.2793390913194711</v>
      </c>
      <c r="H100" s="7">
        <f t="shared" si="68"/>
        <v>25.010570080368041</v>
      </c>
      <c r="I100" s="8">
        <f t="shared" si="72"/>
        <v>9.4379509737237886</v>
      </c>
      <c r="J100" s="8">
        <f t="shared" si="69"/>
        <v>6.9864299196319593</v>
      </c>
      <c r="K100" s="8">
        <f>'Exptl Setup'!H159+'Exptl Setup'!I159+'Exptl Setup'!J159+5</f>
        <v>23.003024686832859</v>
      </c>
      <c r="L100" s="8">
        <f t="shared" si="70"/>
        <v>29.989454606464818</v>
      </c>
      <c r="M100" s="44">
        <v>300</v>
      </c>
      <c r="N100" s="65">
        <f t="shared" si="71"/>
        <v>260.57259441981137</v>
      </c>
      <c r="O100" s="66">
        <v>60</v>
      </c>
      <c r="P100" s="3">
        <v>59.125999999999998</v>
      </c>
      <c r="Q100" s="7">
        <f t="shared" si="49"/>
        <v>16.527250121280847</v>
      </c>
      <c r="R100" s="67">
        <f t="shared" si="50"/>
        <v>601.51604298474513</v>
      </c>
      <c r="S100" s="30">
        <v>120</v>
      </c>
      <c r="T100" s="3">
        <v>137.13900000000001</v>
      </c>
      <c r="U100" s="7">
        <f t="shared" si="51"/>
        <v>38.333906477392929</v>
      </c>
      <c r="V100" s="67">
        <f t="shared" si="52"/>
        <v>1395.1782400109087</v>
      </c>
      <c r="W100" s="30">
        <v>180</v>
      </c>
      <c r="X100" s="3">
        <v>195.303</v>
      </c>
      <c r="Y100" s="7">
        <f t="shared" si="53"/>
        <v>54.592252654272457</v>
      </c>
      <c r="Z100" s="67">
        <f t="shared" si="54"/>
        <v>1986.9074137105451</v>
      </c>
      <c r="AA100" s="69">
        <v>240</v>
      </c>
      <c r="AB100" s="113">
        <v>255.54300000000001</v>
      </c>
      <c r="AC100" s="7">
        <f t="shared" si="55"/>
        <v>71.430894661273754</v>
      </c>
      <c r="AD100" s="67">
        <f t="shared" si="56"/>
        <v>2599.7566920212894</v>
      </c>
      <c r="AE100" s="70">
        <f t="shared" si="57"/>
        <v>601.51604298474513</v>
      </c>
      <c r="AF100" s="70">
        <f t="shared" si="58"/>
        <v>1395.1782400109087</v>
      </c>
      <c r="AG100" s="70">
        <f t="shared" si="59"/>
        <v>1986.9074137105451</v>
      </c>
      <c r="AH100" s="70">
        <f t="shared" si="60"/>
        <v>2599.7566920212894</v>
      </c>
      <c r="AI100" s="71">
        <f t="shared" si="61"/>
        <v>0.99510903958240104</v>
      </c>
      <c r="AJ100" s="72">
        <f t="shared" si="62"/>
        <v>10.977418534682116</v>
      </c>
      <c r="AK100" s="73">
        <f t="shared" si="63"/>
        <v>658.64511208092699</v>
      </c>
    </row>
    <row r="101" spans="1:37">
      <c r="A101" s="3">
        <f>'Exptl Setup'!A160</f>
        <v>153</v>
      </c>
      <c r="B101" s="3" t="str">
        <f>'Exptl Setup'!C160</f>
        <v>c</v>
      </c>
      <c r="C101" s="3">
        <f>'Exptl Setup'!D160</f>
        <v>40</v>
      </c>
      <c r="D101" s="3" t="str">
        <f>'Exptl Setup'!E160</f>
        <v>+</v>
      </c>
      <c r="E101" s="111">
        <f>'Exptl Setup'!K160</f>
        <v>5.9994328712188389</v>
      </c>
      <c r="F101" s="63">
        <f>'Exptl Setup'!F160</f>
        <v>32</v>
      </c>
      <c r="G101" s="64">
        <f>'Exptl Setup'!$C$5</f>
        <v>1.2793390913194711</v>
      </c>
      <c r="H101" s="7">
        <f t="shared" si="68"/>
        <v>25.01291504115315</v>
      </c>
      <c r="I101" s="8">
        <f t="shared" si="72"/>
        <v>9.4388358645860944</v>
      </c>
      <c r="J101" s="8">
        <f t="shared" si="69"/>
        <v>6.9870849588468502</v>
      </c>
      <c r="K101" s="8">
        <f>'Exptl Setup'!H160+'Exptl Setup'!I160+'Exptl Setup'!J160+5</f>
        <v>23.003024686832859</v>
      </c>
      <c r="L101" s="8">
        <f t="shared" si="70"/>
        <v>29.990109645679709</v>
      </c>
      <c r="M101" s="44">
        <v>300</v>
      </c>
      <c r="N101" s="65">
        <f t="shared" si="71"/>
        <v>260.57105448973419</v>
      </c>
      <c r="O101" s="66">
        <v>60</v>
      </c>
      <c r="P101" s="3">
        <v>59.116999999999997</v>
      </c>
      <c r="Q101" s="7">
        <f t="shared" si="49"/>
        <v>16.524667825405363</v>
      </c>
      <c r="R101" s="67">
        <f t="shared" si="50"/>
        <v>601.36567594977055</v>
      </c>
      <c r="S101" s="30">
        <v>120</v>
      </c>
      <c r="T101" s="3">
        <v>139.541</v>
      </c>
      <c r="U101" s="7">
        <f t="shared" si="51"/>
        <v>39.005170645074848</v>
      </c>
      <c r="V101" s="67">
        <f t="shared" si="52"/>
        <v>1419.4760861969812</v>
      </c>
      <c r="W101" s="30">
        <v>180</v>
      </c>
      <c r="X101" s="3">
        <v>205.30699999999999</v>
      </c>
      <c r="Y101" s="7">
        <f t="shared" si="53"/>
        <v>57.38839889085201</v>
      </c>
      <c r="Z101" s="67">
        <f t="shared" si="54"/>
        <v>2088.4784889662792</v>
      </c>
      <c r="AA101" s="69">
        <v>240</v>
      </c>
      <c r="AB101" s="112">
        <v>265.33199999999999</v>
      </c>
      <c r="AC101" s="155">
        <f t="shared" si="55"/>
        <v>74.166875238094889</v>
      </c>
      <c r="AD101" s="156">
        <f>((AC101*$H$18*$H$19)/($H$20*$H$21*$F101))*1000*2.05</f>
        <v>5533.1155663982308</v>
      </c>
      <c r="AE101" s="70">
        <f t="shared" si="57"/>
        <v>601.36567594977055</v>
      </c>
      <c r="AF101" s="70">
        <f t="shared" si="58"/>
        <v>1419.4760861969812</v>
      </c>
      <c r="AG101" s="70">
        <f t="shared" si="59"/>
        <v>2088.4784889662792</v>
      </c>
      <c r="AH101" s="70">
        <f t="shared" si="60"/>
        <v>5533.1155663982308</v>
      </c>
      <c r="AI101" s="71">
        <f t="shared" si="61"/>
        <v>0.84745289769479537</v>
      </c>
      <c r="AJ101" s="72">
        <f t="shared" si="62"/>
        <v>25.773753456857801</v>
      </c>
      <c r="AK101" s="73">
        <f t="shared" si="63"/>
        <v>1546.4252074114681</v>
      </c>
    </row>
    <row r="102" spans="1:37">
      <c r="A102" s="3">
        <f>'Exptl Setup'!A164</f>
        <v>157</v>
      </c>
      <c r="B102" s="3" t="str">
        <f>'Exptl Setup'!C164</f>
        <v>a</v>
      </c>
      <c r="C102" s="3">
        <f>'Exptl Setup'!D164</f>
        <v>40</v>
      </c>
      <c r="D102" s="3" t="str">
        <f>'Exptl Setup'!E164</f>
        <v>+</v>
      </c>
      <c r="E102" s="111">
        <f>'Exptl Setup'!K164</f>
        <v>15.995488502489355</v>
      </c>
      <c r="F102" s="63">
        <f>'Exptl Setup'!F164</f>
        <v>32.006</v>
      </c>
      <c r="G102" s="64">
        <f>'Exptl Setup'!$C$5</f>
        <v>1.2793390913194711</v>
      </c>
      <c r="H102" s="7">
        <f t="shared" si="68"/>
        <v>25.017604962723365</v>
      </c>
      <c r="I102" s="8">
        <f t="shared" si="72"/>
        <v>9.4406056463107042</v>
      </c>
      <c r="J102" s="8">
        <f t="shared" si="69"/>
        <v>6.9883950372766357</v>
      </c>
      <c r="K102" s="8">
        <f>'Exptl Setup'!H164+'Exptl Setup'!I164+'Exptl Setup'!J164+5</f>
        <v>23.003024686832862</v>
      </c>
      <c r="L102" s="8">
        <f t="shared" si="70"/>
        <v>29.991419724109498</v>
      </c>
      <c r="M102" s="44">
        <v>300</v>
      </c>
      <c r="N102" s="65">
        <f t="shared" si="71"/>
        <v>260.56797462957979</v>
      </c>
      <c r="O102" s="66">
        <v>60</v>
      </c>
      <c r="P102" s="3">
        <v>56.816000000000003</v>
      </c>
      <c r="Q102" s="7">
        <f t="shared" si="49"/>
        <v>15.881353308478651</v>
      </c>
      <c r="R102" s="67">
        <f t="shared" si="50"/>
        <v>577.84582934084631</v>
      </c>
      <c r="S102" s="30">
        <v>120</v>
      </c>
      <c r="T102" s="3">
        <v>188.95400000000001</v>
      </c>
      <c r="U102" s="7">
        <f t="shared" si="51"/>
        <v>52.816904270808841</v>
      </c>
      <c r="V102" s="67">
        <f t="shared" si="52"/>
        <v>1921.7523380257371</v>
      </c>
      <c r="W102" s="30">
        <v>180</v>
      </c>
      <c r="X102" s="3">
        <v>306.90699999999998</v>
      </c>
      <c r="Y102" s="7">
        <f t="shared" si="53"/>
        <v>85.787427834505365</v>
      </c>
      <c r="Z102" s="67">
        <f t="shared" si="54"/>
        <v>3121.3906284411273</v>
      </c>
      <c r="AA102" s="69">
        <v>240</v>
      </c>
      <c r="AB102" s="112">
        <v>302.65800000000002</v>
      </c>
      <c r="AC102" s="155">
        <f t="shared" si="55"/>
        <v>84.599736511502613</v>
      </c>
      <c r="AD102" s="156">
        <f t="shared" ref="AD102:AD103" si="73">((AC102*$H$18*$H$19)/($H$20*$H$21*$F102))*1000*2.05</f>
        <v>6310.2613556764973</v>
      </c>
      <c r="AE102" s="70">
        <f t="shared" si="57"/>
        <v>577.84582934084631</v>
      </c>
      <c r="AF102" s="70">
        <f t="shared" si="58"/>
        <v>1921.7523380257371</v>
      </c>
      <c r="AG102" s="70">
        <f t="shared" si="59"/>
        <v>3121.3906284411273</v>
      </c>
      <c r="AH102" s="70">
        <f t="shared" si="60"/>
        <v>6310.2613556764973</v>
      </c>
      <c r="AI102" s="71">
        <f t="shared" si="61"/>
        <v>0.94008252363323297</v>
      </c>
      <c r="AJ102" s="72">
        <f t="shared" si="62"/>
        <v>30.661474782370576</v>
      </c>
      <c r="AK102" s="73">
        <f t="shared" si="63"/>
        <v>1839.6884869422345</v>
      </c>
    </row>
    <row r="103" spans="1:37">
      <c r="A103" s="3">
        <f>'Exptl Setup'!A165</f>
        <v>158</v>
      </c>
      <c r="B103" s="3" t="str">
        <f>'Exptl Setup'!C165</f>
        <v>b</v>
      </c>
      <c r="C103" s="3">
        <f>'Exptl Setup'!D165</f>
        <v>40</v>
      </c>
      <c r="D103" s="3" t="str">
        <f>'Exptl Setup'!E165</f>
        <v>+</v>
      </c>
      <c r="E103" s="111">
        <f>'Exptl Setup'!K165</f>
        <v>15.999987655426267</v>
      </c>
      <c r="F103" s="63">
        <f>'Exptl Setup'!F165</f>
        <v>31.997</v>
      </c>
      <c r="G103" s="64">
        <f>'Exptl Setup'!$C$5</f>
        <v>1.2793390913194711</v>
      </c>
      <c r="H103" s="7">
        <f t="shared" si="68"/>
        <v>25.010570080368041</v>
      </c>
      <c r="I103" s="8">
        <f t="shared" si="72"/>
        <v>9.4379509737237886</v>
      </c>
      <c r="J103" s="8">
        <f t="shared" si="69"/>
        <v>6.9864299196319593</v>
      </c>
      <c r="K103" s="8">
        <f>'Exptl Setup'!H165+'Exptl Setup'!I165+'Exptl Setup'!J165+5</f>
        <v>23.003024686832862</v>
      </c>
      <c r="L103" s="8">
        <f t="shared" si="70"/>
        <v>29.989454606464822</v>
      </c>
      <c r="M103" s="44">
        <v>300</v>
      </c>
      <c r="N103" s="65">
        <f t="shared" si="71"/>
        <v>260.57259441981137</v>
      </c>
      <c r="O103" s="66">
        <v>60</v>
      </c>
      <c r="P103" s="3">
        <v>30.446999999999999</v>
      </c>
      <c r="Q103" s="7">
        <f t="shared" si="49"/>
        <v>8.5107259825227146</v>
      </c>
      <c r="R103" s="67">
        <f t="shared" si="50"/>
        <v>309.75136083544538</v>
      </c>
      <c r="S103" s="30">
        <v>120</v>
      </c>
      <c r="T103" s="3">
        <v>164.833</v>
      </c>
      <c r="U103" s="7">
        <f t="shared" si="51"/>
        <v>46.07509757536593</v>
      </c>
      <c r="V103" s="67">
        <f t="shared" si="52"/>
        <v>1676.9220632768076</v>
      </c>
      <c r="W103" s="30">
        <v>180</v>
      </c>
      <c r="X103" s="3">
        <v>357.31599999999997</v>
      </c>
      <c r="Y103" s="7">
        <f t="shared" si="53"/>
        <v>99.879087107796693</v>
      </c>
      <c r="Z103" s="67">
        <f t="shared" si="54"/>
        <v>3635.1403175445193</v>
      </c>
      <c r="AA103" s="69">
        <v>240</v>
      </c>
      <c r="AB103" s="112">
        <v>294.36900000000003</v>
      </c>
      <c r="AC103" s="155">
        <f t="shared" si="55"/>
        <v>82.283768409013334</v>
      </c>
      <c r="AD103" s="156">
        <f t="shared" si="73"/>
        <v>6139.2405357646685</v>
      </c>
      <c r="AE103" s="70">
        <f t="shared" si="57"/>
        <v>309.75136083544538</v>
      </c>
      <c r="AF103" s="70">
        <f t="shared" si="58"/>
        <v>1676.9220632768076</v>
      </c>
      <c r="AG103" s="70">
        <f t="shared" si="59"/>
        <v>3635.1403175445193</v>
      </c>
      <c r="AH103" s="70">
        <f t="shared" si="60"/>
        <v>6139.2405357646685</v>
      </c>
      <c r="AI103" s="71">
        <f t="shared" si="61"/>
        <v>0.98319180043164023</v>
      </c>
      <c r="AJ103" s="72">
        <f t="shared" si="62"/>
        <v>32.411142965092303</v>
      </c>
      <c r="AK103" s="73">
        <f t="shared" si="63"/>
        <v>1944.6685779055381</v>
      </c>
    </row>
    <row r="104" spans="1:37">
      <c r="A104" s="3">
        <f>'Exptl Setup'!A166</f>
        <v>159</v>
      </c>
      <c r="B104" s="3" t="str">
        <f>'Exptl Setup'!C166</f>
        <v>c</v>
      </c>
      <c r="C104" s="3">
        <f>'Exptl Setup'!D166</f>
        <v>40</v>
      </c>
      <c r="D104" s="3" t="str">
        <f>'Exptl Setup'!E166</f>
        <v>+</v>
      </c>
      <c r="E104" s="111">
        <f>'Exptl Setup'!K166</f>
        <v>16.000987810929029</v>
      </c>
      <c r="F104" s="63">
        <f>'Exptl Setup'!F166</f>
        <v>31.995000000000001</v>
      </c>
      <c r="G104" s="64">
        <f>'Exptl Setup'!$C$5</f>
        <v>1.2793390913194711</v>
      </c>
      <c r="H104" s="7">
        <f t="shared" si="68"/>
        <v>25.009006773177969</v>
      </c>
      <c r="I104" s="8">
        <f t="shared" si="72"/>
        <v>9.4373610464822519</v>
      </c>
      <c r="J104" s="8">
        <f t="shared" si="69"/>
        <v>6.9859932268220319</v>
      </c>
      <c r="K104" s="8">
        <f>'Exptl Setup'!H166+'Exptl Setup'!I166+'Exptl Setup'!J166+5</f>
        <v>23.003024686832862</v>
      </c>
      <c r="L104" s="8">
        <f t="shared" si="70"/>
        <v>29.989017913654894</v>
      </c>
      <c r="M104" s="44">
        <v>300</v>
      </c>
      <c r="N104" s="65">
        <f t="shared" si="71"/>
        <v>260.57362103986287</v>
      </c>
      <c r="O104" s="66">
        <v>60</v>
      </c>
      <c r="P104" s="3">
        <v>26.85</v>
      </c>
      <c r="Q104" s="7">
        <f t="shared" si="49"/>
        <v>7.5052913677007123</v>
      </c>
      <c r="R104" s="67">
        <f t="shared" si="50"/>
        <v>273.1752309357642</v>
      </c>
      <c r="S104" s="30">
        <v>120</v>
      </c>
      <c r="T104" s="3">
        <v>156.08199999999999</v>
      </c>
      <c r="U104" s="7">
        <f t="shared" si="51"/>
        <v>43.629083324151303</v>
      </c>
      <c r="V104" s="67">
        <f t="shared" si="52"/>
        <v>1587.997631095566</v>
      </c>
      <c r="W104" s="30">
        <v>180</v>
      </c>
      <c r="X104" s="3">
        <v>317.44799999999998</v>
      </c>
      <c r="Y104" s="7">
        <f t="shared" si="53"/>
        <v>88.735185627331674</v>
      </c>
      <c r="Z104" s="67">
        <f t="shared" si="54"/>
        <v>3229.7553337093645</v>
      </c>
      <c r="AA104" s="69">
        <v>240</v>
      </c>
      <c r="AB104" s="113">
        <v>7.6559999999999997</v>
      </c>
      <c r="AC104" s="7">
        <f t="shared" si="55"/>
        <v>2.1400562648460579</v>
      </c>
      <c r="AD104" s="67">
        <f t="shared" si="56"/>
        <v>77.893093781907282</v>
      </c>
      <c r="AE104" s="70">
        <f t="shared" si="57"/>
        <v>273.1752309357642</v>
      </c>
      <c r="AF104" s="70">
        <f t="shared" si="58"/>
        <v>1587.997631095566</v>
      </c>
      <c r="AG104" s="70">
        <f t="shared" si="59"/>
        <v>3229.7553337093645</v>
      </c>
      <c r="AH104" s="70"/>
      <c r="AI104" s="71">
        <f t="shared" si="61"/>
        <v>0.99594064960317019</v>
      </c>
      <c r="AJ104" s="72">
        <f t="shared" si="62"/>
        <v>24.638167523113339</v>
      </c>
      <c r="AK104" s="73">
        <f t="shared" si="63"/>
        <v>1478.2900513868003</v>
      </c>
    </row>
    <row r="105" spans="1:37">
      <c r="A105" s="3">
        <f>'Exptl Setup'!A170</f>
        <v>163</v>
      </c>
      <c r="B105" s="3" t="str">
        <f>'Exptl Setup'!C170</f>
        <v>a</v>
      </c>
      <c r="C105" s="3">
        <f>'Exptl Setup'!D170</f>
        <v>40</v>
      </c>
      <c r="D105" s="3" t="str">
        <f>'Exptl Setup'!E170</f>
        <v>+</v>
      </c>
      <c r="E105" s="111">
        <f>'Exptl Setup'!K170</f>
        <v>19.991862113818897</v>
      </c>
      <c r="F105" s="63">
        <f>'Exptl Setup'!F170</f>
        <v>32.01</v>
      </c>
      <c r="G105" s="64">
        <f>'Exptl Setup'!$C$5</f>
        <v>1.2793390913194711</v>
      </c>
      <c r="H105" s="7">
        <f t="shared" si="68"/>
        <v>25.020731577103508</v>
      </c>
      <c r="I105" s="8">
        <f t="shared" si="72"/>
        <v>9.4417855007937774</v>
      </c>
      <c r="J105" s="8">
        <f t="shared" si="69"/>
        <v>6.9892684228964903</v>
      </c>
      <c r="K105" s="8">
        <f>'Exptl Setup'!H170+'Exptl Setup'!I170+'Exptl Setup'!J170+5</f>
        <v>23.003024686832859</v>
      </c>
      <c r="L105" s="8">
        <f t="shared" si="70"/>
        <v>29.992293109729349</v>
      </c>
      <c r="M105" s="44">
        <v>300</v>
      </c>
      <c r="N105" s="65">
        <f t="shared" si="71"/>
        <v>260.5659213894769</v>
      </c>
      <c r="O105" s="66">
        <v>60</v>
      </c>
      <c r="P105" s="3">
        <v>0.16600000000000001</v>
      </c>
      <c r="Q105" s="7">
        <f t="shared" si="49"/>
        <v>4.640049440538109E-2</v>
      </c>
      <c r="R105" s="67">
        <f t="shared" si="50"/>
        <v>1.6880791678312574</v>
      </c>
      <c r="S105" s="30">
        <v>120</v>
      </c>
      <c r="T105" s="3">
        <v>0.91200000000000003</v>
      </c>
      <c r="U105" s="7">
        <f t="shared" si="51"/>
        <v>0.2549231981789612</v>
      </c>
      <c r="V105" s="67">
        <f t="shared" si="52"/>
        <v>9.274266271458476</v>
      </c>
      <c r="W105" s="30">
        <v>180</v>
      </c>
      <c r="X105" s="3">
        <v>1.0609999999999999</v>
      </c>
      <c r="Y105" s="7">
        <f t="shared" si="53"/>
        <v>0.2965718347235502</v>
      </c>
      <c r="Z105" s="67">
        <f t="shared" si="54"/>
        <v>10.789469861861228</v>
      </c>
      <c r="AA105" s="69">
        <v>240</v>
      </c>
      <c r="AB105" s="113">
        <v>3.3149999999999999</v>
      </c>
      <c r="AC105" s="7">
        <f t="shared" si="55"/>
        <v>0.92661228285444763</v>
      </c>
      <c r="AD105" s="67">
        <f t="shared" si="56"/>
        <v>33.710737598557934</v>
      </c>
      <c r="AE105" s="70">
        <f t="shared" si="57"/>
        <v>1.6880791678312574</v>
      </c>
      <c r="AF105" s="70">
        <f t="shared" si="58"/>
        <v>9.274266271458476</v>
      </c>
      <c r="AG105" s="70">
        <f t="shared" si="59"/>
        <v>10.789469861861228</v>
      </c>
      <c r="AH105" s="70">
        <f t="shared" si="60"/>
        <v>33.710737598557934</v>
      </c>
      <c r="AI105" s="71">
        <f t="shared" si="61"/>
        <v>0.83141857917260875</v>
      </c>
      <c r="AJ105" s="72">
        <f t="shared" si="62"/>
        <v>0.1626386314709713</v>
      </c>
      <c r="AK105" s="73">
        <f t="shared" si="63"/>
        <v>9.7583178882582775</v>
      </c>
    </row>
    <row r="106" spans="1:37">
      <c r="A106" s="3">
        <f>'Exptl Setup'!A171</f>
        <v>164</v>
      </c>
      <c r="B106" s="3" t="str">
        <f>'Exptl Setup'!C171</f>
        <v>b</v>
      </c>
      <c r="C106" s="3">
        <f>'Exptl Setup'!D171</f>
        <v>40</v>
      </c>
      <c r="D106" s="3" t="str">
        <f>'Exptl Setup'!E171</f>
        <v>+</v>
      </c>
      <c r="E106" s="111">
        <f>'Exptl Setup'!K171</f>
        <v>19.994360628111693</v>
      </c>
      <c r="F106" s="63">
        <f>'Exptl Setup'!F171</f>
        <v>32.006</v>
      </c>
      <c r="G106" s="64">
        <f>'Exptl Setup'!$C$5</f>
        <v>1.2793390913194711</v>
      </c>
      <c r="H106" s="7">
        <f t="shared" si="68"/>
        <v>25.017604962723365</v>
      </c>
      <c r="I106" s="8">
        <f t="shared" si="72"/>
        <v>9.4406056463107042</v>
      </c>
      <c r="J106" s="8">
        <f t="shared" si="69"/>
        <v>6.9883950372766357</v>
      </c>
      <c r="K106" s="8">
        <f>'Exptl Setup'!H171+'Exptl Setup'!I171+'Exptl Setup'!J171+5</f>
        <v>23.003024686832859</v>
      </c>
      <c r="L106" s="8">
        <f t="shared" si="70"/>
        <v>29.991419724109495</v>
      </c>
      <c r="M106" s="44">
        <v>300</v>
      </c>
      <c r="N106" s="65">
        <f t="shared" si="71"/>
        <v>260.56797462957979</v>
      </c>
      <c r="O106" s="66">
        <v>60</v>
      </c>
      <c r="P106" s="3">
        <v>0.51700000000000002</v>
      </c>
      <c r="Q106" s="7">
        <f t="shared" si="49"/>
        <v>0.1445131593298272</v>
      </c>
      <c r="R106" s="67">
        <f t="shared" si="50"/>
        <v>5.258136682786847</v>
      </c>
      <c r="S106" s="30">
        <v>120</v>
      </c>
      <c r="T106" s="3">
        <v>1.1200000000000001</v>
      </c>
      <c r="U106" s="7">
        <f t="shared" si="51"/>
        <v>0.31306525812264313</v>
      </c>
      <c r="V106" s="67">
        <f t="shared" si="52"/>
        <v>11.390934399847717</v>
      </c>
      <c r="W106" s="30">
        <v>180</v>
      </c>
      <c r="X106" s="3">
        <v>2.0339999999999998</v>
      </c>
      <c r="Y106" s="7">
        <f t="shared" si="53"/>
        <v>0.56854887055487136</v>
      </c>
      <c r="Z106" s="67">
        <f t="shared" si="54"/>
        <v>20.686750508294864</v>
      </c>
      <c r="AA106" s="69">
        <v>240</v>
      </c>
      <c r="AB106" s="113">
        <v>3.6640000000000001</v>
      </c>
      <c r="AC106" s="7">
        <f t="shared" si="55"/>
        <v>1.0241706301440752</v>
      </c>
      <c r="AD106" s="67">
        <f t="shared" si="56"/>
        <v>37.264628250930379</v>
      </c>
      <c r="AE106" s="70">
        <f t="shared" si="57"/>
        <v>5.258136682786847</v>
      </c>
      <c r="AF106" s="70">
        <f t="shared" si="58"/>
        <v>11.390934399847717</v>
      </c>
      <c r="AG106" s="70">
        <f t="shared" si="59"/>
        <v>20.686750508294864</v>
      </c>
      <c r="AH106" s="70">
        <f t="shared" si="60"/>
        <v>37.264628250930379</v>
      </c>
      <c r="AI106" s="71">
        <f t="shared" si="61"/>
        <v>0.95173538378978251</v>
      </c>
      <c r="AJ106" s="72">
        <f t="shared" si="62"/>
        <v>0.17552548468812956</v>
      </c>
      <c r="AK106" s="73">
        <f t="shared" si="63"/>
        <v>10.531529081287774</v>
      </c>
    </row>
    <row r="107" spans="1:37">
      <c r="A107" s="3">
        <f>'Exptl Setup'!A172</f>
        <v>165</v>
      </c>
      <c r="B107" s="3" t="str">
        <f>'Exptl Setup'!C172</f>
        <v>c</v>
      </c>
      <c r="C107" s="3">
        <f>'Exptl Setup'!D172</f>
        <v>40</v>
      </c>
      <c r="D107" s="3" t="str">
        <f>'Exptl Setup'!E172</f>
        <v>+</v>
      </c>
      <c r="E107" s="111">
        <f>'Exptl Setup'!K172</f>
        <v>19.998109570729465</v>
      </c>
      <c r="F107" s="63">
        <f>'Exptl Setup'!F172</f>
        <v>32</v>
      </c>
      <c r="G107" s="64">
        <f>'Exptl Setup'!$C$5</f>
        <v>1.2793390913194711</v>
      </c>
      <c r="H107" s="7">
        <f t="shared" si="68"/>
        <v>25.01291504115315</v>
      </c>
      <c r="I107" s="8">
        <f t="shared" si="72"/>
        <v>9.4388358645860944</v>
      </c>
      <c r="J107" s="8">
        <f t="shared" si="69"/>
        <v>6.9870849588468502</v>
      </c>
      <c r="K107" s="8">
        <f>'Exptl Setup'!H172+'Exptl Setup'!I172+'Exptl Setup'!J172+5</f>
        <v>23.003024686832859</v>
      </c>
      <c r="L107" s="8">
        <f t="shared" si="70"/>
        <v>29.990109645679709</v>
      </c>
      <c r="M107" s="44">
        <v>300</v>
      </c>
      <c r="N107" s="65">
        <f t="shared" si="71"/>
        <v>260.57105448973419</v>
      </c>
      <c r="O107" s="66">
        <v>60</v>
      </c>
      <c r="P107" s="3">
        <v>0.51300000000000001</v>
      </c>
      <c r="Q107" s="7">
        <f t="shared" si="49"/>
        <v>0.14339622434211735</v>
      </c>
      <c r="R107" s="67">
        <f t="shared" si="50"/>
        <v>5.2184750877451886</v>
      </c>
      <c r="S107" s="30">
        <v>120</v>
      </c>
      <c r="T107" s="3">
        <v>0.90700000000000003</v>
      </c>
      <c r="U107" s="7">
        <f t="shared" si="51"/>
        <v>0.25352899703372406</v>
      </c>
      <c r="V107" s="67">
        <f t="shared" si="52"/>
        <v>9.2264267145904206</v>
      </c>
      <c r="W107" s="30">
        <v>180</v>
      </c>
      <c r="X107" s="3">
        <v>1.337</v>
      </c>
      <c r="Y107" s="7">
        <f t="shared" si="53"/>
        <v>0.37372466266161969</v>
      </c>
      <c r="Z107" s="67">
        <f t="shared" si="54"/>
        <v>13.600587119523034</v>
      </c>
      <c r="AA107" s="69">
        <v>240</v>
      </c>
      <c r="AB107" s="113">
        <v>1.8919999999999999</v>
      </c>
      <c r="AC107" s="7">
        <f t="shared" si="55"/>
        <v>0.52886092876274071</v>
      </c>
      <c r="AD107" s="67">
        <f t="shared" si="56"/>
        <v>19.246305781703498</v>
      </c>
      <c r="AE107" s="70">
        <f t="shared" si="57"/>
        <v>5.2184750877451886</v>
      </c>
      <c r="AF107" s="70">
        <f t="shared" si="58"/>
        <v>9.2264267145904206</v>
      </c>
      <c r="AG107" s="70">
        <f t="shared" si="59"/>
        <v>13.600587119523034</v>
      </c>
      <c r="AH107" s="70">
        <f t="shared" si="60"/>
        <v>19.246305781703498</v>
      </c>
      <c r="AI107" s="71">
        <f t="shared" si="61"/>
        <v>0.99344958791408344</v>
      </c>
      <c r="AJ107" s="72">
        <f t="shared" si="62"/>
        <v>7.7429420811345892E-2</v>
      </c>
      <c r="AK107" s="73">
        <f t="shared" si="63"/>
        <v>4.6457652486807532</v>
      </c>
    </row>
    <row r="108" spans="1:37">
      <c r="A108" s="3">
        <f>'Exptl Setup'!A176</f>
        <v>169</v>
      </c>
      <c r="B108" s="3" t="str">
        <f>'Exptl Setup'!C176</f>
        <v>a</v>
      </c>
      <c r="C108" s="3">
        <f>'Exptl Setup'!D176</f>
        <v>40</v>
      </c>
      <c r="D108" s="3" t="str">
        <f>'Exptl Setup'!E176</f>
        <v>-</v>
      </c>
      <c r="E108" s="111">
        <f>'Exptl Setup'!K176</f>
        <v>0</v>
      </c>
      <c r="F108" s="63">
        <f>'Exptl Setup'!F176</f>
        <v>32.006</v>
      </c>
      <c r="G108" s="64">
        <f>'Exptl Setup'!$C$5</f>
        <v>1.2793390913194711</v>
      </c>
      <c r="H108" s="7">
        <f t="shared" si="68"/>
        <v>25.017604962723365</v>
      </c>
      <c r="I108" s="8">
        <f t="shared" si="72"/>
        <v>9.4406056463107042</v>
      </c>
      <c r="J108" s="8">
        <f t="shared" si="69"/>
        <v>6.9883950372766357</v>
      </c>
      <c r="K108" s="8">
        <f>'Exptl Setup'!H176+'Exptl Setup'!I176+'Exptl Setup'!J176+5</f>
        <v>23.003024686832859</v>
      </c>
      <c r="L108" s="8">
        <f t="shared" si="70"/>
        <v>29.991419724109495</v>
      </c>
      <c r="M108" s="44">
        <v>300</v>
      </c>
      <c r="N108" s="65">
        <f t="shared" si="71"/>
        <v>260.56797462957979</v>
      </c>
      <c r="O108" s="66">
        <v>60</v>
      </c>
      <c r="P108" s="3">
        <v>34.649000000000001</v>
      </c>
      <c r="Q108" s="7">
        <f t="shared" si="49"/>
        <v>9.6851769006173747</v>
      </c>
      <c r="R108" s="67">
        <f t="shared" si="50"/>
        <v>352.39686251814601</v>
      </c>
      <c r="S108" s="30">
        <v>120</v>
      </c>
      <c r="T108" s="3">
        <v>44.484999999999999</v>
      </c>
      <c r="U108" s="7">
        <f t="shared" si="51"/>
        <v>12.43456072105873</v>
      </c>
      <c r="V108" s="67">
        <f t="shared" si="52"/>
        <v>452.4336756939515</v>
      </c>
      <c r="W108" s="30">
        <v>180</v>
      </c>
      <c r="X108" s="3">
        <v>51.606000000000002</v>
      </c>
      <c r="Y108" s="7">
        <f t="shared" si="53"/>
        <v>14.42504081310457</v>
      </c>
      <c r="Z108" s="67">
        <f t="shared" si="54"/>
        <v>524.85764342726895</v>
      </c>
      <c r="AA108" s="69">
        <v>240</v>
      </c>
      <c r="AB108" s="113">
        <v>61.933</v>
      </c>
      <c r="AC108" s="7">
        <f t="shared" si="55"/>
        <v>17.311670206526475</v>
      </c>
      <c r="AD108" s="67">
        <f t="shared" si="56"/>
        <v>629.88816088015051</v>
      </c>
      <c r="AE108" s="70">
        <f t="shared" si="57"/>
        <v>352.39686251814601</v>
      </c>
      <c r="AF108" s="70">
        <f t="shared" si="58"/>
        <v>452.4336756939515</v>
      </c>
      <c r="AG108" s="70">
        <f t="shared" si="59"/>
        <v>524.85764342726895</v>
      </c>
      <c r="AH108" s="70">
        <f t="shared" si="60"/>
        <v>629.88816088015051</v>
      </c>
      <c r="AI108" s="71">
        <f t="shared" si="61"/>
        <v>0.99543994519807866</v>
      </c>
      <c r="AJ108" s="72">
        <f t="shared" si="62"/>
        <v>1.508163104698885</v>
      </c>
      <c r="AK108" s="73">
        <f t="shared" si="63"/>
        <v>90.489786281933107</v>
      </c>
    </row>
    <row r="109" spans="1:37">
      <c r="A109" s="3">
        <f>'Exptl Setup'!A177</f>
        <v>170</v>
      </c>
      <c r="B109" s="3" t="str">
        <f>'Exptl Setup'!C177</f>
        <v>b</v>
      </c>
      <c r="C109" s="3">
        <f>'Exptl Setup'!D177</f>
        <v>40</v>
      </c>
      <c r="D109" s="3" t="str">
        <f>'Exptl Setup'!E177</f>
        <v>-</v>
      </c>
      <c r="E109" s="111">
        <f>'Exptl Setup'!K177</f>
        <v>0</v>
      </c>
      <c r="F109" s="63">
        <f>'Exptl Setup'!F177</f>
        <v>31.998999999999999</v>
      </c>
      <c r="G109" s="64">
        <f>'Exptl Setup'!$C$5</f>
        <v>1.2793390913194711</v>
      </c>
      <c r="H109" s="7">
        <f t="shared" si="68"/>
        <v>25.012133387558112</v>
      </c>
      <c r="I109" s="8">
        <f t="shared" si="72"/>
        <v>9.4385409009653252</v>
      </c>
      <c r="J109" s="8">
        <f t="shared" si="69"/>
        <v>6.9868666124418866</v>
      </c>
      <c r="K109" s="8">
        <f>'Exptl Setup'!H177+'Exptl Setup'!I177+'Exptl Setup'!J177+5</f>
        <v>23.003024686832859</v>
      </c>
      <c r="L109" s="8">
        <f t="shared" si="70"/>
        <v>29.989891299274746</v>
      </c>
      <c r="M109" s="44">
        <v>300</v>
      </c>
      <c r="N109" s="65">
        <f t="shared" si="71"/>
        <v>260.57156779975992</v>
      </c>
      <c r="O109" s="66">
        <v>60</v>
      </c>
      <c r="P109" s="3">
        <v>29.198</v>
      </c>
      <c r="Q109" s="7">
        <f t="shared" si="49"/>
        <v>8.1615761793881223</v>
      </c>
      <c r="R109" s="67">
        <f t="shared" si="50"/>
        <v>297.02534480290456</v>
      </c>
      <c r="S109" s="30">
        <v>120</v>
      </c>
      <c r="T109" s="3">
        <v>40.238</v>
      </c>
      <c r="U109" s="7">
        <f t="shared" si="51"/>
        <v>11.247534156662075</v>
      </c>
      <c r="V109" s="67">
        <f t="shared" si="52"/>
        <v>409.33303048767971</v>
      </c>
      <c r="W109" s="30">
        <v>180</v>
      </c>
      <c r="X109" s="3">
        <v>49.65</v>
      </c>
      <c r="Y109" s="7">
        <f t="shared" si="53"/>
        <v>13.878425142359761</v>
      </c>
      <c r="Z109" s="67">
        <f t="shared" si="54"/>
        <v>505.07940165299715</v>
      </c>
      <c r="AA109" s="69">
        <v>240</v>
      </c>
      <c r="AB109" s="113">
        <v>58.067</v>
      </c>
      <c r="AC109" s="7">
        <f t="shared" si="55"/>
        <v>16.231188574852048</v>
      </c>
      <c r="AD109" s="67">
        <f t="shared" si="56"/>
        <v>590.70383919002177</v>
      </c>
      <c r="AE109" s="70">
        <f t="shared" si="57"/>
        <v>297.02534480290456</v>
      </c>
      <c r="AF109" s="70">
        <f t="shared" si="58"/>
        <v>409.33303048767971</v>
      </c>
      <c r="AG109" s="70">
        <f t="shared" si="59"/>
        <v>505.07940165299715</v>
      </c>
      <c r="AH109" s="70">
        <f t="shared" si="60"/>
        <v>590.70383919002177</v>
      </c>
      <c r="AI109" s="71">
        <f t="shared" si="61"/>
        <v>0.99623950260178096</v>
      </c>
      <c r="AJ109" s="72">
        <f t="shared" si="62"/>
        <v>1.6279697572111154</v>
      </c>
      <c r="AK109" s="73">
        <f t="shared" si="63"/>
        <v>97.678185432666922</v>
      </c>
    </row>
    <row r="110" spans="1:37">
      <c r="A110" s="3">
        <f>'Exptl Setup'!A178</f>
        <v>171</v>
      </c>
      <c r="B110" s="3" t="str">
        <f>'Exptl Setup'!C178</f>
        <v>c</v>
      </c>
      <c r="C110" s="3">
        <f>'Exptl Setup'!D178</f>
        <v>40</v>
      </c>
      <c r="D110" s="3" t="str">
        <f>'Exptl Setup'!E178</f>
        <v>-</v>
      </c>
      <c r="E110" s="111">
        <f>'Exptl Setup'!K178</f>
        <v>0</v>
      </c>
      <c r="F110" s="63">
        <f>'Exptl Setup'!F178</f>
        <v>31.995999999999999</v>
      </c>
      <c r="G110" s="64">
        <f>'Exptl Setup'!$C$5</f>
        <v>1.2793390913194711</v>
      </c>
      <c r="H110" s="7">
        <f t="shared" si="68"/>
        <v>25.009788426773003</v>
      </c>
      <c r="I110" s="8">
        <f t="shared" si="72"/>
        <v>9.4376560101030211</v>
      </c>
      <c r="J110" s="8">
        <f t="shared" si="69"/>
        <v>6.9862115732269956</v>
      </c>
      <c r="K110" s="8">
        <f>'Exptl Setup'!H178+'Exptl Setup'!I178+'Exptl Setup'!J178+5</f>
        <v>23.003024686832859</v>
      </c>
      <c r="L110" s="8">
        <f t="shared" si="70"/>
        <v>29.989236260059855</v>
      </c>
      <c r="M110" s="44">
        <v>300</v>
      </c>
      <c r="N110" s="65">
        <f t="shared" si="71"/>
        <v>260.57310772983715</v>
      </c>
      <c r="O110" s="66">
        <v>60</v>
      </c>
      <c r="P110" s="3">
        <v>29.577000000000002</v>
      </c>
      <c r="Q110" s="7">
        <f t="shared" si="49"/>
        <v>8.2675495243513097</v>
      </c>
      <c r="R110" s="67">
        <f t="shared" si="50"/>
        <v>300.91025828506656</v>
      </c>
      <c r="S110" s="30">
        <v>120</v>
      </c>
      <c r="T110" s="3">
        <v>40.479999999999997</v>
      </c>
      <c r="U110" s="7">
        <f t="shared" si="51"/>
        <v>11.315224828269971</v>
      </c>
      <c r="V110" s="67">
        <f t="shared" si="52"/>
        <v>411.83511699562132</v>
      </c>
      <c r="W110" s="30">
        <v>180</v>
      </c>
      <c r="X110" s="3">
        <v>45.790999999999997</v>
      </c>
      <c r="Y110" s="7">
        <f t="shared" si="53"/>
        <v>12.799789034370313</v>
      </c>
      <c r="Z110" s="67">
        <f t="shared" si="54"/>
        <v>465.86812851646488</v>
      </c>
      <c r="AA110" s="69">
        <v>240</v>
      </c>
      <c r="AB110" s="113">
        <v>59.639000000000003</v>
      </c>
      <c r="AC110" s="7">
        <f t="shared" si="55"/>
        <v>16.670669306650023</v>
      </c>
      <c r="AD110" s="67">
        <f t="shared" si="56"/>
        <v>606.7548058918444</v>
      </c>
      <c r="AE110" s="70">
        <f t="shared" si="57"/>
        <v>300.91025828506656</v>
      </c>
      <c r="AF110" s="70">
        <f t="shared" si="58"/>
        <v>411.83511699562132</v>
      </c>
      <c r="AG110" s="70">
        <f t="shared" si="59"/>
        <v>465.86812851646488</v>
      </c>
      <c r="AH110" s="70">
        <f t="shared" si="60"/>
        <v>606.7548058918444</v>
      </c>
      <c r="AI110" s="71">
        <f t="shared" si="61"/>
        <v>0.97404653310582734</v>
      </c>
      <c r="AJ110" s="72">
        <f t="shared" si="62"/>
        <v>1.619277757235295</v>
      </c>
      <c r="AK110" s="73">
        <f t="shared" si="63"/>
        <v>97.156665434117699</v>
      </c>
    </row>
    <row r="111" spans="1:37">
      <c r="A111" s="3">
        <f>'Exptl Setup'!A182</f>
        <v>175</v>
      </c>
      <c r="B111" s="3" t="str">
        <f>'Exptl Setup'!C182</f>
        <v>a</v>
      </c>
      <c r="C111" s="3">
        <f>'Exptl Setup'!D182</f>
        <v>40</v>
      </c>
      <c r="D111" s="3" t="str">
        <f>'Exptl Setup'!E182</f>
        <v>-</v>
      </c>
      <c r="E111" s="111">
        <f>'Exptl Setup'!K182</f>
        <v>5.9969965913536027</v>
      </c>
      <c r="F111" s="63">
        <f>'Exptl Setup'!F182</f>
        <v>32.012999999999998</v>
      </c>
      <c r="G111" s="64">
        <f>'Exptl Setup'!$C$5</f>
        <v>1.2793390913194711</v>
      </c>
      <c r="H111" s="7">
        <f t="shared" si="68"/>
        <v>25.023076537888617</v>
      </c>
      <c r="I111" s="8">
        <f t="shared" si="72"/>
        <v>9.4426703916560815</v>
      </c>
      <c r="J111" s="8">
        <f t="shared" si="69"/>
        <v>6.9899234621113813</v>
      </c>
      <c r="K111" s="8">
        <f>'Exptl Setup'!H182+'Exptl Setup'!I182+'Exptl Setup'!J182+5</f>
        <v>23.003024686832859</v>
      </c>
      <c r="L111" s="8">
        <f t="shared" si="70"/>
        <v>29.99294814894424</v>
      </c>
      <c r="M111" s="44">
        <v>300</v>
      </c>
      <c r="N111" s="65">
        <f t="shared" si="71"/>
        <v>260.56438145939967</v>
      </c>
      <c r="O111" s="66">
        <v>60</v>
      </c>
      <c r="P111" s="3">
        <v>6.7320000000000002</v>
      </c>
      <c r="Q111" s="7">
        <f t="shared" si="49"/>
        <v>1.8817281330099325</v>
      </c>
      <c r="R111" s="67">
        <f t="shared" si="50"/>
        <v>68.452037527763991</v>
      </c>
      <c r="S111" s="30">
        <v>120</v>
      </c>
      <c r="T111" s="3">
        <v>12.093999999999999</v>
      </c>
      <c r="U111" s="7">
        <f t="shared" si="51"/>
        <v>3.3805139691952055</v>
      </c>
      <c r="V111" s="67">
        <f t="shared" si="52"/>
        <v>122.97369902863605</v>
      </c>
      <c r="W111" s="30">
        <v>180</v>
      </c>
      <c r="X111" s="3">
        <v>15.878</v>
      </c>
      <c r="Y111" s="7">
        <f t="shared" si="53"/>
        <v>4.4382173642203959</v>
      </c>
      <c r="Z111" s="67">
        <f t="shared" si="54"/>
        <v>161.45000770437264</v>
      </c>
      <c r="AA111" s="69">
        <v>240</v>
      </c>
      <c r="AB111" s="113">
        <v>21.983000000000001</v>
      </c>
      <c r="AC111" s="7">
        <f t="shared" si="55"/>
        <v>6.1446865044499921</v>
      </c>
      <c r="AD111" s="67">
        <f t="shared" si="56"/>
        <v>223.5266103643547</v>
      </c>
      <c r="AE111" s="70">
        <f t="shared" si="57"/>
        <v>68.452037527763991</v>
      </c>
      <c r="AF111" s="70">
        <f t="shared" si="58"/>
        <v>122.97369902863605</v>
      </c>
      <c r="AG111" s="70">
        <f t="shared" si="59"/>
        <v>161.45000770437264</v>
      </c>
      <c r="AH111" s="70">
        <f t="shared" si="60"/>
        <v>223.5266103643547</v>
      </c>
      <c r="AI111" s="71">
        <f t="shared" si="61"/>
        <v>0.99273327623326579</v>
      </c>
      <c r="AJ111" s="72">
        <f t="shared" si="62"/>
        <v>0.83950004530918121</v>
      </c>
      <c r="AK111" s="73">
        <f t="shared" si="63"/>
        <v>50.370002718550872</v>
      </c>
    </row>
    <row r="112" spans="1:37">
      <c r="A112" s="3">
        <f>'Exptl Setup'!A183</f>
        <v>176</v>
      </c>
      <c r="B112" s="3" t="str">
        <f>'Exptl Setup'!C183</f>
        <v>b</v>
      </c>
      <c r="C112" s="3">
        <f>'Exptl Setup'!D183</f>
        <v>40</v>
      </c>
      <c r="D112" s="3" t="str">
        <f>'Exptl Setup'!E183</f>
        <v>-</v>
      </c>
      <c r="E112" s="111">
        <f>'Exptl Setup'!K183</f>
        <v>6.0007455343044693</v>
      </c>
      <c r="F112" s="63">
        <f>'Exptl Setup'!F183</f>
        <v>31.992999999999999</v>
      </c>
      <c r="G112" s="64">
        <f>'Exptl Setup'!$C$5</f>
        <v>1.2793390913194711</v>
      </c>
      <c r="H112" s="7">
        <f t="shared" si="68"/>
        <v>25.007443465987894</v>
      </c>
      <c r="I112" s="8">
        <f t="shared" si="72"/>
        <v>9.4367711192407153</v>
      </c>
      <c r="J112" s="8">
        <f t="shared" si="69"/>
        <v>6.9855565340121046</v>
      </c>
      <c r="K112" s="8">
        <f>'Exptl Setup'!H183+'Exptl Setup'!I183+'Exptl Setup'!J183+5</f>
        <v>23.003024686832859</v>
      </c>
      <c r="L112" s="8">
        <f t="shared" si="70"/>
        <v>29.988581220844964</v>
      </c>
      <c r="M112" s="44">
        <v>300</v>
      </c>
      <c r="N112" s="65">
        <f t="shared" si="71"/>
        <v>260.57464765991432</v>
      </c>
      <c r="O112" s="66">
        <v>60</v>
      </c>
      <c r="P112" s="3">
        <v>43.866999999999997</v>
      </c>
      <c r="Q112" s="7">
        <f t="shared" si="49"/>
        <v>12.262029815303618</v>
      </c>
      <c r="R112" s="67">
        <f t="shared" si="50"/>
        <v>446.33739896312284</v>
      </c>
      <c r="S112" s="30">
        <v>120</v>
      </c>
      <c r="T112" s="3">
        <v>60.787999999999997</v>
      </c>
      <c r="U112" s="7">
        <f t="shared" si="51"/>
        <v>16.991913475110593</v>
      </c>
      <c r="V112" s="67">
        <f t="shared" si="52"/>
        <v>618.50497659220628</v>
      </c>
      <c r="W112" s="30">
        <v>180</v>
      </c>
      <c r="X112" s="3">
        <v>72.954999999999998</v>
      </c>
      <c r="Y112" s="7">
        <f t="shared" si="53"/>
        <v>20.392923727984034</v>
      </c>
      <c r="Z112" s="67">
        <f t="shared" si="54"/>
        <v>742.30161491222634</v>
      </c>
      <c r="AA112" s="69">
        <v>240</v>
      </c>
      <c r="AB112" s="113">
        <v>86.558999999999997</v>
      </c>
      <c r="AC112" s="7">
        <f t="shared" si="55"/>
        <v>24.195614899192243</v>
      </c>
      <c r="AD112" s="67">
        <f t="shared" si="56"/>
        <v>880.71942272890703</v>
      </c>
      <c r="AE112" s="70">
        <f t="shared" si="57"/>
        <v>446.33739896312284</v>
      </c>
      <c r="AF112" s="70">
        <f t="shared" si="58"/>
        <v>618.50497659220628</v>
      </c>
      <c r="AG112" s="70">
        <f t="shared" si="59"/>
        <v>742.30161491222634</v>
      </c>
      <c r="AH112" s="70">
        <f t="shared" si="60"/>
        <v>880.71942272890703</v>
      </c>
      <c r="AI112" s="71">
        <f t="shared" si="61"/>
        <v>0.99527661313557714</v>
      </c>
      <c r="AJ112" s="72">
        <f t="shared" si="62"/>
        <v>2.378237849362288</v>
      </c>
      <c r="AK112" s="73">
        <f t="shared" si="63"/>
        <v>142.69427096173729</v>
      </c>
    </row>
    <row r="113" spans="1:37">
      <c r="A113" s="3">
        <f>'Exptl Setup'!A184</f>
        <v>177</v>
      </c>
      <c r="B113" s="3" t="str">
        <f>'Exptl Setup'!C184</f>
        <v>c</v>
      </c>
      <c r="C113" s="3">
        <f>'Exptl Setup'!D184</f>
        <v>40</v>
      </c>
      <c r="D113" s="3" t="str">
        <f>'Exptl Setup'!E184</f>
        <v>-</v>
      </c>
      <c r="E113" s="111">
        <f>'Exptl Setup'!K184</f>
        <v>5.9992453948002522</v>
      </c>
      <c r="F113" s="63">
        <f>'Exptl Setup'!F184</f>
        <v>32.000999999999998</v>
      </c>
      <c r="G113" s="64">
        <f>'Exptl Setup'!$C$5</f>
        <v>1.2793390913194711</v>
      </c>
      <c r="H113" s="7">
        <f t="shared" ref="H113:H143" si="74">F113/G113</f>
        <v>25.013696694748184</v>
      </c>
      <c r="I113" s="8">
        <f t="shared" si="72"/>
        <v>9.4391308282068618</v>
      </c>
      <c r="J113" s="8">
        <f t="shared" ref="J113:J143" si="75">F113-H113</f>
        <v>6.9873033052518139</v>
      </c>
      <c r="K113" s="8">
        <f>'Exptl Setup'!H184+'Exptl Setup'!I184+'Exptl Setup'!J184+5</f>
        <v>23.003024686832859</v>
      </c>
      <c r="L113" s="8">
        <f t="shared" ref="L113:L143" si="76">J113+K113</f>
        <v>29.990327992084673</v>
      </c>
      <c r="M113" s="44">
        <v>300</v>
      </c>
      <c r="N113" s="65">
        <f t="shared" ref="N113:N143" si="77">M113-(I113+L113)</f>
        <v>260.57054117970847</v>
      </c>
      <c r="O113" s="66">
        <v>60</v>
      </c>
      <c r="P113" s="3">
        <v>6.5190000000000001</v>
      </c>
      <c r="Q113" s="7">
        <f t="shared" si="49"/>
        <v>1.8222197492005323</v>
      </c>
      <c r="R113" s="67">
        <f t="shared" si="50"/>
        <v>66.312144937919356</v>
      </c>
      <c r="S113" s="30">
        <v>120</v>
      </c>
      <c r="T113" s="3">
        <v>12.772</v>
      </c>
      <c r="U113" s="7">
        <f t="shared" si="51"/>
        <v>3.5700860004278567</v>
      </c>
      <c r="V113" s="67">
        <f t="shared" si="52"/>
        <v>129.91850209343551</v>
      </c>
      <c r="W113" s="30">
        <v>180</v>
      </c>
      <c r="X113" s="3">
        <v>17.254999999999999</v>
      </c>
      <c r="Y113" s="7">
        <f t="shared" si="53"/>
        <v>4.8231940132620315</v>
      </c>
      <c r="Z113" s="67">
        <f t="shared" si="54"/>
        <v>175.5201811479979</v>
      </c>
      <c r="AA113" s="69">
        <v>240</v>
      </c>
      <c r="AB113" s="113">
        <v>22.875</v>
      </c>
      <c r="AC113" s="7">
        <f t="shared" si="55"/>
        <v>6.3941213012673987</v>
      </c>
      <c r="AD113" s="67">
        <f t="shared" si="56"/>
        <v>232.68757715215605</v>
      </c>
      <c r="AE113" s="70">
        <f t="shared" si="57"/>
        <v>66.312144937919356</v>
      </c>
      <c r="AF113" s="70">
        <f t="shared" si="58"/>
        <v>129.91850209343551</v>
      </c>
      <c r="AG113" s="70">
        <f t="shared" si="59"/>
        <v>175.5201811479979</v>
      </c>
      <c r="AH113" s="70">
        <f t="shared" si="60"/>
        <v>232.68757715215605</v>
      </c>
      <c r="AI113" s="71">
        <f t="shared" si="61"/>
        <v>0.99636779033167533</v>
      </c>
      <c r="AJ113" s="72">
        <f t="shared" si="62"/>
        <v>0.90787995949545419</v>
      </c>
      <c r="AK113" s="73">
        <f t="shared" si="63"/>
        <v>54.472797569727248</v>
      </c>
    </row>
    <row r="114" spans="1:37">
      <c r="A114" s="3">
        <f>'Exptl Setup'!A188</f>
        <v>181</v>
      </c>
      <c r="B114" s="3" t="str">
        <f>'Exptl Setup'!C188</f>
        <v>a</v>
      </c>
      <c r="C114" s="3">
        <f>'Exptl Setup'!D188</f>
        <v>40</v>
      </c>
      <c r="D114" s="3" t="str">
        <f>'Exptl Setup'!E188</f>
        <v>-</v>
      </c>
      <c r="E114" s="111">
        <f>'Exptl Setup'!K188</f>
        <v>15.996987938964294</v>
      </c>
      <c r="F114" s="63">
        <f>'Exptl Setup'!F188</f>
        <v>32.003</v>
      </c>
      <c r="G114" s="64">
        <f>'Exptl Setup'!$C$5</f>
        <v>1.2793390913194711</v>
      </c>
      <c r="H114" s="7">
        <f t="shared" si="74"/>
        <v>25.015260001938255</v>
      </c>
      <c r="I114" s="8">
        <f t="shared" si="72"/>
        <v>9.4397207554483984</v>
      </c>
      <c r="J114" s="8">
        <f t="shared" si="75"/>
        <v>6.9877399980617447</v>
      </c>
      <c r="K114" s="8">
        <f>'Exptl Setup'!H188+'Exptl Setup'!I188+'Exptl Setup'!J188+5</f>
        <v>23.003024686832862</v>
      </c>
      <c r="L114" s="8">
        <f t="shared" si="76"/>
        <v>29.990764684894607</v>
      </c>
      <c r="M114" s="44">
        <v>300</v>
      </c>
      <c r="N114" s="65">
        <f t="shared" si="77"/>
        <v>260.56951455965702</v>
      </c>
      <c r="O114" s="66">
        <v>60</v>
      </c>
      <c r="P114" s="3">
        <v>2.4780000000000002</v>
      </c>
      <c r="Q114" s="7">
        <f t="shared" si="49"/>
        <v>0.69265967368878478</v>
      </c>
      <c r="R114" s="67">
        <f t="shared" si="50"/>
        <v>25.204906394668971</v>
      </c>
      <c r="S114" s="30">
        <v>120</v>
      </c>
      <c r="T114" s="3">
        <v>5.0309999999999997</v>
      </c>
      <c r="U114" s="7">
        <f t="shared" si="51"/>
        <v>1.4062836232156077</v>
      </c>
      <c r="V114" s="67">
        <f t="shared" si="52"/>
        <v>51.172673152372717</v>
      </c>
      <c r="W114" s="30">
        <v>180</v>
      </c>
      <c r="X114" s="3">
        <v>7.8010000000000002</v>
      </c>
      <c r="Y114" s="7">
        <f t="shared" si="53"/>
        <v>2.1805642108338215</v>
      </c>
      <c r="Z114" s="67">
        <f t="shared" si="54"/>
        <v>79.347649227123739</v>
      </c>
      <c r="AA114" s="69">
        <v>240</v>
      </c>
      <c r="AB114" s="113">
        <v>8.3140000000000001</v>
      </c>
      <c r="AC114" s="7">
        <f t="shared" si="55"/>
        <v>2.3239598575660034</v>
      </c>
      <c r="AD114" s="67">
        <f t="shared" si="56"/>
        <v>84.565614110281615</v>
      </c>
      <c r="AE114" s="70">
        <f t="shared" si="57"/>
        <v>25.204906394668971</v>
      </c>
      <c r="AF114" s="70">
        <f t="shared" si="58"/>
        <v>51.172673152372717</v>
      </c>
      <c r="AG114" s="70">
        <f t="shared" si="59"/>
        <v>79.347649227123739</v>
      </c>
      <c r="AH114" s="70">
        <f t="shared" si="60"/>
        <v>84.565614110281615</v>
      </c>
      <c r="AI114" s="71">
        <f t="shared" si="61"/>
        <v>0.93853668018211056</v>
      </c>
      <c r="AJ114" s="72">
        <f t="shared" si="62"/>
        <v>0.3437618320359816</v>
      </c>
      <c r="AK114" s="73">
        <f t="shared" si="63"/>
        <v>20.625709922158897</v>
      </c>
    </row>
    <row r="115" spans="1:37">
      <c r="A115" s="3">
        <f>'Exptl Setup'!A189</f>
        <v>182</v>
      </c>
      <c r="B115" s="3" t="str">
        <f>'Exptl Setup'!C189</f>
        <v>b</v>
      </c>
      <c r="C115" s="3">
        <f>'Exptl Setup'!D189</f>
        <v>40</v>
      </c>
      <c r="D115" s="3" t="str">
        <f>'Exptl Setup'!E189</f>
        <v>-</v>
      </c>
      <c r="E115" s="111">
        <f>'Exptl Setup'!K189</f>
        <v>16.000987810929029</v>
      </c>
      <c r="F115" s="63">
        <f>'Exptl Setup'!F189</f>
        <v>31.995000000000001</v>
      </c>
      <c r="G115" s="64">
        <f>'Exptl Setup'!$C$5</f>
        <v>1.2793390913194711</v>
      </c>
      <c r="H115" s="7">
        <f t="shared" si="74"/>
        <v>25.009006773177969</v>
      </c>
      <c r="I115" s="8">
        <f t="shared" si="72"/>
        <v>9.4373610464822519</v>
      </c>
      <c r="J115" s="8">
        <f t="shared" si="75"/>
        <v>6.9859932268220319</v>
      </c>
      <c r="K115" s="8">
        <f>'Exptl Setup'!H189+'Exptl Setup'!I189+'Exptl Setup'!J189+5</f>
        <v>23.003024686832862</v>
      </c>
      <c r="L115" s="8">
        <f t="shared" si="76"/>
        <v>29.989017913654894</v>
      </c>
      <c r="M115" s="44">
        <v>300</v>
      </c>
      <c r="N115" s="65">
        <f t="shared" si="77"/>
        <v>260.57362103986287</v>
      </c>
      <c r="O115" s="66">
        <v>60</v>
      </c>
      <c r="P115" s="3">
        <v>2.9740000000000002</v>
      </c>
      <c r="Q115" s="7">
        <f t="shared" si="49"/>
        <v>0.8313123473944849</v>
      </c>
      <c r="R115" s="67">
        <f t="shared" si="50"/>
        <v>30.257844946106616</v>
      </c>
      <c r="S115" s="30">
        <v>120</v>
      </c>
      <c r="T115" s="3">
        <v>5.4569999999999999</v>
      </c>
      <c r="U115" s="7">
        <f t="shared" si="51"/>
        <v>1.5253770947315748</v>
      </c>
      <c r="V115" s="67">
        <f t="shared" si="52"/>
        <v>55.520194980129041</v>
      </c>
      <c r="W115" s="30">
        <v>180</v>
      </c>
      <c r="X115" s="3">
        <v>7.516</v>
      </c>
      <c r="Y115" s="7">
        <f t="shared" si="53"/>
        <v>2.1009225295954765</v>
      </c>
      <c r="Z115" s="67">
        <f t="shared" si="54"/>
        <v>76.468716413899557</v>
      </c>
      <c r="AA115" s="69">
        <v>240</v>
      </c>
      <c r="AB115" s="113">
        <v>7.3849999999999998</v>
      </c>
      <c r="AC115" s="7">
        <f t="shared" si="55"/>
        <v>2.0643045344681474</v>
      </c>
      <c r="AD115" s="67">
        <f t="shared" si="56"/>
        <v>75.135906162406641</v>
      </c>
      <c r="AE115" s="70">
        <f t="shared" si="57"/>
        <v>30.257844946106616</v>
      </c>
      <c r="AF115" s="70">
        <f t="shared" si="58"/>
        <v>55.520194980129041</v>
      </c>
      <c r="AG115" s="70">
        <f t="shared" si="59"/>
        <v>76.468716413899557</v>
      </c>
      <c r="AH115" s="70">
        <f t="shared" si="60"/>
        <v>75.135906162406641</v>
      </c>
      <c r="AI115" s="71">
        <f t="shared" si="61"/>
        <v>0.8624870965481376</v>
      </c>
      <c r="AJ115" s="72">
        <f t="shared" si="62"/>
        <v>0.25930450847111763</v>
      </c>
      <c r="AK115" s="73">
        <f t="shared" si="63"/>
        <v>15.558270508267057</v>
      </c>
    </row>
    <row r="116" spans="1:37">
      <c r="A116" s="3">
        <f>'Exptl Setup'!A190</f>
        <v>183</v>
      </c>
      <c r="B116" s="3" t="str">
        <f>'Exptl Setup'!C190</f>
        <v>c</v>
      </c>
      <c r="C116" s="3">
        <f>'Exptl Setup'!D190</f>
        <v>40</v>
      </c>
      <c r="D116" s="3" t="str">
        <f>'Exptl Setup'!E190</f>
        <v>-</v>
      </c>
      <c r="E116" s="111">
        <f>'Exptl Setup'!K190</f>
        <v>16.002988497098379</v>
      </c>
      <c r="F116" s="63">
        <f>'Exptl Setup'!F190</f>
        <v>31.991</v>
      </c>
      <c r="G116" s="64">
        <f>'Exptl Setup'!$C$5</f>
        <v>1.2793390913194711</v>
      </c>
      <c r="H116" s="7">
        <f t="shared" si="74"/>
        <v>25.005880158797822</v>
      </c>
      <c r="I116" s="8">
        <f t="shared" si="72"/>
        <v>9.4361811919991787</v>
      </c>
      <c r="J116" s="8">
        <f t="shared" si="75"/>
        <v>6.9851198412021773</v>
      </c>
      <c r="K116" s="8">
        <f>'Exptl Setup'!H190+'Exptl Setup'!I190+'Exptl Setup'!J190+5</f>
        <v>23.003024686832862</v>
      </c>
      <c r="L116" s="8">
        <f t="shared" si="76"/>
        <v>29.98814452803504</v>
      </c>
      <c r="M116" s="44">
        <v>300</v>
      </c>
      <c r="N116" s="65">
        <f t="shared" si="77"/>
        <v>260.57567427996577</v>
      </c>
      <c r="O116" s="66">
        <v>60</v>
      </c>
      <c r="P116" s="3">
        <v>3.7440000000000002</v>
      </c>
      <c r="Q116" s="7">
        <f t="shared" si="49"/>
        <v>1.0465535119915848</v>
      </c>
      <c r="R116" s="67">
        <f t="shared" si="50"/>
        <v>38.096887906489535</v>
      </c>
      <c r="S116" s="30">
        <v>120</v>
      </c>
      <c r="T116" s="3">
        <v>7.7910000000000004</v>
      </c>
      <c r="U116" s="7">
        <f t="shared" si="51"/>
        <v>2.1778040630145399</v>
      </c>
      <c r="V116" s="67">
        <f t="shared" si="52"/>
        <v>79.276937414385671</v>
      </c>
      <c r="W116" s="30">
        <v>180</v>
      </c>
      <c r="X116" s="3">
        <v>12.531000000000001</v>
      </c>
      <c r="Y116" s="7">
        <f t="shared" si="53"/>
        <v>3.5027676439013216</v>
      </c>
      <c r="Z116" s="67">
        <f t="shared" si="54"/>
        <v>127.50857434728105</v>
      </c>
      <c r="AA116" s="69">
        <v>240</v>
      </c>
      <c r="AB116" s="113">
        <v>14.593999999999999</v>
      </c>
      <c r="AC116" s="7">
        <f t="shared" si="55"/>
        <v>4.0794342825868553</v>
      </c>
      <c r="AD116" s="67">
        <f t="shared" si="56"/>
        <v>148.50052940900324</v>
      </c>
      <c r="AE116" s="70">
        <f t="shared" si="57"/>
        <v>38.096887906489535</v>
      </c>
      <c r="AF116" s="70">
        <f t="shared" si="58"/>
        <v>79.276937414385671</v>
      </c>
      <c r="AG116" s="70">
        <f t="shared" si="59"/>
        <v>127.50857434728105</v>
      </c>
      <c r="AH116" s="70">
        <f t="shared" si="60"/>
        <v>148.50052940900324</v>
      </c>
      <c r="AI116" s="71">
        <f t="shared" si="61"/>
        <v>0.97816645547945336</v>
      </c>
      <c r="AJ116" s="72">
        <f t="shared" si="62"/>
        <v>0.63240426906739411</v>
      </c>
      <c r="AK116" s="73">
        <f t="shared" si="63"/>
        <v>37.944256144043649</v>
      </c>
    </row>
    <row r="117" spans="1:37">
      <c r="A117" s="3">
        <f>'Exptl Setup'!A194</f>
        <v>187</v>
      </c>
      <c r="B117" s="3" t="str">
        <f>'Exptl Setup'!C194</f>
        <v>a</v>
      </c>
      <c r="C117" s="3">
        <f>'Exptl Setup'!D194</f>
        <v>40</v>
      </c>
      <c r="D117" s="3" t="str">
        <f>'Exptl Setup'!E194</f>
        <v>-</v>
      </c>
      <c r="E117" s="111">
        <f>'Exptl Setup'!K194</f>
        <v>20.002485114348229</v>
      </c>
      <c r="F117" s="63">
        <f>'Exptl Setup'!F194</f>
        <v>31.992999999999999</v>
      </c>
      <c r="G117" s="64">
        <f>'Exptl Setup'!$C$5</f>
        <v>1.2793390913194711</v>
      </c>
      <c r="H117" s="7">
        <f t="shared" si="74"/>
        <v>25.007443465987894</v>
      </c>
      <c r="I117" s="8">
        <f t="shared" si="72"/>
        <v>9.4367711192407153</v>
      </c>
      <c r="J117" s="8">
        <f t="shared" si="75"/>
        <v>6.9855565340121046</v>
      </c>
      <c r="K117" s="8">
        <f>'Exptl Setup'!H194+'Exptl Setup'!I194+'Exptl Setup'!J194+5</f>
        <v>23.003024686832859</v>
      </c>
      <c r="L117" s="8">
        <f t="shared" si="76"/>
        <v>29.988581220844964</v>
      </c>
      <c r="M117" s="44">
        <v>300</v>
      </c>
      <c r="N117" s="65">
        <f t="shared" si="77"/>
        <v>260.57464765991432</v>
      </c>
      <c r="O117" s="66">
        <v>60</v>
      </c>
      <c r="P117" s="3">
        <v>8.9999999999999993E-3</v>
      </c>
      <c r="Q117" s="7">
        <f t="shared" si="49"/>
        <v>2.5157468789233951E-3</v>
      </c>
      <c r="R117" s="67">
        <f t="shared" si="50"/>
        <v>9.1573086617915647E-2</v>
      </c>
      <c r="S117" s="30">
        <v>120</v>
      </c>
      <c r="T117" s="3">
        <v>0.28699999999999998</v>
      </c>
      <c r="U117" s="7">
        <f t="shared" si="51"/>
        <v>8.022437269455715E-2</v>
      </c>
      <c r="V117" s="67">
        <f t="shared" si="52"/>
        <v>2.9201639843713103</v>
      </c>
      <c r="W117" s="30">
        <v>180</v>
      </c>
      <c r="X117" s="3">
        <v>0.4</v>
      </c>
      <c r="Y117" s="7">
        <f t="shared" si="53"/>
        <v>0.11181097239659535</v>
      </c>
      <c r="Z117" s="67">
        <f t="shared" si="54"/>
        <v>4.0699149607962513</v>
      </c>
      <c r="AA117" s="69">
        <v>240</v>
      </c>
      <c r="AB117" s="113">
        <v>0.42399999999999999</v>
      </c>
      <c r="AC117" s="7">
        <f t="shared" si="55"/>
        <v>0.11851963074039107</v>
      </c>
      <c r="AD117" s="67">
        <f t="shared" si="56"/>
        <v>4.3141098584440272</v>
      </c>
      <c r="AE117" s="70">
        <f t="shared" si="57"/>
        <v>9.1573086617915647E-2</v>
      </c>
      <c r="AF117" s="70">
        <f t="shared" si="58"/>
        <v>2.9201639843713103</v>
      </c>
      <c r="AG117" s="70">
        <f t="shared" si="59"/>
        <v>4.0699149607962513</v>
      </c>
      <c r="AH117" s="70">
        <f t="shared" si="60"/>
        <v>4.3141098584440272</v>
      </c>
      <c r="AI117" s="71">
        <f t="shared" si="61"/>
        <v>0.84885938909653369</v>
      </c>
      <c r="AJ117" s="72">
        <f t="shared" si="62"/>
        <v>2.3028935486505461E-2</v>
      </c>
      <c r="AK117" s="73">
        <f t="shared" si="63"/>
        <v>1.3817361291903276</v>
      </c>
    </row>
    <row r="118" spans="1:37">
      <c r="A118" s="3">
        <f>'Exptl Setup'!A195</f>
        <v>188</v>
      </c>
      <c r="B118" s="3" t="str">
        <f>'Exptl Setup'!C195</f>
        <v>b</v>
      </c>
      <c r="C118" s="3">
        <f>'Exptl Setup'!D195</f>
        <v>40</v>
      </c>
      <c r="D118" s="3" t="str">
        <f>'Exptl Setup'!E195</f>
        <v>-</v>
      </c>
      <c r="E118" s="111">
        <f>'Exptl Setup'!K195</f>
        <v>19.993735940992373</v>
      </c>
      <c r="F118" s="63">
        <f>'Exptl Setup'!F195</f>
        <v>32.006999999999998</v>
      </c>
      <c r="G118" s="64">
        <f>'Exptl Setup'!$C$5</f>
        <v>1.2793390913194711</v>
      </c>
      <c r="H118" s="7">
        <f t="shared" si="74"/>
        <v>25.018386616318399</v>
      </c>
      <c r="I118" s="8">
        <f t="shared" si="72"/>
        <v>9.4409006099314716</v>
      </c>
      <c r="J118" s="8">
        <f t="shared" si="75"/>
        <v>6.9886133836815993</v>
      </c>
      <c r="K118" s="8">
        <f>'Exptl Setup'!H195+'Exptl Setup'!I195+'Exptl Setup'!J195+5</f>
        <v>23.003024686832859</v>
      </c>
      <c r="L118" s="8">
        <f t="shared" si="76"/>
        <v>29.991638070514458</v>
      </c>
      <c r="M118" s="44">
        <v>300</v>
      </c>
      <c r="N118" s="65">
        <f t="shared" si="77"/>
        <v>260.56746131955407</v>
      </c>
      <c r="O118" s="66">
        <v>60</v>
      </c>
      <c r="P118" s="3">
        <v>1E-3</v>
      </c>
      <c r="Q118" s="7">
        <f t="shared" si="49"/>
        <v>2.7952217658011922E-4</v>
      </c>
      <c r="R118" s="67">
        <f t="shared" si="50"/>
        <v>1.0170145729340909E-2</v>
      </c>
      <c r="S118" s="30">
        <v>120</v>
      </c>
      <c r="T118" s="3">
        <v>0.16300000000000001</v>
      </c>
      <c r="U118" s="7">
        <f t="shared" si="51"/>
        <v>4.5562114782559435E-2</v>
      </c>
      <c r="V118" s="67">
        <f t="shared" si="52"/>
        <v>1.6577337538825683</v>
      </c>
      <c r="W118" s="30">
        <v>180</v>
      </c>
      <c r="X118" s="3">
        <v>0.184</v>
      </c>
      <c r="Y118" s="7">
        <f t="shared" si="53"/>
        <v>5.1432080490741931E-2</v>
      </c>
      <c r="Z118" s="67">
        <f t="shared" si="54"/>
        <v>1.8713068141987272</v>
      </c>
      <c r="AA118" s="69">
        <v>240</v>
      </c>
      <c r="AB118" s="113">
        <v>0.20899999999999999</v>
      </c>
      <c r="AC118" s="7">
        <f t="shared" si="55"/>
        <v>5.8420134905244919E-2</v>
      </c>
      <c r="AD118" s="67">
        <f t="shared" si="56"/>
        <v>2.12556045743225</v>
      </c>
      <c r="AE118" s="70">
        <f t="shared" si="57"/>
        <v>1.0170145729340909E-2</v>
      </c>
      <c r="AF118" s="70">
        <f t="shared" si="58"/>
        <v>1.6577337538825683</v>
      </c>
      <c r="AG118" s="70">
        <f t="shared" si="59"/>
        <v>1.8713068141987272</v>
      </c>
      <c r="AH118" s="70">
        <f t="shared" si="60"/>
        <v>2.12556045743225</v>
      </c>
      <c r="AI118" s="71">
        <f t="shared" si="61"/>
        <v>0.78362953126324419</v>
      </c>
      <c r="AJ118" s="72">
        <f t="shared" si="62"/>
        <v>1.0932906659041479E-2</v>
      </c>
      <c r="AK118" s="73">
        <f t="shared" si="63"/>
        <v>0.65597439954248871</v>
      </c>
    </row>
    <row r="119" spans="1:37" ht="13.5" thickBot="1">
      <c r="A119" s="132">
        <f>'Exptl Setup'!A196</f>
        <v>189</v>
      </c>
      <c r="B119" s="132" t="str">
        <f>'Exptl Setup'!C196</f>
        <v>c</v>
      </c>
      <c r="C119" s="132">
        <f>'Exptl Setup'!D196</f>
        <v>40</v>
      </c>
      <c r="D119" s="132" t="str">
        <f>'Exptl Setup'!E196</f>
        <v>-</v>
      </c>
      <c r="E119" s="133">
        <f>'Exptl Setup'!K196</f>
        <v>19.995610119464533</v>
      </c>
      <c r="F119" s="134">
        <f>'Exptl Setup'!F196</f>
        <v>32.003999999999998</v>
      </c>
      <c r="G119" s="135">
        <f>'Exptl Setup'!$C$5</f>
        <v>1.2793390913194711</v>
      </c>
      <c r="H119" s="136">
        <f t="shared" si="74"/>
        <v>25.016041655533289</v>
      </c>
      <c r="I119" s="137">
        <f t="shared" si="72"/>
        <v>9.4400157190691658</v>
      </c>
      <c r="J119" s="137">
        <f t="shared" si="75"/>
        <v>6.9879583444667084</v>
      </c>
      <c r="K119" s="137">
        <f>'Exptl Setup'!H196+'Exptl Setup'!I196+'Exptl Setup'!J196+5</f>
        <v>23.003024686832859</v>
      </c>
      <c r="L119" s="137">
        <f t="shared" si="76"/>
        <v>29.990983031299567</v>
      </c>
      <c r="M119" s="138">
        <v>300</v>
      </c>
      <c r="N119" s="139">
        <f t="shared" si="77"/>
        <v>260.56900124963124</v>
      </c>
      <c r="O119" s="140">
        <v>60</v>
      </c>
      <c r="P119" s="132">
        <v>0.222</v>
      </c>
      <c r="Q119" s="136">
        <f t="shared" si="49"/>
        <v>6.2054173160641594E-2</v>
      </c>
      <c r="R119" s="141">
        <f t="shared" si="50"/>
        <v>2.2579930870182956</v>
      </c>
      <c r="S119" s="132">
        <v>120</v>
      </c>
      <c r="T119" s="132">
        <v>0.34599999999999997</v>
      </c>
      <c r="U119" s="136">
        <f t="shared" si="51"/>
        <v>9.6715062673792748E-2</v>
      </c>
      <c r="V119" s="141">
        <f t="shared" si="52"/>
        <v>3.5192144509384242</v>
      </c>
      <c r="W119" s="132">
        <v>180</v>
      </c>
      <c r="X119" s="132">
        <v>0.432</v>
      </c>
      <c r="Y119" s="136">
        <f t="shared" si="53"/>
        <v>0.12075406669097824</v>
      </c>
      <c r="Z119" s="141">
        <f t="shared" si="54"/>
        <v>4.3939324936572239</v>
      </c>
      <c r="AA119" s="143">
        <v>240</v>
      </c>
      <c r="AB119" s="142">
        <v>0.48099999999999998</v>
      </c>
      <c r="AC119" s="136">
        <f t="shared" si="55"/>
        <v>0.13445070851472346</v>
      </c>
      <c r="AD119" s="141">
        <f t="shared" si="56"/>
        <v>4.8923183552063074</v>
      </c>
      <c r="AE119" s="144">
        <f t="shared" si="57"/>
        <v>2.2579930870182956</v>
      </c>
      <c r="AF119" s="144">
        <f t="shared" si="58"/>
        <v>3.5192144509384242</v>
      </c>
      <c r="AG119" s="144">
        <f t="shared" si="59"/>
        <v>4.3939324936572239</v>
      </c>
      <c r="AH119" s="144">
        <f t="shared" si="60"/>
        <v>4.8923183552063074</v>
      </c>
      <c r="AI119" s="145">
        <f t="shared" si="61"/>
        <v>0.96360954592797277</v>
      </c>
      <c r="AJ119" s="146">
        <f t="shared" si="62"/>
        <v>1.4629489745471394E-2</v>
      </c>
      <c r="AK119" s="147">
        <f t="shared" si="63"/>
        <v>0.87776938472828359</v>
      </c>
    </row>
    <row r="120" spans="1:37">
      <c r="A120" s="3">
        <f>'Exptl Setup'!A200</f>
        <v>193</v>
      </c>
      <c r="B120" s="3" t="str">
        <f>'Exptl Setup'!C200</f>
        <v>a</v>
      </c>
      <c r="C120" s="3">
        <f>'Exptl Setup'!D200</f>
        <v>48</v>
      </c>
      <c r="D120" s="3" t="str">
        <f>'Exptl Setup'!E200</f>
        <v>+</v>
      </c>
      <c r="E120" s="111">
        <f>'Exptl Setup'!K200</f>
        <v>0</v>
      </c>
      <c r="F120" s="63">
        <f>'Exptl Setup'!F200</f>
        <v>31.995000000000001</v>
      </c>
      <c r="G120" s="64">
        <f>'Exptl Setup'!$C$5</f>
        <v>1.2793390913194711</v>
      </c>
      <c r="H120" s="7">
        <f t="shared" si="74"/>
        <v>25.009006773177969</v>
      </c>
      <c r="I120" s="8">
        <f t="shared" si="72"/>
        <v>9.4373610464822519</v>
      </c>
      <c r="J120" s="8">
        <f t="shared" si="75"/>
        <v>6.9859932268220319</v>
      </c>
      <c r="K120" s="8">
        <f>'Exptl Setup'!H200+'Exptl Setup'!I200+'Exptl Setup'!J200+5</f>
        <v>23.003024686832859</v>
      </c>
      <c r="L120" s="8">
        <f t="shared" si="76"/>
        <v>29.989017913654891</v>
      </c>
      <c r="M120" s="44">
        <v>300</v>
      </c>
      <c r="N120" s="65">
        <f t="shared" si="77"/>
        <v>260.57362103986287</v>
      </c>
      <c r="O120" s="66">
        <v>60</v>
      </c>
      <c r="P120" s="3">
        <v>28.177</v>
      </c>
      <c r="Q120" s="7">
        <f t="shared" si="49"/>
        <v>7.8762232725401455</v>
      </c>
      <c r="R120" s="67">
        <f t="shared" si="50"/>
        <v>286.67629355966574</v>
      </c>
      <c r="S120" s="30">
        <v>120</v>
      </c>
      <c r="T120" s="3">
        <v>35.734999999999999</v>
      </c>
      <c r="U120" s="7">
        <f t="shared" si="51"/>
        <v>9.9888859227107947</v>
      </c>
      <c r="V120" s="67">
        <f t="shared" si="52"/>
        <v>363.57232318396751</v>
      </c>
      <c r="W120" s="30">
        <v>180</v>
      </c>
      <c r="X120" s="3">
        <v>41.933999999999997</v>
      </c>
      <c r="Y120" s="7">
        <f t="shared" si="53"/>
        <v>11.721671814270449</v>
      </c>
      <c r="Z120" s="67">
        <f t="shared" si="54"/>
        <v>426.64171821453743</v>
      </c>
      <c r="AA120" s="69">
        <v>240</v>
      </c>
      <c r="AB120" s="113">
        <v>49.223999999999997</v>
      </c>
      <c r="AC120" s="7">
        <f t="shared" si="55"/>
        <v>13.759421314104273</v>
      </c>
      <c r="AD120" s="67">
        <f t="shared" si="56"/>
        <v>500.81108259151029</v>
      </c>
      <c r="AE120" s="70">
        <f t="shared" si="57"/>
        <v>286.67629355966574</v>
      </c>
      <c r="AF120" s="70">
        <f t="shared" si="58"/>
        <v>363.57232318396751</v>
      </c>
      <c r="AG120" s="70">
        <f t="shared" si="59"/>
        <v>426.64171821453743</v>
      </c>
      <c r="AH120" s="70">
        <f t="shared" si="60"/>
        <v>500.81108259151029</v>
      </c>
      <c r="AI120" s="71">
        <f t="shared" si="61"/>
        <v>0.99867862585713296</v>
      </c>
      <c r="AJ120" s="72">
        <f t="shared" si="62"/>
        <v>1.1757896035435058</v>
      </c>
      <c r="AK120" s="73">
        <f t="shared" si="63"/>
        <v>70.547376212610345</v>
      </c>
    </row>
    <row r="121" spans="1:37">
      <c r="A121" s="3">
        <f>'Exptl Setup'!A201</f>
        <v>194</v>
      </c>
      <c r="B121" s="3" t="str">
        <f>'Exptl Setup'!C201</f>
        <v>b</v>
      </c>
      <c r="C121" s="3">
        <f>'Exptl Setup'!D201</f>
        <v>48</v>
      </c>
      <c r="D121" s="3" t="str">
        <f>'Exptl Setup'!E201</f>
        <v>+</v>
      </c>
      <c r="E121" s="111">
        <f>'Exptl Setup'!K201</f>
        <v>0</v>
      </c>
      <c r="F121" s="63">
        <f>'Exptl Setup'!F201</f>
        <v>32.002000000000002</v>
      </c>
      <c r="G121" s="64">
        <f>'Exptl Setup'!$C$5</f>
        <v>1.2793390913194711</v>
      </c>
      <c r="H121" s="7">
        <f t="shared" si="74"/>
        <v>25.014478348343221</v>
      </c>
      <c r="I121" s="8">
        <f t="shared" ref="I121:I143" si="78">H121/H$16</f>
        <v>9.439425791827631</v>
      </c>
      <c r="J121" s="8">
        <f t="shared" si="75"/>
        <v>6.9875216516567811</v>
      </c>
      <c r="K121" s="8">
        <f>'Exptl Setup'!H201+'Exptl Setup'!I201+'Exptl Setup'!J201+5</f>
        <v>23.003024686832859</v>
      </c>
      <c r="L121" s="8">
        <f t="shared" si="76"/>
        <v>29.99054633848964</v>
      </c>
      <c r="M121" s="44">
        <v>300</v>
      </c>
      <c r="N121" s="65">
        <f t="shared" si="77"/>
        <v>260.57002786968275</v>
      </c>
      <c r="O121" s="66">
        <v>60</v>
      </c>
      <c r="P121" s="3">
        <v>27.847999999999999</v>
      </c>
      <c r="Q121" s="7">
        <f t="shared" si="49"/>
        <v>7.7841858322773767</v>
      </c>
      <c r="R121" s="67">
        <f t="shared" si="50"/>
        <v>283.264370037643</v>
      </c>
      <c r="S121" s="30">
        <v>120</v>
      </c>
      <c r="T121" s="3">
        <v>37.969000000000001</v>
      </c>
      <c r="U121" s="7">
        <f t="shared" si="51"/>
        <v>10.613248774265289</v>
      </c>
      <c r="V121" s="67">
        <f t="shared" si="52"/>
        <v>386.21318823467635</v>
      </c>
      <c r="W121" s="30">
        <v>180</v>
      </c>
      <c r="X121" s="3">
        <v>47.518999999999998</v>
      </c>
      <c r="Y121" s="7">
        <f t="shared" si="53"/>
        <v>13.282703481901347</v>
      </c>
      <c r="Z121" s="67">
        <f t="shared" si="54"/>
        <v>483.35390691678975</v>
      </c>
      <c r="AA121" s="69">
        <v>240</v>
      </c>
      <c r="AB121" s="113">
        <v>54.972999999999999</v>
      </c>
      <c r="AC121" s="7">
        <f t="shared" si="55"/>
        <v>15.366275774123251</v>
      </c>
      <c r="AD121" s="67">
        <f t="shared" si="56"/>
        <v>559.17452650385496</v>
      </c>
      <c r="AE121" s="70">
        <f t="shared" si="57"/>
        <v>283.264370037643</v>
      </c>
      <c r="AF121" s="70">
        <f t="shared" si="58"/>
        <v>386.21318823467635</v>
      </c>
      <c r="AG121" s="70">
        <f t="shared" si="59"/>
        <v>483.35390691678975</v>
      </c>
      <c r="AH121" s="70">
        <f t="shared" si="60"/>
        <v>559.17452650385496</v>
      </c>
      <c r="AI121" s="71">
        <f t="shared" si="61"/>
        <v>0.99543781467864223</v>
      </c>
      <c r="AJ121" s="72">
        <f t="shared" si="62"/>
        <v>1.5414519801345823</v>
      </c>
      <c r="AK121" s="73">
        <f t="shared" si="63"/>
        <v>92.487118808074939</v>
      </c>
    </row>
    <row r="122" spans="1:37">
      <c r="A122" s="3">
        <f>'Exptl Setup'!A202</f>
        <v>195</v>
      </c>
      <c r="B122" s="3" t="str">
        <f>'Exptl Setup'!C202</f>
        <v>c</v>
      </c>
      <c r="C122" s="3">
        <f>'Exptl Setup'!D202</f>
        <v>48</v>
      </c>
      <c r="D122" s="3" t="str">
        <f>'Exptl Setup'!E202</f>
        <v>+</v>
      </c>
      <c r="E122" s="111">
        <f>'Exptl Setup'!K202</f>
        <v>0</v>
      </c>
      <c r="F122" s="63">
        <f>'Exptl Setup'!F202</f>
        <v>32.003</v>
      </c>
      <c r="G122" s="64">
        <f>'Exptl Setup'!$C$5</f>
        <v>1.2793390913194711</v>
      </c>
      <c r="H122" s="7">
        <f t="shared" si="74"/>
        <v>25.015260001938255</v>
      </c>
      <c r="I122" s="8">
        <f t="shared" si="78"/>
        <v>9.4397207554483984</v>
      </c>
      <c r="J122" s="8">
        <f t="shared" si="75"/>
        <v>6.9877399980617447</v>
      </c>
      <c r="K122" s="8">
        <f>'Exptl Setup'!H202+'Exptl Setup'!I202+'Exptl Setup'!J202+5</f>
        <v>23.003024686832859</v>
      </c>
      <c r="L122" s="8">
        <f t="shared" si="76"/>
        <v>29.990764684894604</v>
      </c>
      <c r="M122" s="44">
        <v>300</v>
      </c>
      <c r="N122" s="65">
        <f t="shared" si="77"/>
        <v>260.56951455965702</v>
      </c>
      <c r="O122" s="66">
        <v>60</v>
      </c>
      <c r="P122" s="3">
        <v>28.004999999999999</v>
      </c>
      <c r="Q122" s="7">
        <f t="shared" si="49"/>
        <v>7.8280605979234936</v>
      </c>
      <c r="R122" s="67">
        <f t="shared" si="50"/>
        <v>284.85205955718499</v>
      </c>
      <c r="S122" s="30">
        <v>120</v>
      </c>
      <c r="T122" s="3">
        <v>37.094999999999999</v>
      </c>
      <c r="U122" s="7">
        <f t="shared" si="51"/>
        <v>10.368930829493733</v>
      </c>
      <c r="V122" s="67">
        <f t="shared" si="52"/>
        <v>377.31073555699982</v>
      </c>
      <c r="W122" s="30">
        <v>180</v>
      </c>
      <c r="X122" s="3">
        <v>45.957999999999998</v>
      </c>
      <c r="Y122" s="7">
        <f t="shared" si="53"/>
        <v>12.846349186194177</v>
      </c>
      <c r="Z122" s="67">
        <f t="shared" si="54"/>
        <v>467.46048752469596</v>
      </c>
      <c r="AA122" s="69">
        <v>240</v>
      </c>
      <c r="AB122" s="113">
        <v>55.03</v>
      </c>
      <c r="AC122" s="7">
        <f t="shared" si="55"/>
        <v>15.382187991563287</v>
      </c>
      <c r="AD122" s="67">
        <f t="shared" si="56"/>
        <v>559.73607703738242</v>
      </c>
      <c r="AE122" s="70">
        <f t="shared" si="57"/>
        <v>284.85205955718499</v>
      </c>
      <c r="AF122" s="70">
        <f t="shared" si="58"/>
        <v>377.31073555699982</v>
      </c>
      <c r="AG122" s="70">
        <f t="shared" si="59"/>
        <v>467.46048752469596</v>
      </c>
      <c r="AH122" s="70">
        <f t="shared" si="60"/>
        <v>559.73607703738242</v>
      </c>
      <c r="AI122" s="71">
        <f t="shared" si="61"/>
        <v>0.99997629927590537</v>
      </c>
      <c r="AJ122" s="72">
        <f t="shared" si="62"/>
        <v>1.5246696740138141</v>
      </c>
      <c r="AK122" s="73">
        <f t="shared" si="63"/>
        <v>91.480180440828846</v>
      </c>
    </row>
    <row r="123" spans="1:37">
      <c r="A123" s="3">
        <f>'Exptl Setup'!A206</f>
        <v>199</v>
      </c>
      <c r="B123" s="3" t="str">
        <f>'Exptl Setup'!C206</f>
        <v>a</v>
      </c>
      <c r="C123" s="3">
        <f>'Exptl Setup'!D206</f>
        <v>48</v>
      </c>
      <c r="D123" s="3" t="str">
        <f>'Exptl Setup'!E206</f>
        <v>+</v>
      </c>
      <c r="E123" s="111">
        <f>'Exptl Setup'!K206</f>
        <v>5.9990579300982079</v>
      </c>
      <c r="F123" s="63">
        <f>'Exptl Setup'!F206</f>
        <v>32.002000000000002</v>
      </c>
      <c r="G123" s="64">
        <f>'Exptl Setup'!$C$5</f>
        <v>1.2793390913194711</v>
      </c>
      <c r="H123" s="7">
        <f t="shared" si="74"/>
        <v>25.014478348343221</v>
      </c>
      <c r="I123" s="8">
        <f t="shared" si="78"/>
        <v>9.439425791827631</v>
      </c>
      <c r="J123" s="8">
        <f t="shared" si="75"/>
        <v>6.9875216516567811</v>
      </c>
      <c r="K123" s="8">
        <f>'Exptl Setup'!H206+'Exptl Setup'!I206+'Exptl Setup'!J206+5</f>
        <v>23.003024686832859</v>
      </c>
      <c r="L123" s="8">
        <f t="shared" si="76"/>
        <v>29.99054633848964</v>
      </c>
      <c r="M123" s="44">
        <v>300</v>
      </c>
      <c r="N123" s="65">
        <f t="shared" si="77"/>
        <v>260.57002786968275</v>
      </c>
      <c r="O123" s="66">
        <v>60</v>
      </c>
      <c r="P123" s="3">
        <v>59.485999999999997</v>
      </c>
      <c r="Q123" s="7">
        <f t="shared" si="49"/>
        <v>16.627767826014512</v>
      </c>
      <c r="R123" s="67">
        <f t="shared" si="50"/>
        <v>605.07987345803076</v>
      </c>
      <c r="S123" s="30">
        <v>120</v>
      </c>
      <c r="T123" s="3">
        <v>128.626</v>
      </c>
      <c r="U123" s="7">
        <f t="shared" si="51"/>
        <v>35.954060861193263</v>
      </c>
      <c r="V123" s="67">
        <f t="shared" si="52"/>
        <v>1308.3583331105242</v>
      </c>
      <c r="W123" s="30">
        <v>180</v>
      </c>
      <c r="X123" s="3">
        <v>191.48099999999999</v>
      </c>
      <c r="Y123" s="7">
        <f t="shared" si="53"/>
        <v>53.523545222289016</v>
      </c>
      <c r="Z123" s="67">
        <f t="shared" si="54"/>
        <v>1947.7070108868834</v>
      </c>
      <c r="AA123" s="69">
        <v>240</v>
      </c>
      <c r="AB123" s="113">
        <v>254.917</v>
      </c>
      <c r="AC123" s="7">
        <f t="shared" si="55"/>
        <v>71.255433058268181</v>
      </c>
      <c r="AD123" s="67">
        <f t="shared" si="56"/>
        <v>2592.9655062081965</v>
      </c>
      <c r="AE123" s="70">
        <f t="shared" si="57"/>
        <v>605.07987345803076</v>
      </c>
      <c r="AF123" s="70">
        <f t="shared" si="58"/>
        <v>1308.3583331105242</v>
      </c>
      <c r="AG123" s="70">
        <f t="shared" si="59"/>
        <v>1947.7070108868834</v>
      </c>
      <c r="AH123" s="70">
        <f t="shared" si="60"/>
        <v>2592.9655062081965</v>
      </c>
      <c r="AI123" s="71">
        <f t="shared" si="61"/>
        <v>0.99950232787028526</v>
      </c>
      <c r="AJ123" s="72">
        <f t="shared" si="62"/>
        <v>11.005009293378095</v>
      </c>
      <c r="AK123" s="73">
        <f t="shared" si="63"/>
        <v>660.30055760268567</v>
      </c>
    </row>
    <row r="124" spans="1:37">
      <c r="A124" s="3">
        <f>'Exptl Setup'!A207</f>
        <v>200</v>
      </c>
      <c r="B124" s="3" t="str">
        <f>'Exptl Setup'!C207</f>
        <v>b</v>
      </c>
      <c r="C124" s="3">
        <f>'Exptl Setup'!D207</f>
        <v>48</v>
      </c>
      <c r="D124" s="3" t="str">
        <f>'Exptl Setup'!E207</f>
        <v>+</v>
      </c>
      <c r="E124" s="111">
        <f>'Exptl Setup'!K207</f>
        <v>6.0001828940805995</v>
      </c>
      <c r="F124" s="63">
        <f>'Exptl Setup'!F207</f>
        <v>31.995999999999999</v>
      </c>
      <c r="G124" s="64">
        <f>'Exptl Setup'!$C$5</f>
        <v>1.2793390913194711</v>
      </c>
      <c r="H124" s="7">
        <f t="shared" si="74"/>
        <v>25.009788426773003</v>
      </c>
      <c r="I124" s="8">
        <f t="shared" si="78"/>
        <v>9.4376560101030211</v>
      </c>
      <c r="J124" s="8">
        <f t="shared" si="75"/>
        <v>6.9862115732269956</v>
      </c>
      <c r="K124" s="8">
        <f>'Exptl Setup'!H207+'Exptl Setup'!I207+'Exptl Setup'!J207+5</f>
        <v>23.003024686832859</v>
      </c>
      <c r="L124" s="8">
        <f t="shared" si="76"/>
        <v>29.989236260059855</v>
      </c>
      <c r="M124" s="44">
        <v>300</v>
      </c>
      <c r="N124" s="65">
        <f t="shared" si="77"/>
        <v>260.57310772983715</v>
      </c>
      <c r="O124" s="66">
        <v>60</v>
      </c>
      <c r="P124" s="3">
        <v>58.86</v>
      </c>
      <c r="Q124" s="7">
        <f t="shared" si="49"/>
        <v>16.452918315019037</v>
      </c>
      <c r="R124" s="67">
        <f t="shared" si="50"/>
        <v>598.82942159985851</v>
      </c>
      <c r="S124" s="30">
        <v>120</v>
      </c>
      <c r="T124" s="3">
        <v>128.58000000000001</v>
      </c>
      <c r="U124" s="7">
        <f t="shared" si="51"/>
        <v>35.941492302839755</v>
      </c>
      <c r="V124" s="67">
        <f t="shared" si="52"/>
        <v>1308.1462288363882</v>
      </c>
      <c r="W124" s="30">
        <v>180</v>
      </c>
      <c r="X124" s="3">
        <v>194.892</v>
      </c>
      <c r="Y124" s="7">
        <f t="shared" si="53"/>
        <v>54.477440643063034</v>
      </c>
      <c r="Z124" s="67">
        <f t="shared" si="54"/>
        <v>1982.7907515195318</v>
      </c>
      <c r="AA124" s="69">
        <v>240</v>
      </c>
      <c r="AB124" s="113">
        <v>255.739</v>
      </c>
      <c r="AC124" s="7">
        <f t="shared" si="55"/>
        <v>71.485777726208866</v>
      </c>
      <c r="AD124" s="67">
        <f t="shared" si="56"/>
        <v>2601.8354986497829</v>
      </c>
      <c r="AE124" s="70">
        <f t="shared" si="57"/>
        <v>598.82942159985851</v>
      </c>
      <c r="AF124" s="70">
        <f t="shared" si="58"/>
        <v>1308.1462288363882</v>
      </c>
      <c r="AG124" s="70">
        <f t="shared" si="59"/>
        <v>1982.7907515195318</v>
      </c>
      <c r="AH124" s="70">
        <f t="shared" si="60"/>
        <v>2601.8354986497829</v>
      </c>
      <c r="AI124" s="71">
        <f t="shared" si="61"/>
        <v>0.9990789341791686</v>
      </c>
      <c r="AJ124" s="72">
        <f t="shared" si="62"/>
        <v>11.13943792305486</v>
      </c>
      <c r="AK124" s="73">
        <f t="shared" si="63"/>
        <v>668.36627538329162</v>
      </c>
    </row>
    <row r="125" spans="1:37">
      <c r="A125" s="3">
        <f>'Exptl Setup'!A208</f>
        <v>201</v>
      </c>
      <c r="B125" s="3" t="str">
        <f>'Exptl Setup'!C208</f>
        <v>c</v>
      </c>
      <c r="C125" s="3">
        <f>'Exptl Setup'!D208</f>
        <v>48</v>
      </c>
      <c r="D125" s="3" t="str">
        <f>'Exptl Setup'!E208</f>
        <v>+</v>
      </c>
      <c r="E125" s="111">
        <f>'Exptl Setup'!K208</f>
        <v>5.9996203593550685</v>
      </c>
      <c r="F125" s="63">
        <f>'Exptl Setup'!F208</f>
        <v>31.998999999999999</v>
      </c>
      <c r="G125" s="64">
        <f>'Exptl Setup'!$C$5</f>
        <v>1.2793390913194711</v>
      </c>
      <c r="H125" s="7">
        <f t="shared" si="74"/>
        <v>25.012133387558112</v>
      </c>
      <c r="I125" s="8">
        <f t="shared" si="78"/>
        <v>9.4385409009653252</v>
      </c>
      <c r="J125" s="8">
        <f t="shared" si="75"/>
        <v>6.9868666124418866</v>
      </c>
      <c r="K125" s="8">
        <f>'Exptl Setup'!H208+'Exptl Setup'!I208+'Exptl Setup'!J208+5</f>
        <v>23.003024686832859</v>
      </c>
      <c r="L125" s="8">
        <f t="shared" si="76"/>
        <v>29.989891299274746</v>
      </c>
      <c r="M125" s="44">
        <v>300</v>
      </c>
      <c r="N125" s="65">
        <f t="shared" si="77"/>
        <v>260.57156779975992</v>
      </c>
      <c r="O125" s="66">
        <v>60</v>
      </c>
      <c r="P125" s="3">
        <v>75.766999999999996</v>
      </c>
      <c r="Q125" s="7">
        <f t="shared" si="49"/>
        <v>21.178784244938004</v>
      </c>
      <c r="R125" s="67">
        <f t="shared" si="50"/>
        <v>770.76235699985148</v>
      </c>
      <c r="S125" s="30">
        <v>120</v>
      </c>
      <c r="T125" s="3">
        <v>127.119</v>
      </c>
      <c r="U125" s="7">
        <f t="shared" si="51"/>
        <v>35.532961242127499</v>
      </c>
      <c r="V125" s="67">
        <f t="shared" si="52"/>
        <v>1293.1558601959182</v>
      </c>
      <c r="W125" s="30">
        <v>180</v>
      </c>
      <c r="X125" s="3">
        <v>151.00299999999999</v>
      </c>
      <c r="Y125" s="7">
        <f t="shared" si="53"/>
        <v>42.209140619773436</v>
      </c>
      <c r="Z125" s="67">
        <f t="shared" si="54"/>
        <v>1536.1229584654084</v>
      </c>
      <c r="AA125" s="69">
        <v>240</v>
      </c>
      <c r="AB125" s="113">
        <v>185.529</v>
      </c>
      <c r="AC125" s="7">
        <f t="shared" si="55"/>
        <v>51.860026953411158</v>
      </c>
      <c r="AD125" s="67">
        <f t="shared" si="56"/>
        <v>1887.3489689683568</v>
      </c>
      <c r="AE125" s="70">
        <f t="shared" si="57"/>
        <v>770.76235699985148</v>
      </c>
      <c r="AF125" s="70">
        <f t="shared" si="58"/>
        <v>1293.1558601959182</v>
      </c>
      <c r="AG125" s="70">
        <f t="shared" si="59"/>
        <v>1536.1229584654084</v>
      </c>
      <c r="AH125" s="70">
        <f t="shared" si="60"/>
        <v>1887.3489689683568</v>
      </c>
      <c r="AI125" s="71">
        <f t="shared" si="61"/>
        <v>0.97752342413010107</v>
      </c>
      <c r="AJ125" s="72">
        <f t="shared" si="62"/>
        <v>5.9878782236250103</v>
      </c>
      <c r="AK125" s="73">
        <f t="shared" si="63"/>
        <v>359.27269341750059</v>
      </c>
    </row>
    <row r="126" spans="1:37">
      <c r="A126" s="3">
        <f>'Exptl Setup'!A212</f>
        <v>205</v>
      </c>
      <c r="B126" s="3" t="str">
        <f>'Exptl Setup'!C212</f>
        <v>a</v>
      </c>
      <c r="C126" s="3">
        <f>'Exptl Setup'!D212</f>
        <v>48</v>
      </c>
      <c r="D126" s="3" t="str">
        <f>'Exptl Setup'!E212</f>
        <v>+</v>
      </c>
      <c r="E126" s="111">
        <f>'Exptl Setup'!K212</f>
        <v>16.000487717548268</v>
      </c>
      <c r="F126" s="63">
        <f>'Exptl Setup'!F212</f>
        <v>31.995999999999999</v>
      </c>
      <c r="G126" s="64">
        <f>'Exptl Setup'!$C$5</f>
        <v>1.2793390913194711</v>
      </c>
      <c r="H126" s="7">
        <f t="shared" si="74"/>
        <v>25.009788426773003</v>
      </c>
      <c r="I126" s="8">
        <f t="shared" si="78"/>
        <v>9.4376560101030211</v>
      </c>
      <c r="J126" s="8">
        <f t="shared" si="75"/>
        <v>6.9862115732269956</v>
      </c>
      <c r="K126" s="8">
        <f>'Exptl Setup'!H212+'Exptl Setup'!I212+'Exptl Setup'!J212+5</f>
        <v>23.003024686832862</v>
      </c>
      <c r="L126" s="8">
        <f t="shared" si="76"/>
        <v>29.989236260059858</v>
      </c>
      <c r="M126" s="44">
        <v>300</v>
      </c>
      <c r="N126" s="65">
        <f t="shared" si="77"/>
        <v>260.57310772983715</v>
      </c>
      <c r="O126" s="66">
        <v>60</v>
      </c>
      <c r="P126" s="3">
        <v>13.365</v>
      </c>
      <c r="Q126" s="7">
        <f t="shared" si="49"/>
        <v>3.7358690669423957</v>
      </c>
      <c r="R126" s="67">
        <f t="shared" si="50"/>
        <v>135.97273563849998</v>
      </c>
      <c r="S126" s="30">
        <v>120</v>
      </c>
      <c r="T126" s="3">
        <v>125.247</v>
      </c>
      <c r="U126" s="7">
        <f t="shared" si="51"/>
        <v>35.00983112812078</v>
      </c>
      <c r="V126" s="67">
        <f t="shared" si="52"/>
        <v>1274.2369787141943</v>
      </c>
      <c r="W126" s="30">
        <v>180</v>
      </c>
      <c r="X126" s="3">
        <v>87.841999999999999</v>
      </c>
      <c r="Y126" s="7">
        <f t="shared" si="53"/>
        <v>24.554149687867859</v>
      </c>
      <c r="Z126" s="67">
        <f t="shared" si="54"/>
        <v>893.68627339746479</v>
      </c>
      <c r="AA126" s="69">
        <v>240</v>
      </c>
      <c r="AB126" s="113">
        <v>172.685</v>
      </c>
      <c r="AC126" s="7">
        <f t="shared" si="55"/>
        <v>48.269999986902178</v>
      </c>
      <c r="AD126" s="67">
        <f t="shared" si="56"/>
        <v>1756.8613433396458</v>
      </c>
      <c r="AE126" s="70">
        <f t="shared" si="57"/>
        <v>135.97273563849998</v>
      </c>
      <c r="AF126" s="70"/>
      <c r="AG126" s="70">
        <f t="shared" si="59"/>
        <v>893.68627339746479</v>
      </c>
      <c r="AH126" s="70">
        <f t="shared" si="60"/>
        <v>1756.8613433396458</v>
      </c>
      <c r="AI126" s="71">
        <f t="shared" si="61"/>
        <v>0.94905460110672701</v>
      </c>
      <c r="AJ126" s="72">
        <f t="shared" si="62"/>
        <v>8.6205571054327965</v>
      </c>
      <c r="AK126" s="73">
        <f t="shared" si="63"/>
        <v>517.2334263259678</v>
      </c>
    </row>
    <row r="127" spans="1:37">
      <c r="A127" s="3">
        <f>'Exptl Setup'!A213</f>
        <v>206</v>
      </c>
      <c r="B127" s="3" t="str">
        <f>'Exptl Setup'!C213</f>
        <v>b</v>
      </c>
      <c r="C127" s="3">
        <f>'Exptl Setup'!D213</f>
        <v>48</v>
      </c>
      <c r="D127" s="3" t="str">
        <f>'Exptl Setup'!E213</f>
        <v>+</v>
      </c>
      <c r="E127" s="111">
        <f>'Exptl Setup'!K213</f>
        <v>15.998487656583571</v>
      </c>
      <c r="F127" s="63">
        <f>'Exptl Setup'!F213</f>
        <v>32</v>
      </c>
      <c r="G127" s="64">
        <f>'Exptl Setup'!$C$5</f>
        <v>1.2793390913194711</v>
      </c>
      <c r="H127" s="7">
        <f t="shared" si="74"/>
        <v>25.01291504115315</v>
      </c>
      <c r="I127" s="8">
        <f t="shared" si="78"/>
        <v>9.4388358645860944</v>
      </c>
      <c r="J127" s="8">
        <f t="shared" si="75"/>
        <v>6.9870849588468502</v>
      </c>
      <c r="K127" s="8">
        <f>'Exptl Setup'!H213+'Exptl Setup'!I213+'Exptl Setup'!J213+5</f>
        <v>23.003024686832862</v>
      </c>
      <c r="L127" s="8">
        <f t="shared" si="76"/>
        <v>29.990109645679713</v>
      </c>
      <c r="M127" s="44">
        <v>300</v>
      </c>
      <c r="N127" s="65">
        <f t="shared" si="77"/>
        <v>260.57105448973419</v>
      </c>
      <c r="O127" s="66">
        <v>60</v>
      </c>
      <c r="P127" s="3">
        <v>16.771000000000001</v>
      </c>
      <c r="Q127" s="7">
        <f t="shared" si="49"/>
        <v>4.6879104842917156</v>
      </c>
      <c r="R127" s="67">
        <f t="shared" si="50"/>
        <v>170.60242825842994</v>
      </c>
      <c r="S127" s="30">
        <v>120</v>
      </c>
      <c r="T127" s="3">
        <v>42.942999999999998</v>
      </c>
      <c r="U127" s="7">
        <f t="shared" si="51"/>
        <v>12.003633648973771</v>
      </c>
      <c r="V127" s="67">
        <f t="shared" si="52"/>
        <v>436.83620992795636</v>
      </c>
      <c r="W127" s="30">
        <v>180</v>
      </c>
      <c r="X127" s="3">
        <v>119.983</v>
      </c>
      <c r="Y127" s="7">
        <f t="shared" si="53"/>
        <v>33.5382245326321</v>
      </c>
      <c r="Z127" s="67">
        <f t="shared" si="54"/>
        <v>1220.5229950349533</v>
      </c>
      <c r="AA127" s="69">
        <v>240</v>
      </c>
      <c r="AB127" s="113">
        <v>225.477</v>
      </c>
      <c r="AC127" s="7">
        <f t="shared" si="55"/>
        <v>63.026414183211685</v>
      </c>
      <c r="AD127" s="67">
        <f t="shared" si="56"/>
        <v>2293.6571293557931</v>
      </c>
      <c r="AE127" s="70">
        <f t="shared" si="57"/>
        <v>170.60242825842994</v>
      </c>
      <c r="AF127" s="70">
        <f t="shared" si="58"/>
        <v>436.83620992795636</v>
      </c>
      <c r="AG127" s="70">
        <f t="shared" si="59"/>
        <v>1220.5229950349533</v>
      </c>
      <c r="AH127" s="70">
        <f t="shared" si="60"/>
        <v>2293.6571293557931</v>
      </c>
      <c r="AI127" s="71">
        <f t="shared" si="61"/>
        <v>0.93928061741101898</v>
      </c>
      <c r="AJ127" s="72">
        <f t="shared" si="62"/>
        <v>11.921418147331812</v>
      </c>
      <c r="AK127" s="73">
        <f t="shared" si="63"/>
        <v>715.28508883990867</v>
      </c>
    </row>
    <row r="128" spans="1:37">
      <c r="A128" s="3">
        <f>'Exptl Setup'!A214</f>
        <v>207</v>
      </c>
      <c r="B128" s="3" t="str">
        <f>'Exptl Setup'!C214</f>
        <v>c</v>
      </c>
      <c r="C128" s="3">
        <f>'Exptl Setup'!D214</f>
        <v>48</v>
      </c>
      <c r="D128" s="3" t="str">
        <f>'Exptl Setup'!E214</f>
        <v>+</v>
      </c>
      <c r="E128" s="111">
        <f>'Exptl Setup'!K214</f>
        <v>15.996987938964294</v>
      </c>
      <c r="F128" s="63">
        <f>'Exptl Setup'!F214</f>
        <v>32.003</v>
      </c>
      <c r="G128" s="64">
        <f>'Exptl Setup'!$C$5</f>
        <v>1.2793390913194711</v>
      </c>
      <c r="H128" s="7">
        <f t="shared" si="74"/>
        <v>25.015260001938255</v>
      </c>
      <c r="I128" s="8">
        <f t="shared" si="78"/>
        <v>9.4397207554483984</v>
      </c>
      <c r="J128" s="8">
        <f t="shared" si="75"/>
        <v>6.9877399980617447</v>
      </c>
      <c r="K128" s="8">
        <f>'Exptl Setup'!H214+'Exptl Setup'!I214+'Exptl Setup'!J214+5</f>
        <v>23.003024686832862</v>
      </c>
      <c r="L128" s="8">
        <f t="shared" si="76"/>
        <v>29.990764684894607</v>
      </c>
      <c r="M128" s="44">
        <v>300</v>
      </c>
      <c r="N128" s="65">
        <f t="shared" si="77"/>
        <v>260.56951455965702</v>
      </c>
      <c r="O128" s="66">
        <v>60</v>
      </c>
      <c r="P128" s="3">
        <v>18.312000000000001</v>
      </c>
      <c r="Q128" s="7">
        <f t="shared" si="49"/>
        <v>5.1186375886154263</v>
      </c>
      <c r="R128" s="67">
        <f t="shared" si="50"/>
        <v>186.25998623857072</v>
      </c>
      <c r="S128" s="30">
        <v>120</v>
      </c>
      <c r="T128" s="3">
        <v>55.005000000000003</v>
      </c>
      <c r="U128" s="7">
        <f t="shared" si="51"/>
        <v>15.375199899617275</v>
      </c>
      <c r="V128" s="67">
        <f t="shared" si="52"/>
        <v>559.4817902497042</v>
      </c>
      <c r="W128" s="30">
        <v>180</v>
      </c>
      <c r="X128" s="3">
        <v>130.24600000000001</v>
      </c>
      <c r="Y128" s="7">
        <f t="shared" si="53"/>
        <v>36.406840944015123</v>
      </c>
      <c r="Z128" s="67">
        <f t="shared" si="54"/>
        <v>1324.7934779176978</v>
      </c>
      <c r="AA128" s="69">
        <v>240</v>
      </c>
      <c r="AB128" s="113">
        <v>242.36600000000001</v>
      </c>
      <c r="AC128" s="7">
        <f t="shared" si="55"/>
        <v>67.747035703493154</v>
      </c>
      <c r="AD128" s="67">
        <f t="shared" si="56"/>
        <v>2465.2188632971511</v>
      </c>
      <c r="AE128" s="70">
        <f t="shared" si="57"/>
        <v>186.25998623857072</v>
      </c>
      <c r="AF128" s="70">
        <f t="shared" si="58"/>
        <v>559.4817902497042</v>
      </c>
      <c r="AG128" s="70">
        <f t="shared" si="59"/>
        <v>1324.7934779176978</v>
      </c>
      <c r="AH128" s="70">
        <f t="shared" si="60"/>
        <v>2465.2188632971511</v>
      </c>
      <c r="AI128" s="71">
        <f t="shared" si="61"/>
        <v>0.95153998242030813</v>
      </c>
      <c r="AJ128" s="72">
        <f t="shared" si="62"/>
        <v>12.670313864739557</v>
      </c>
      <c r="AK128" s="73">
        <f t="shared" si="63"/>
        <v>760.21883188437334</v>
      </c>
    </row>
    <row r="129" spans="1:37">
      <c r="A129" s="3">
        <f>'Exptl Setup'!A218</f>
        <v>211</v>
      </c>
      <c r="B129" s="3" t="str">
        <f>'Exptl Setup'!C218</f>
        <v>a</v>
      </c>
      <c r="C129" s="3">
        <f>'Exptl Setup'!D218</f>
        <v>48</v>
      </c>
      <c r="D129" s="3" t="str">
        <f>'Exptl Setup'!E218</f>
        <v>+</v>
      </c>
      <c r="E129" s="111">
        <f>'Exptl Setup'!K218</f>
        <v>19.993111292906235</v>
      </c>
      <c r="F129" s="63">
        <f>'Exptl Setup'!F218</f>
        <v>32.008000000000003</v>
      </c>
      <c r="G129" s="64">
        <f>'Exptl Setup'!$C$5</f>
        <v>1.2793390913194711</v>
      </c>
      <c r="H129" s="7">
        <f t="shared" si="74"/>
        <v>25.01916826991344</v>
      </c>
      <c r="I129" s="8">
        <f t="shared" si="78"/>
        <v>9.4411955735522408</v>
      </c>
      <c r="J129" s="8">
        <f t="shared" si="75"/>
        <v>6.988831730086563</v>
      </c>
      <c r="K129" s="8">
        <f>'Exptl Setup'!H218+'Exptl Setup'!I218+'Exptl Setup'!J218+5</f>
        <v>23.003024686832859</v>
      </c>
      <c r="L129" s="8">
        <f t="shared" si="76"/>
        <v>29.991856416919422</v>
      </c>
      <c r="M129" s="44">
        <v>300</v>
      </c>
      <c r="N129" s="65">
        <f t="shared" si="77"/>
        <v>260.56694800952835</v>
      </c>
      <c r="O129" s="66">
        <v>60</v>
      </c>
      <c r="P129" s="3">
        <v>5.7539999999999996</v>
      </c>
      <c r="Q129" s="7">
        <f t="shared" si="49"/>
        <v>1.608368444478933</v>
      </c>
      <c r="R129" s="67">
        <f t="shared" si="50"/>
        <v>58.517111693192291</v>
      </c>
      <c r="S129" s="30">
        <v>120</v>
      </c>
      <c r="T129" s="3">
        <v>56.64</v>
      </c>
      <c r="U129" s="7">
        <f t="shared" si="51"/>
        <v>15.832114823650812</v>
      </c>
      <c r="V129" s="67">
        <f t="shared" si="52"/>
        <v>576.01828402892102</v>
      </c>
      <c r="W129" s="30">
        <v>180</v>
      </c>
      <c r="X129" s="3">
        <v>32.131999999999998</v>
      </c>
      <c r="Y129" s="7">
        <f t="shared" si="53"/>
        <v>8.9815945182476664</v>
      </c>
      <c r="Z129" s="67">
        <f t="shared" si="54"/>
        <v>326.77647426584196</v>
      </c>
      <c r="AA129" s="69">
        <v>240</v>
      </c>
      <c r="AB129" s="113">
        <v>52.95</v>
      </c>
      <c r="AC129" s="7">
        <f t="shared" si="55"/>
        <v>14.800679376982885</v>
      </c>
      <c r="AD129" s="67">
        <f t="shared" si="56"/>
        <v>538.49166912661315</v>
      </c>
      <c r="AE129" s="70">
        <f t="shared" si="57"/>
        <v>58.517111693192291</v>
      </c>
      <c r="AF129" s="70"/>
      <c r="AG129" s="70">
        <f t="shared" si="59"/>
        <v>326.77647426584196</v>
      </c>
      <c r="AH129" s="70">
        <f t="shared" si="60"/>
        <v>538.49166912661315</v>
      </c>
      <c r="AI129" s="71">
        <f t="shared" si="61"/>
        <v>0.98513782653670134</v>
      </c>
      <c r="AJ129" s="72">
        <f t="shared" si="62"/>
        <v>2.6049495146503965</v>
      </c>
      <c r="AK129" s="73">
        <f t="shared" si="63"/>
        <v>156.29697087902377</v>
      </c>
    </row>
    <row r="130" spans="1:37">
      <c r="A130" s="3">
        <f>'Exptl Setup'!A219</f>
        <v>212</v>
      </c>
      <c r="B130" s="3" t="str">
        <f>'Exptl Setup'!C219</f>
        <v>b</v>
      </c>
      <c r="C130" s="3">
        <f>'Exptl Setup'!D219</f>
        <v>48</v>
      </c>
      <c r="D130" s="3" t="str">
        <f>'Exptl Setup'!E219</f>
        <v>+</v>
      </c>
      <c r="E130" s="111">
        <f>'Exptl Setup'!K219</f>
        <v>19.999984569282837</v>
      </c>
      <c r="F130" s="63">
        <f>'Exptl Setup'!F219</f>
        <v>31.997</v>
      </c>
      <c r="G130" s="64">
        <f>'Exptl Setup'!$C$5</f>
        <v>1.2793390913194711</v>
      </c>
      <c r="H130" s="7">
        <f t="shared" si="74"/>
        <v>25.010570080368041</v>
      </c>
      <c r="I130" s="8">
        <f t="shared" si="78"/>
        <v>9.4379509737237886</v>
      </c>
      <c r="J130" s="8">
        <f t="shared" si="75"/>
        <v>6.9864299196319593</v>
      </c>
      <c r="K130" s="8">
        <f>'Exptl Setup'!H219+'Exptl Setup'!I219+'Exptl Setup'!J219+5</f>
        <v>23.003024686832859</v>
      </c>
      <c r="L130" s="8">
        <f t="shared" si="76"/>
        <v>29.989454606464818</v>
      </c>
      <c r="M130" s="44">
        <v>300</v>
      </c>
      <c r="N130" s="65">
        <f t="shared" si="77"/>
        <v>260.57259441981137</v>
      </c>
      <c r="O130" s="66">
        <v>60</v>
      </c>
      <c r="P130" s="3">
        <v>1.325</v>
      </c>
      <c r="Q130" s="7">
        <f t="shared" si="49"/>
        <v>0.37037185689370367</v>
      </c>
      <c r="R130" s="67">
        <f t="shared" si="50"/>
        <v>13.479835553813675</v>
      </c>
      <c r="S130" s="30">
        <v>120</v>
      </c>
      <c r="T130" s="3">
        <v>3.802</v>
      </c>
      <c r="U130" s="7">
        <f t="shared" si="51"/>
        <v>1.0627575848376312</v>
      </c>
      <c r="V130" s="67">
        <f t="shared" si="52"/>
        <v>38.679497943848752</v>
      </c>
      <c r="W130" s="30">
        <v>180</v>
      </c>
      <c r="X130" s="3">
        <v>6.8129999999999997</v>
      </c>
      <c r="Y130" s="7">
        <f t="shared" si="53"/>
        <v>1.9044101592579645</v>
      </c>
      <c r="Z130" s="67">
        <f t="shared" si="54"/>
        <v>69.311788398590622</v>
      </c>
      <c r="AA130" s="69">
        <v>240</v>
      </c>
      <c r="AB130" s="113">
        <v>12.815</v>
      </c>
      <c r="AC130" s="7">
        <f t="shared" si="55"/>
        <v>3.5821247895040091</v>
      </c>
      <c r="AD130" s="67">
        <f t="shared" si="56"/>
        <v>130.37290009216775</v>
      </c>
      <c r="AE130" s="70">
        <f t="shared" si="57"/>
        <v>13.479835553813675</v>
      </c>
      <c r="AF130" s="70">
        <f t="shared" si="58"/>
        <v>38.679497943848752</v>
      </c>
      <c r="AG130" s="70">
        <f t="shared" si="59"/>
        <v>69.311788398590622</v>
      </c>
      <c r="AH130" s="70">
        <f t="shared" si="60"/>
        <v>130.37290009216775</v>
      </c>
      <c r="AI130" s="71">
        <f t="shared" si="61"/>
        <v>0.95372340715324522</v>
      </c>
      <c r="AJ130" s="72">
        <f t="shared" si="62"/>
        <v>0.63551914011634014</v>
      </c>
      <c r="AK130" s="73">
        <f t="shared" si="63"/>
        <v>38.131148406980408</v>
      </c>
    </row>
    <row r="131" spans="1:37">
      <c r="A131" s="3">
        <f>'Exptl Setup'!A220</f>
        <v>213</v>
      </c>
      <c r="B131" s="3" t="str">
        <f>'Exptl Setup'!C220</f>
        <v>c</v>
      </c>
      <c r="C131" s="3">
        <f>'Exptl Setup'!D220</f>
        <v>48</v>
      </c>
      <c r="D131" s="3" t="str">
        <f>'Exptl Setup'!E220</f>
        <v>+</v>
      </c>
      <c r="E131" s="111">
        <f>'Exptl Setup'!K220</f>
        <v>19.993735940992373</v>
      </c>
      <c r="F131" s="63">
        <f>'Exptl Setup'!F220</f>
        <v>32.006999999999998</v>
      </c>
      <c r="G131" s="64">
        <f>'Exptl Setup'!$C$5</f>
        <v>1.2793390913194711</v>
      </c>
      <c r="H131" s="7">
        <f t="shared" si="74"/>
        <v>25.018386616318399</v>
      </c>
      <c r="I131" s="8">
        <f t="shared" si="78"/>
        <v>9.4409006099314716</v>
      </c>
      <c r="J131" s="8">
        <f t="shared" si="75"/>
        <v>6.9886133836815993</v>
      </c>
      <c r="K131" s="8">
        <f>'Exptl Setup'!H220+'Exptl Setup'!I220+'Exptl Setup'!J220+5</f>
        <v>23.003024686832859</v>
      </c>
      <c r="L131" s="8">
        <f t="shared" si="76"/>
        <v>29.991638070514458</v>
      </c>
      <c r="M131" s="44">
        <v>300</v>
      </c>
      <c r="N131" s="65">
        <f t="shared" si="77"/>
        <v>260.56746131955407</v>
      </c>
      <c r="O131" s="66">
        <v>60</v>
      </c>
      <c r="P131" s="3">
        <v>16.571000000000002</v>
      </c>
      <c r="Q131" s="7">
        <f t="shared" si="49"/>
        <v>4.6319619881091558</v>
      </c>
      <c r="R131" s="67">
        <f t="shared" si="50"/>
        <v>168.52948488090823</v>
      </c>
      <c r="S131" s="30">
        <v>120</v>
      </c>
      <c r="T131" s="3">
        <v>42.465000000000003</v>
      </c>
      <c r="U131" s="7">
        <f t="shared" si="51"/>
        <v>11.869909228474764</v>
      </c>
      <c r="V131" s="67">
        <f t="shared" si="52"/>
        <v>431.87523839646167</v>
      </c>
      <c r="W131" s="30">
        <v>180</v>
      </c>
      <c r="X131" s="3">
        <v>71.349999999999994</v>
      </c>
      <c r="Y131" s="7">
        <f t="shared" si="53"/>
        <v>19.943907298991505</v>
      </c>
      <c r="Z131" s="67">
        <f t="shared" si="54"/>
        <v>725.63989778847383</v>
      </c>
      <c r="AA131" s="69">
        <v>240</v>
      </c>
      <c r="AB131" s="113">
        <v>116.92400000000001</v>
      </c>
      <c r="AC131" s="7">
        <f t="shared" si="55"/>
        <v>32.682850974453864</v>
      </c>
      <c r="AD131" s="67">
        <f t="shared" si="56"/>
        <v>1189.1341192574564</v>
      </c>
      <c r="AE131" s="70">
        <f t="shared" si="57"/>
        <v>168.52948488090823</v>
      </c>
      <c r="AF131" s="70">
        <f t="shared" si="58"/>
        <v>431.87523839646167</v>
      </c>
      <c r="AG131" s="70">
        <f t="shared" si="59"/>
        <v>725.63989778847383</v>
      </c>
      <c r="AH131" s="70">
        <f t="shared" si="60"/>
        <v>1189.1341192574564</v>
      </c>
      <c r="AI131" s="71">
        <f t="shared" si="61"/>
        <v>0.98086133005536158</v>
      </c>
      <c r="AJ131" s="72">
        <f t="shared" si="62"/>
        <v>5.5926309375360939</v>
      </c>
      <c r="AK131" s="73"/>
    </row>
    <row r="132" spans="1:37">
      <c r="A132" s="3">
        <f>'Exptl Setup'!A224</f>
        <v>217</v>
      </c>
      <c r="B132" s="3" t="str">
        <f>'Exptl Setup'!C224</f>
        <v>a</v>
      </c>
      <c r="C132" s="3">
        <f>'Exptl Setup'!D224</f>
        <v>48</v>
      </c>
      <c r="D132" s="3" t="str">
        <f>'Exptl Setup'!E224</f>
        <v>-</v>
      </c>
      <c r="E132" s="111">
        <f>'Exptl Setup'!K224</f>
        <v>0</v>
      </c>
      <c r="F132" s="63">
        <f>'Exptl Setup'!F224</f>
        <v>32.009</v>
      </c>
      <c r="G132" s="64">
        <f>'Exptl Setup'!$C$5</f>
        <v>1.2793390913194711</v>
      </c>
      <c r="H132" s="7">
        <f t="shared" si="74"/>
        <v>25.019949923508474</v>
      </c>
      <c r="I132" s="8">
        <f t="shared" si="78"/>
        <v>9.44149053717301</v>
      </c>
      <c r="J132" s="8">
        <f t="shared" si="75"/>
        <v>6.9890500764915267</v>
      </c>
      <c r="K132" s="8">
        <f>'Exptl Setup'!H224+'Exptl Setup'!I224+'Exptl Setup'!J224+5</f>
        <v>23.003024686832859</v>
      </c>
      <c r="L132" s="8">
        <f t="shared" si="76"/>
        <v>29.992074763324386</v>
      </c>
      <c r="M132" s="44">
        <v>300</v>
      </c>
      <c r="N132" s="65">
        <f t="shared" si="77"/>
        <v>260.56643469950262</v>
      </c>
      <c r="O132" s="66">
        <v>60</v>
      </c>
      <c r="P132" s="3">
        <v>29.093</v>
      </c>
      <c r="Q132" s="7">
        <f t="shared" si="49"/>
        <v>8.1321168451611285</v>
      </c>
      <c r="R132" s="67">
        <f t="shared" si="50"/>
        <v>295.86076789210199</v>
      </c>
      <c r="S132" s="30">
        <v>120</v>
      </c>
      <c r="T132" s="3">
        <v>39.777000000000001</v>
      </c>
      <c r="U132" s="7">
        <f t="shared" si="51"/>
        <v>11.118523760010113</v>
      </c>
      <c r="V132" s="67">
        <f t="shared" si="52"/>
        <v>404.5115238869879</v>
      </c>
      <c r="W132" s="30">
        <v>180</v>
      </c>
      <c r="X132" s="3">
        <v>47.604999999999997</v>
      </c>
      <c r="Y132" s="7">
        <f t="shared" si="53"/>
        <v>13.306617482346114</v>
      </c>
      <c r="Z132" s="67">
        <f t="shared" si="54"/>
        <v>484.11823653468235</v>
      </c>
      <c r="AA132" s="69">
        <v>240</v>
      </c>
      <c r="AB132" s="113">
        <v>56.497</v>
      </c>
      <c r="AC132" s="7">
        <f t="shared" si="55"/>
        <v>15.792122001892837</v>
      </c>
      <c r="AD132" s="67">
        <f t="shared" si="56"/>
        <v>574.54527905682073</v>
      </c>
      <c r="AE132" s="70">
        <f t="shared" si="57"/>
        <v>295.86076789210199</v>
      </c>
      <c r="AF132" s="70">
        <f t="shared" si="58"/>
        <v>404.5115238869879</v>
      </c>
      <c r="AG132" s="70">
        <f t="shared" si="59"/>
        <v>484.11823653468235</v>
      </c>
      <c r="AH132" s="70">
        <f t="shared" si="60"/>
        <v>574.54527905682073</v>
      </c>
      <c r="AI132" s="71">
        <f t="shared" si="61"/>
        <v>0.99613906247978801</v>
      </c>
      <c r="AJ132" s="72">
        <f t="shared" si="62"/>
        <v>1.5261004102364177</v>
      </c>
      <c r="AK132" s="73">
        <f t="shared" si="63"/>
        <v>91.566024614185068</v>
      </c>
    </row>
    <row r="133" spans="1:37">
      <c r="A133" s="3">
        <f>'Exptl Setup'!A225</f>
        <v>218</v>
      </c>
      <c r="B133" s="3" t="str">
        <f>'Exptl Setup'!C225</f>
        <v>b</v>
      </c>
      <c r="C133" s="3">
        <f>'Exptl Setup'!D225</f>
        <v>48</v>
      </c>
      <c r="D133" s="3" t="str">
        <f>'Exptl Setup'!E225</f>
        <v>-</v>
      </c>
      <c r="E133" s="111">
        <f>'Exptl Setup'!K225</f>
        <v>0</v>
      </c>
      <c r="F133" s="63">
        <f>'Exptl Setup'!F225</f>
        <v>32</v>
      </c>
      <c r="G133" s="64">
        <f>'Exptl Setup'!$C$5</f>
        <v>1.2793390913194711</v>
      </c>
      <c r="H133" s="7">
        <f t="shared" si="74"/>
        <v>25.01291504115315</v>
      </c>
      <c r="I133" s="8">
        <f t="shared" si="78"/>
        <v>9.4388358645860944</v>
      </c>
      <c r="J133" s="8">
        <f t="shared" si="75"/>
        <v>6.9870849588468502</v>
      </c>
      <c r="K133" s="8">
        <f>'Exptl Setup'!H225+'Exptl Setup'!I225+'Exptl Setup'!J225+5</f>
        <v>23.003024686832859</v>
      </c>
      <c r="L133" s="8">
        <f t="shared" si="76"/>
        <v>29.990109645679709</v>
      </c>
      <c r="M133" s="44">
        <v>300</v>
      </c>
      <c r="N133" s="65">
        <f t="shared" si="77"/>
        <v>260.57105448973419</v>
      </c>
      <c r="O133" s="66">
        <v>60</v>
      </c>
      <c r="P133" s="3">
        <v>39.499000000000002</v>
      </c>
      <c r="Q133" s="7">
        <f t="shared" si="49"/>
        <v>11.040950224735465</v>
      </c>
      <c r="R133" s="67">
        <f t="shared" si="50"/>
        <v>401.8022368242635</v>
      </c>
      <c r="S133" s="30">
        <v>120</v>
      </c>
      <c r="T133" s="3">
        <v>52.23</v>
      </c>
      <c r="U133" s="7">
        <f t="shared" si="51"/>
        <v>14.599580501732531</v>
      </c>
      <c r="V133" s="67">
        <f t="shared" si="52"/>
        <v>531.30790220844278</v>
      </c>
      <c r="W133" s="30">
        <v>180</v>
      </c>
      <c r="X133" s="3">
        <v>63.127000000000002</v>
      </c>
      <c r="Y133" s="7">
        <f t="shared" si="53"/>
        <v>17.645562288586436</v>
      </c>
      <c r="Z133" s="67">
        <f t="shared" si="54"/>
        <v>642.15726484228173</v>
      </c>
      <c r="AA133" s="69">
        <v>240</v>
      </c>
      <c r="AB133" s="113">
        <v>73.652000000000001</v>
      </c>
      <c r="AC133" s="7">
        <f t="shared" si="55"/>
        <v>20.587560848432023</v>
      </c>
      <c r="AD133" s="67">
        <f t="shared" si="56"/>
        <v>749.22247010255091</v>
      </c>
      <c r="AE133" s="70">
        <f t="shared" si="57"/>
        <v>401.8022368242635</v>
      </c>
      <c r="AF133" s="70">
        <f t="shared" si="58"/>
        <v>531.30790220844278</v>
      </c>
      <c r="AG133" s="70">
        <f t="shared" si="59"/>
        <v>642.15726484228173</v>
      </c>
      <c r="AH133" s="70">
        <f t="shared" si="60"/>
        <v>749.22247010255091</v>
      </c>
      <c r="AI133" s="71">
        <f t="shared" si="61"/>
        <v>0.99794427490196991</v>
      </c>
      <c r="AJ133" s="72">
        <f t="shared" si="62"/>
        <v>1.921850104114502</v>
      </c>
      <c r="AK133" s="73">
        <f t="shared" si="63"/>
        <v>115.31100624687012</v>
      </c>
    </row>
    <row r="134" spans="1:37">
      <c r="A134" s="3">
        <f>'Exptl Setup'!A226</f>
        <v>219</v>
      </c>
      <c r="B134" s="3" t="str">
        <f>'Exptl Setup'!C226</f>
        <v>c</v>
      </c>
      <c r="C134" s="3">
        <f>'Exptl Setup'!D226</f>
        <v>48</v>
      </c>
      <c r="D134" s="3" t="str">
        <f>'Exptl Setup'!E226</f>
        <v>-</v>
      </c>
      <c r="E134" s="111">
        <f>'Exptl Setup'!K226</f>
        <v>0</v>
      </c>
      <c r="F134" s="63">
        <f>'Exptl Setup'!F226</f>
        <v>32.008000000000003</v>
      </c>
      <c r="G134" s="64">
        <f>'Exptl Setup'!$C$5</f>
        <v>1.2793390913194711</v>
      </c>
      <c r="H134" s="7">
        <f t="shared" si="74"/>
        <v>25.01916826991344</v>
      </c>
      <c r="I134" s="8">
        <f t="shared" si="78"/>
        <v>9.4411955735522408</v>
      </c>
      <c r="J134" s="8">
        <f t="shared" si="75"/>
        <v>6.988831730086563</v>
      </c>
      <c r="K134" s="8">
        <f>'Exptl Setup'!H226+'Exptl Setup'!I226+'Exptl Setup'!J226+5</f>
        <v>23.003024686832859</v>
      </c>
      <c r="L134" s="8">
        <f t="shared" si="76"/>
        <v>29.991856416919422</v>
      </c>
      <c r="M134" s="44">
        <v>300</v>
      </c>
      <c r="N134" s="65">
        <f t="shared" si="77"/>
        <v>260.56694800952835</v>
      </c>
      <c r="O134" s="66">
        <v>60</v>
      </c>
      <c r="P134" s="3">
        <v>28.695</v>
      </c>
      <c r="Q134" s="7">
        <f t="shared" si="49"/>
        <v>8.0208780872997885</v>
      </c>
      <c r="R134" s="67">
        <f t="shared" si="50"/>
        <v>291.82282239071128</v>
      </c>
      <c r="S134" s="30">
        <v>120</v>
      </c>
      <c r="T134" s="3">
        <v>38.436999999999998</v>
      </c>
      <c r="U134" s="7">
        <f t="shared" si="51"/>
        <v>10.743979475223627</v>
      </c>
      <c r="V134" s="67">
        <f t="shared" si="52"/>
        <v>390.8971536585388</v>
      </c>
      <c r="W134" s="30">
        <v>180</v>
      </c>
      <c r="X134" s="3">
        <v>47.335999999999999</v>
      </c>
      <c r="Y134" s="7">
        <f t="shared" si="53"/>
        <v>13.231443984681054</v>
      </c>
      <c r="Z134" s="67">
        <f t="shared" si="54"/>
        <v>481.3983314405545</v>
      </c>
      <c r="AA134" s="69">
        <v>240</v>
      </c>
      <c r="AB134" s="113">
        <v>56.582999999999998</v>
      </c>
      <c r="AC134" s="7">
        <f t="shared" si="55"/>
        <v>15.816182080978706</v>
      </c>
      <c r="AD134" s="67">
        <f t="shared" si="56"/>
        <v>575.43860461173085</v>
      </c>
      <c r="AE134" s="70">
        <f t="shared" si="57"/>
        <v>291.82282239071128</v>
      </c>
      <c r="AF134" s="70">
        <f t="shared" si="58"/>
        <v>390.8971536585388</v>
      </c>
      <c r="AG134" s="70">
        <f t="shared" si="59"/>
        <v>481.3983314405545</v>
      </c>
      <c r="AH134" s="70">
        <f t="shared" si="60"/>
        <v>575.43860461173085</v>
      </c>
      <c r="AI134" s="71">
        <f t="shared" si="61"/>
        <v>0.99969154777631108</v>
      </c>
      <c r="AJ134" s="72">
        <f t="shared" si="62"/>
        <v>1.5689142074084572</v>
      </c>
      <c r="AK134" s="73">
        <f t="shared" si="63"/>
        <v>94.13485244450743</v>
      </c>
    </row>
    <row r="135" spans="1:37">
      <c r="A135" s="3">
        <f>'Exptl Setup'!A230</f>
        <v>223</v>
      </c>
      <c r="B135" s="3" t="str">
        <f>'Exptl Setup'!C230</f>
        <v>a</v>
      </c>
      <c r="C135" s="3">
        <f>'Exptl Setup'!D230</f>
        <v>48</v>
      </c>
      <c r="D135" s="3" t="str">
        <f>'Exptl Setup'!E230</f>
        <v>-</v>
      </c>
      <c r="E135" s="111">
        <f>'Exptl Setup'!K230</f>
        <v>5.9999953707848501</v>
      </c>
      <c r="F135" s="63">
        <f>'Exptl Setup'!F230</f>
        <v>31.997</v>
      </c>
      <c r="G135" s="64">
        <f>'Exptl Setup'!$C$5</f>
        <v>1.2793390913194711</v>
      </c>
      <c r="H135" s="7">
        <f t="shared" si="74"/>
        <v>25.010570080368041</v>
      </c>
      <c r="I135" s="8">
        <f t="shared" si="78"/>
        <v>9.4379509737237886</v>
      </c>
      <c r="J135" s="8">
        <f t="shared" si="75"/>
        <v>6.9864299196319593</v>
      </c>
      <c r="K135" s="8">
        <f>'Exptl Setup'!H230+'Exptl Setup'!I230+'Exptl Setup'!J230+5</f>
        <v>23.003024686832859</v>
      </c>
      <c r="L135" s="8">
        <f t="shared" si="76"/>
        <v>29.989454606464818</v>
      </c>
      <c r="M135" s="44">
        <v>300</v>
      </c>
      <c r="N135" s="65">
        <f t="shared" si="77"/>
        <v>260.57259441981137</v>
      </c>
      <c r="O135" s="66">
        <v>60</v>
      </c>
      <c r="P135" s="3">
        <v>6.593</v>
      </c>
      <c r="Q135" s="7">
        <f t="shared" si="49"/>
        <v>1.8429144547171232</v>
      </c>
      <c r="R135" s="67">
        <f t="shared" si="50"/>
        <v>67.073627023617803</v>
      </c>
      <c r="S135" s="30">
        <v>120</v>
      </c>
      <c r="T135" s="3">
        <v>11.545</v>
      </c>
      <c r="U135" s="7">
        <f t="shared" si="51"/>
        <v>3.2271268587455162</v>
      </c>
      <c r="V135" s="67">
        <f t="shared" si="52"/>
        <v>117.45260488209729</v>
      </c>
      <c r="W135" s="30">
        <v>180</v>
      </c>
      <c r="X135" s="3">
        <v>16.670999999999999</v>
      </c>
      <c r="Y135" s="7">
        <f t="shared" si="53"/>
        <v>4.6599767745471201</v>
      </c>
      <c r="Z135" s="67">
        <f t="shared" si="54"/>
        <v>169.60176491896436</v>
      </c>
      <c r="AA135" s="69">
        <v>240</v>
      </c>
      <c r="AB135" s="113">
        <v>21.908000000000001</v>
      </c>
      <c r="AC135" s="7">
        <f t="shared" si="55"/>
        <v>6.1238540685488765</v>
      </c>
      <c r="AD135" s="67">
        <f t="shared" si="56"/>
        <v>222.88017910411327</v>
      </c>
      <c r="AE135" s="70">
        <f t="shared" si="57"/>
        <v>67.073627023617803</v>
      </c>
      <c r="AF135" s="70">
        <f t="shared" si="58"/>
        <v>117.45260488209729</v>
      </c>
      <c r="AG135" s="70">
        <f t="shared" si="59"/>
        <v>169.60176491896436</v>
      </c>
      <c r="AH135" s="70">
        <f t="shared" si="60"/>
        <v>222.88017910411327</v>
      </c>
      <c r="AI135" s="71">
        <f t="shared" si="61"/>
        <v>0.99984279497888084</v>
      </c>
      <c r="AJ135" s="72">
        <f t="shared" si="62"/>
        <v>0.86594802713058905</v>
      </c>
      <c r="AK135" s="73">
        <f t="shared" si="63"/>
        <v>51.956881627835344</v>
      </c>
    </row>
    <row r="136" spans="1:37">
      <c r="A136" s="3">
        <f>'Exptl Setup'!A231</f>
        <v>224</v>
      </c>
      <c r="B136" s="3" t="str">
        <f>'Exptl Setup'!C231</f>
        <v>b</v>
      </c>
      <c r="C136" s="3">
        <f>'Exptl Setup'!D231</f>
        <v>48</v>
      </c>
      <c r="D136" s="3" t="str">
        <f>'Exptl Setup'!E231</f>
        <v>-</v>
      </c>
      <c r="E136" s="111">
        <f>'Exptl Setup'!K231</f>
        <v>5.9996203593550685</v>
      </c>
      <c r="F136" s="63">
        <f>'Exptl Setup'!F231</f>
        <v>31.998999999999999</v>
      </c>
      <c r="G136" s="64">
        <f>'Exptl Setup'!$C$5</f>
        <v>1.2793390913194711</v>
      </c>
      <c r="H136" s="7">
        <f t="shared" si="74"/>
        <v>25.012133387558112</v>
      </c>
      <c r="I136" s="8">
        <f t="shared" si="78"/>
        <v>9.4385409009653252</v>
      </c>
      <c r="J136" s="8">
        <f t="shared" si="75"/>
        <v>6.9868666124418866</v>
      </c>
      <c r="K136" s="8">
        <f>'Exptl Setup'!H231+'Exptl Setup'!I231+'Exptl Setup'!J231+5</f>
        <v>23.003024686832859</v>
      </c>
      <c r="L136" s="8">
        <f t="shared" si="76"/>
        <v>29.989891299274746</v>
      </c>
      <c r="M136" s="44">
        <v>300</v>
      </c>
      <c r="N136" s="65">
        <f t="shared" si="77"/>
        <v>260.57156779975992</v>
      </c>
      <c r="O136" s="66">
        <v>60</v>
      </c>
      <c r="P136" s="3">
        <v>6.5860000000000003</v>
      </c>
      <c r="Q136" s="7">
        <f t="shared" ref="Q136:Q143" si="79">((P136*($N136+($L136*$H$17))))*(1/1000)</f>
        <v>1.8409528295585376</v>
      </c>
      <c r="R136" s="67">
        <f t="shared" ref="R136:R143" si="80">((Q136*$H$18*$H$19)/($H$20*$H$21*$F136))*1000</f>
        <v>66.998045101442884</v>
      </c>
      <c r="S136" s="30">
        <v>120</v>
      </c>
      <c r="T136" s="3">
        <v>11.287000000000001</v>
      </c>
      <c r="U136" s="7">
        <f t="shared" ref="U136:U143" si="81">((T136*($N136+($L136*$H$17))))*(1/1000)</f>
        <v>3.155000696511876</v>
      </c>
      <c r="V136" s="67">
        <f t="shared" ref="V136:V143" si="82">((U136*$H$18*$H$19)/($H$20*$H$21*$F136))*1000</f>
        <v>114.82036669601975</v>
      </c>
      <c r="W136" s="30">
        <v>180</v>
      </c>
      <c r="X136" s="3">
        <v>15.680999999999999</v>
      </c>
      <c r="Y136" s="7">
        <f t="shared" ref="Y136:Y143" si="83">((X136*($N136+($L136*$H$17))))*(1/1000)</f>
        <v>4.3832343334812371</v>
      </c>
      <c r="Z136" s="67">
        <f t="shared" ref="Z136:Z143" si="84">((Y136*$H$18*$H$19)/($H$20*$H$21*$F136))*1000</f>
        <v>159.51963942236958</v>
      </c>
      <c r="AA136" s="69">
        <v>240</v>
      </c>
      <c r="AB136" s="113">
        <v>21.539000000000001</v>
      </c>
      <c r="AC136" s="7">
        <f t="shared" ref="AC136:AC143" si="85">((AB136*($N136+($L136*$H$17))))*(1/1000)</f>
        <v>6.0206928326543183</v>
      </c>
      <c r="AD136" s="67">
        <f t="shared" ref="AD136:AD143" si="86">((AC136*$H$18*$H$19)/($H$20*$H$21*$F136))*1000</f>
        <v>219.11188785909178</v>
      </c>
      <c r="AE136" s="70">
        <f t="shared" ref="AE136:AE143" si="87">R136</f>
        <v>66.998045101442884</v>
      </c>
      <c r="AF136" s="70">
        <f t="shared" ref="AF136:AF143" si="88">V136</f>
        <v>114.82036669601975</v>
      </c>
      <c r="AG136" s="70">
        <f t="shared" ref="AG136:AG143" si="89">Z136</f>
        <v>159.51963942236958</v>
      </c>
      <c r="AH136" s="70">
        <f t="shared" ref="AH136:AH143" si="90">AD136</f>
        <v>219.11188785909178</v>
      </c>
      <c r="AI136" s="71">
        <f t="shared" ref="AI136:AI143" si="91">RSQ(AE136:AH136,AE$23:AH$23)</f>
        <v>0.9959643077311684</v>
      </c>
      <c r="AJ136" s="72">
        <f t="shared" ref="AJ136:AJ143" si="92">SLOPE(AE136:AH136,AE$23:AH$23)</f>
        <v>0.83506800166549411</v>
      </c>
      <c r="AK136" s="73">
        <f t="shared" ref="AK136:AK143" si="93">AJ136*60</f>
        <v>50.104080099929647</v>
      </c>
    </row>
    <row r="137" spans="1:37">
      <c r="A137" s="3">
        <f>'Exptl Setup'!A232</f>
        <v>225</v>
      </c>
      <c r="B137" s="3" t="str">
        <f>'Exptl Setup'!C232</f>
        <v>c</v>
      </c>
      <c r="C137" s="3">
        <f>'Exptl Setup'!D232</f>
        <v>48</v>
      </c>
      <c r="D137" s="3" t="str">
        <f>'Exptl Setup'!E232</f>
        <v>-</v>
      </c>
      <c r="E137" s="111">
        <f>'Exptl Setup'!K232</f>
        <v>5.997558634145669</v>
      </c>
      <c r="F137" s="63">
        <f>'Exptl Setup'!F232</f>
        <v>32.01</v>
      </c>
      <c r="G137" s="64">
        <f>'Exptl Setup'!$C$5</f>
        <v>1.2793390913194711</v>
      </c>
      <c r="H137" s="7">
        <f t="shared" si="74"/>
        <v>25.020731577103508</v>
      </c>
      <c r="I137" s="8">
        <f t="shared" si="78"/>
        <v>9.4417855007937774</v>
      </c>
      <c r="J137" s="8">
        <f t="shared" si="75"/>
        <v>6.9892684228964903</v>
      </c>
      <c r="K137" s="8">
        <f>'Exptl Setup'!H232+'Exptl Setup'!I232+'Exptl Setup'!J232+5</f>
        <v>23.003024686832859</v>
      </c>
      <c r="L137" s="8">
        <f t="shared" si="76"/>
        <v>29.992293109729349</v>
      </c>
      <c r="M137" s="44">
        <v>300</v>
      </c>
      <c r="N137" s="65">
        <f t="shared" si="77"/>
        <v>260.5659213894769</v>
      </c>
      <c r="O137" s="66">
        <v>60</v>
      </c>
      <c r="P137" s="3">
        <v>7.0590000000000002</v>
      </c>
      <c r="Q137" s="7">
        <f t="shared" si="79"/>
        <v>1.9731390964312356</v>
      </c>
      <c r="R137" s="67">
        <f t="shared" si="80"/>
        <v>71.784041239282203</v>
      </c>
      <c r="S137" s="30">
        <v>120</v>
      </c>
      <c r="T137" s="3">
        <v>11.923</v>
      </c>
      <c r="U137" s="7">
        <f t="shared" si="81"/>
        <v>3.3327294867190287</v>
      </c>
      <c r="V137" s="67">
        <f t="shared" si="82"/>
        <v>121.24679468706071</v>
      </c>
      <c r="W137" s="30">
        <v>180</v>
      </c>
      <c r="X137" s="3">
        <v>17.021000000000001</v>
      </c>
      <c r="Y137" s="7">
        <f t="shared" si="83"/>
        <v>4.7577278028553707</v>
      </c>
      <c r="Z137" s="67">
        <f t="shared" si="84"/>
        <v>173.08912961238451</v>
      </c>
      <c r="AA137" s="69">
        <v>240</v>
      </c>
      <c r="AB137" s="113">
        <v>22.029</v>
      </c>
      <c r="AC137" s="7">
        <f t="shared" si="85"/>
        <v>6.1575692244345781</v>
      </c>
      <c r="AD137" s="67">
        <f t="shared" si="86"/>
        <v>224.01624089249862</v>
      </c>
      <c r="AE137" s="70">
        <f t="shared" si="87"/>
        <v>71.784041239282203</v>
      </c>
      <c r="AF137" s="70">
        <f t="shared" si="88"/>
        <v>121.24679468706071</v>
      </c>
      <c r="AG137" s="70">
        <f t="shared" si="89"/>
        <v>173.08912961238451</v>
      </c>
      <c r="AH137" s="70">
        <f t="shared" si="90"/>
        <v>224.01624089249862</v>
      </c>
      <c r="AI137" s="71">
        <f t="shared" si="91"/>
        <v>0.99991657126249445</v>
      </c>
      <c r="AJ137" s="72">
        <f t="shared" si="92"/>
        <v>0.84756488980828837</v>
      </c>
      <c r="AK137" s="73">
        <f t="shared" si="93"/>
        <v>50.853893388497305</v>
      </c>
    </row>
    <row r="138" spans="1:37">
      <c r="A138" s="3">
        <f>'Exptl Setup'!A236</f>
        <v>229</v>
      </c>
      <c r="B138" s="3" t="str">
        <f>'Exptl Setup'!C236</f>
        <v>a</v>
      </c>
      <c r="C138" s="3">
        <f>'Exptl Setup'!D236</f>
        <v>48</v>
      </c>
      <c r="D138" s="3" t="str">
        <f>'Exptl Setup'!E236</f>
        <v>-</v>
      </c>
      <c r="E138" s="111">
        <f>'Exptl Setup'!K236</f>
        <v>16.001487935571493</v>
      </c>
      <c r="F138" s="63">
        <f>'Exptl Setup'!F236</f>
        <v>31.994</v>
      </c>
      <c r="G138" s="64">
        <f>'Exptl Setup'!$C$5</f>
        <v>1.2793390913194711</v>
      </c>
      <c r="H138" s="7">
        <f t="shared" si="74"/>
        <v>25.008225119582931</v>
      </c>
      <c r="I138" s="8">
        <f t="shared" si="78"/>
        <v>9.4370660828614845</v>
      </c>
      <c r="J138" s="8">
        <f t="shared" si="75"/>
        <v>6.9857748804170683</v>
      </c>
      <c r="K138" s="8">
        <f>'Exptl Setup'!H236+'Exptl Setup'!I236+'Exptl Setup'!J236+5</f>
        <v>23.003024686832862</v>
      </c>
      <c r="L138" s="8">
        <f t="shared" si="76"/>
        <v>29.988799567249931</v>
      </c>
      <c r="M138" s="44">
        <v>300</v>
      </c>
      <c r="N138" s="65">
        <f t="shared" si="77"/>
        <v>260.5741343498886</v>
      </c>
      <c r="O138" s="66">
        <v>60</v>
      </c>
      <c r="P138" s="3">
        <v>0.85799999999999998</v>
      </c>
      <c r="Q138" s="7">
        <f t="shared" si="79"/>
        <v>0.23983421377034311</v>
      </c>
      <c r="R138" s="67">
        <f t="shared" si="80"/>
        <v>8.7296830070972522</v>
      </c>
      <c r="S138" s="30">
        <v>120</v>
      </c>
      <c r="T138" s="3">
        <v>1.556</v>
      </c>
      <c r="U138" s="7">
        <f t="shared" si="81"/>
        <v>0.43494409863246369</v>
      </c>
      <c r="V138" s="67">
        <f t="shared" si="82"/>
        <v>15.831453099118091</v>
      </c>
      <c r="W138" s="30">
        <v>180</v>
      </c>
      <c r="X138" s="3">
        <v>2.6960000000000002</v>
      </c>
      <c r="Y138" s="7">
        <f t="shared" si="83"/>
        <v>0.753604942103549</v>
      </c>
      <c r="Z138" s="67">
        <f t="shared" si="84"/>
        <v>27.430332619037522</v>
      </c>
      <c r="AA138" s="69">
        <v>240</v>
      </c>
      <c r="AB138" s="113">
        <v>4.4279999999999999</v>
      </c>
      <c r="AC138" s="7">
        <f t="shared" si="85"/>
        <v>1.2377458025350572</v>
      </c>
      <c r="AD138" s="67">
        <f t="shared" si="86"/>
        <v>45.052489924739653</v>
      </c>
      <c r="AE138" s="70">
        <f t="shared" si="87"/>
        <v>8.7296830070972522</v>
      </c>
      <c r="AF138" s="70">
        <f t="shared" si="88"/>
        <v>15.831453099118091</v>
      </c>
      <c r="AG138" s="70">
        <f t="shared" si="89"/>
        <v>27.430332619037522</v>
      </c>
      <c r="AH138" s="70">
        <f t="shared" si="90"/>
        <v>45.052489924739653</v>
      </c>
      <c r="AI138" s="71">
        <f t="shared" si="91"/>
        <v>0.96317819274991201</v>
      </c>
      <c r="AJ138" s="72">
        <f t="shared" si="92"/>
        <v>0.20094550045474438</v>
      </c>
      <c r="AK138" s="73">
        <f t="shared" si="93"/>
        <v>12.056730027284663</v>
      </c>
    </row>
    <row r="139" spans="1:37">
      <c r="A139" s="3">
        <f>'Exptl Setup'!A237</f>
        <v>230</v>
      </c>
      <c r="B139" s="3" t="str">
        <f>'Exptl Setup'!C237</f>
        <v>b</v>
      </c>
      <c r="C139" s="3">
        <f>'Exptl Setup'!D237</f>
        <v>48</v>
      </c>
      <c r="D139" s="3" t="str">
        <f>'Exptl Setup'!E237</f>
        <v>-</v>
      </c>
      <c r="E139" s="111">
        <f>'Exptl Setup'!K237</f>
        <v>16.000487717548268</v>
      </c>
      <c r="F139" s="63">
        <f>'Exptl Setup'!F237</f>
        <v>31.995999999999999</v>
      </c>
      <c r="G139" s="64">
        <f>'Exptl Setup'!$C$5</f>
        <v>1.2793390913194711</v>
      </c>
      <c r="H139" s="7">
        <f t="shared" si="74"/>
        <v>25.009788426773003</v>
      </c>
      <c r="I139" s="8">
        <f t="shared" si="78"/>
        <v>9.4376560101030211</v>
      </c>
      <c r="J139" s="8">
        <f t="shared" si="75"/>
        <v>6.9862115732269956</v>
      </c>
      <c r="K139" s="8">
        <f>'Exptl Setup'!H237+'Exptl Setup'!I237+'Exptl Setup'!J237+5</f>
        <v>23.003024686832862</v>
      </c>
      <c r="L139" s="8">
        <f t="shared" si="76"/>
        <v>29.989236260059858</v>
      </c>
      <c r="M139" s="44">
        <v>300</v>
      </c>
      <c r="N139" s="65">
        <f t="shared" si="77"/>
        <v>260.57310772983715</v>
      </c>
      <c r="O139" s="66">
        <v>60</v>
      </c>
      <c r="P139" s="3">
        <v>2.1949999999999998</v>
      </c>
      <c r="Q139" s="7">
        <f t="shared" si="79"/>
        <v>0.61356023957639794</v>
      </c>
      <c r="R139" s="67">
        <f t="shared" si="80"/>
        <v>22.331474352899921</v>
      </c>
      <c r="S139" s="30">
        <v>120</v>
      </c>
      <c r="T139" s="3">
        <v>5.6689999999999996</v>
      </c>
      <c r="U139" s="7">
        <f t="shared" si="81"/>
        <v>1.5846346233068791</v>
      </c>
      <c r="V139" s="67">
        <f t="shared" si="82"/>
        <v>57.675229205735604</v>
      </c>
      <c r="W139" s="30">
        <v>180</v>
      </c>
      <c r="X139" s="3">
        <v>9.4369999999999994</v>
      </c>
      <c r="Y139" s="7">
        <f t="shared" si="83"/>
        <v>2.6378897407209418</v>
      </c>
      <c r="Z139" s="67">
        <f t="shared" si="84"/>
        <v>96.010079028845809</v>
      </c>
      <c r="AA139" s="69">
        <v>240</v>
      </c>
      <c r="AB139" s="113">
        <v>13.574999999999999</v>
      </c>
      <c r="AC139" s="7">
        <f t="shared" si="85"/>
        <v>3.7945695910020967</v>
      </c>
      <c r="AD139" s="67">
        <f t="shared" si="86"/>
        <v>138.10923204583895</v>
      </c>
      <c r="AE139" s="70">
        <f t="shared" si="87"/>
        <v>22.331474352899921</v>
      </c>
      <c r="AF139" s="70">
        <f t="shared" si="88"/>
        <v>57.675229205735604</v>
      </c>
      <c r="AG139" s="70">
        <f t="shared" si="89"/>
        <v>96.010079028845809</v>
      </c>
      <c r="AH139" s="70">
        <f t="shared" si="90"/>
        <v>138.10923204583895</v>
      </c>
      <c r="AI139" s="71">
        <f t="shared" si="91"/>
        <v>0.99846427531584481</v>
      </c>
      <c r="AJ139" s="72">
        <f t="shared" si="92"/>
        <v>0.64278020483654552</v>
      </c>
      <c r="AK139" s="73">
        <f t="shared" si="93"/>
        <v>38.566812290192729</v>
      </c>
    </row>
    <row r="140" spans="1:37">
      <c r="A140" s="3">
        <f>'Exptl Setup'!A238</f>
        <v>231</v>
      </c>
      <c r="B140" s="3" t="str">
        <f>'Exptl Setup'!C238</f>
        <v>c</v>
      </c>
      <c r="C140" s="3">
        <f>'Exptl Setup'!D238</f>
        <v>48</v>
      </c>
      <c r="D140" s="3" t="str">
        <f>'Exptl Setup'!E238</f>
        <v>-</v>
      </c>
      <c r="E140" s="111">
        <f>'Exptl Setup'!K238</f>
        <v>15.999987655426267</v>
      </c>
      <c r="F140" s="63">
        <f>'Exptl Setup'!F238</f>
        <v>31.997</v>
      </c>
      <c r="G140" s="64">
        <f>'Exptl Setup'!$C$5</f>
        <v>1.2793390913194711</v>
      </c>
      <c r="H140" s="7">
        <f t="shared" si="74"/>
        <v>25.010570080368041</v>
      </c>
      <c r="I140" s="8">
        <f t="shared" si="78"/>
        <v>9.4379509737237886</v>
      </c>
      <c r="J140" s="8">
        <f t="shared" si="75"/>
        <v>6.9864299196319593</v>
      </c>
      <c r="K140" s="8">
        <f>'Exptl Setup'!H238+'Exptl Setup'!I238+'Exptl Setup'!J238+5</f>
        <v>23.003024686832862</v>
      </c>
      <c r="L140" s="8">
        <f t="shared" si="76"/>
        <v>29.989454606464822</v>
      </c>
      <c r="M140" s="44">
        <v>300</v>
      </c>
      <c r="N140" s="65">
        <f t="shared" si="77"/>
        <v>260.57259441981137</v>
      </c>
      <c r="O140" s="66">
        <v>60</v>
      </c>
      <c r="P140" s="3">
        <v>0.83</v>
      </c>
      <c r="Q140" s="7">
        <f t="shared" si="79"/>
        <v>0.2320065216768106</v>
      </c>
      <c r="R140" s="67">
        <f t="shared" si="80"/>
        <v>8.4439724601247939</v>
      </c>
      <c r="S140" s="30">
        <v>120</v>
      </c>
      <c r="T140" s="3">
        <v>1.5669999999999999</v>
      </c>
      <c r="U140" s="7">
        <f t="shared" si="81"/>
        <v>0.43801713188862917</v>
      </c>
      <c r="V140" s="67">
        <f t="shared" si="82"/>
        <v>15.941813066283798</v>
      </c>
      <c r="W140" s="30">
        <v>180</v>
      </c>
      <c r="X140" s="3">
        <v>2.6960000000000002</v>
      </c>
      <c r="Y140" s="7">
        <f t="shared" si="83"/>
        <v>0.75360190655503789</v>
      </c>
      <c r="Z140" s="67">
        <f t="shared" si="84"/>
        <v>27.427650304212584</v>
      </c>
      <c r="AA140" s="69">
        <v>240</v>
      </c>
      <c r="AB140" s="113">
        <v>4.7279999999999998</v>
      </c>
      <c r="AC140" s="7">
        <f t="shared" si="85"/>
        <v>1.3215985957686271</v>
      </c>
      <c r="AD140" s="67">
        <f t="shared" si="86"/>
        <v>48.100122640325338</v>
      </c>
      <c r="AE140" s="70">
        <f t="shared" si="87"/>
        <v>8.4439724601247939</v>
      </c>
      <c r="AF140" s="70">
        <f t="shared" si="88"/>
        <v>15.941813066283798</v>
      </c>
      <c r="AG140" s="70">
        <f t="shared" si="89"/>
        <v>27.427650304212584</v>
      </c>
      <c r="AH140" s="70">
        <f t="shared" si="90"/>
        <v>48.100122640325338</v>
      </c>
      <c r="AI140" s="71">
        <f t="shared" si="91"/>
        <v>0.95004352289455052</v>
      </c>
      <c r="AJ140" s="72">
        <f t="shared" si="92"/>
        <v>0.21742381296421737</v>
      </c>
      <c r="AK140" s="73">
        <f t="shared" si="93"/>
        <v>13.045428777853042</v>
      </c>
    </row>
    <row r="141" spans="1:37">
      <c r="A141" s="3">
        <f>'Exptl Setup'!A242</f>
        <v>235</v>
      </c>
      <c r="B141" s="3" t="str">
        <f>'Exptl Setup'!C242</f>
        <v>a</v>
      </c>
      <c r="C141" s="3">
        <f>'Exptl Setup'!D242</f>
        <v>48</v>
      </c>
      <c r="D141" s="3" t="str">
        <f>'Exptl Setup'!E242</f>
        <v>-</v>
      </c>
      <c r="E141" s="111">
        <f>'Exptl Setup'!K242</f>
        <v>19.996234923705366</v>
      </c>
      <c r="F141" s="63">
        <f>'Exptl Setup'!F242</f>
        <v>32.003</v>
      </c>
      <c r="G141" s="64">
        <f>'Exptl Setup'!$C$5</f>
        <v>1.2793390913194711</v>
      </c>
      <c r="H141" s="7">
        <f t="shared" si="74"/>
        <v>25.015260001938255</v>
      </c>
      <c r="I141" s="8">
        <f t="shared" si="78"/>
        <v>9.4397207554483984</v>
      </c>
      <c r="J141" s="8">
        <f t="shared" si="75"/>
        <v>6.9877399980617447</v>
      </c>
      <c r="K141" s="8">
        <f>'Exptl Setup'!H242+'Exptl Setup'!I242+'Exptl Setup'!J242+5</f>
        <v>23.003024686832859</v>
      </c>
      <c r="L141" s="8">
        <f t="shared" si="76"/>
        <v>29.990764684894604</v>
      </c>
      <c r="M141" s="44">
        <v>300</v>
      </c>
      <c r="N141" s="65">
        <f t="shared" si="77"/>
        <v>260.56951455965702</v>
      </c>
      <c r="O141" s="66">
        <v>60</v>
      </c>
      <c r="P141" s="3">
        <v>1.32</v>
      </c>
      <c r="Q141" s="7">
        <f t="shared" si="79"/>
        <v>0.36897125474947379</v>
      </c>
      <c r="R141" s="67">
        <f t="shared" si="80"/>
        <v>13.426342389412046</v>
      </c>
      <c r="S141" s="30">
        <v>120</v>
      </c>
      <c r="T141" s="3">
        <v>3.008</v>
      </c>
      <c r="U141" s="7">
        <f t="shared" si="81"/>
        <v>0.84080722294425525</v>
      </c>
      <c r="V141" s="67">
        <f t="shared" si="82"/>
        <v>30.595786293448047</v>
      </c>
      <c r="W141" s="30">
        <v>180</v>
      </c>
      <c r="X141" s="3">
        <v>9.7010000000000005</v>
      </c>
      <c r="Y141" s="7">
        <f t="shared" si="83"/>
        <v>2.7116591987307914</v>
      </c>
      <c r="Z141" s="67">
        <f t="shared" si="84"/>
        <v>98.673445090671379</v>
      </c>
      <c r="AA141" s="69">
        <v>240</v>
      </c>
      <c r="AB141" s="113">
        <v>21.173999999999999</v>
      </c>
      <c r="AC141" s="7">
        <f t="shared" si="85"/>
        <v>5.9186343545949667</v>
      </c>
      <c r="AD141" s="67">
        <f t="shared" si="86"/>
        <v>215.37073769197769</v>
      </c>
      <c r="AE141" s="70">
        <f t="shared" si="87"/>
        <v>13.426342389412046</v>
      </c>
      <c r="AF141" s="70">
        <f t="shared" si="88"/>
        <v>30.595786293448047</v>
      </c>
      <c r="AG141" s="70">
        <f t="shared" si="89"/>
        <v>98.673445090671379</v>
      </c>
      <c r="AH141" s="70">
        <f t="shared" si="90"/>
        <v>215.37073769197769</v>
      </c>
      <c r="AI141" s="71">
        <f t="shared" si="91"/>
        <v>0.90165737214158448</v>
      </c>
      <c r="AJ141" s="72">
        <f t="shared" si="92"/>
        <v>1.123184741174867</v>
      </c>
      <c r="AK141" s="73">
        <f t="shared" si="93"/>
        <v>67.391084470492018</v>
      </c>
    </row>
    <row r="142" spans="1:37">
      <c r="A142" s="3">
        <f>'Exptl Setup'!A243</f>
        <v>236</v>
      </c>
      <c r="B142" s="3" t="str">
        <f>'Exptl Setup'!C243</f>
        <v>b</v>
      </c>
      <c r="C142" s="3">
        <f>'Exptl Setup'!D243</f>
        <v>48</v>
      </c>
      <c r="D142" s="3" t="str">
        <f>'Exptl Setup'!E243</f>
        <v>-</v>
      </c>
      <c r="E142" s="111">
        <f>'Exptl Setup'!K243</f>
        <v>19.991862113818897</v>
      </c>
      <c r="F142" s="63">
        <f>'Exptl Setup'!F243</f>
        <v>32.01</v>
      </c>
      <c r="G142" s="64">
        <f>'Exptl Setup'!$C$5</f>
        <v>1.2793390913194711</v>
      </c>
      <c r="H142" s="7">
        <f t="shared" si="74"/>
        <v>25.020731577103508</v>
      </c>
      <c r="I142" s="8">
        <f t="shared" si="78"/>
        <v>9.4417855007937774</v>
      </c>
      <c r="J142" s="8">
        <f t="shared" si="75"/>
        <v>6.9892684228964903</v>
      </c>
      <c r="K142" s="8">
        <f>'Exptl Setup'!H243+'Exptl Setup'!I243+'Exptl Setup'!J243+5</f>
        <v>23.003024686832859</v>
      </c>
      <c r="L142" s="8">
        <f t="shared" si="76"/>
        <v>29.992293109729349</v>
      </c>
      <c r="M142" s="44">
        <v>300</v>
      </c>
      <c r="N142" s="65">
        <f t="shared" si="77"/>
        <v>260.5659213894769</v>
      </c>
      <c r="O142" s="66">
        <v>60</v>
      </c>
      <c r="P142" s="3">
        <v>1.3640000000000001</v>
      </c>
      <c r="Q142" s="7">
        <f t="shared" si="79"/>
        <v>0.38126671306590249</v>
      </c>
      <c r="R142" s="67">
        <f t="shared" si="80"/>
        <v>13.870722800733947</v>
      </c>
      <c r="S142" s="30">
        <v>120</v>
      </c>
      <c r="T142" s="3">
        <v>1.9690000000000001</v>
      </c>
      <c r="U142" s="7">
        <f t="shared" si="81"/>
        <v>0.55037694869997211</v>
      </c>
      <c r="V142" s="67">
        <f t="shared" si="82"/>
        <v>20.023059526865939</v>
      </c>
      <c r="W142" s="30">
        <v>180</v>
      </c>
      <c r="X142" s="3">
        <v>2.3420000000000001</v>
      </c>
      <c r="Y142" s="7">
        <f t="shared" si="83"/>
        <v>0.65463830058676209</v>
      </c>
      <c r="Z142" s="67">
        <f t="shared" si="84"/>
        <v>23.816153078679541</v>
      </c>
      <c r="AA142" s="69">
        <v>240</v>
      </c>
      <c r="AB142" s="113">
        <v>2.984</v>
      </c>
      <c r="AC142" s="7">
        <f t="shared" si="85"/>
        <v>0.83409081509432037</v>
      </c>
      <c r="AD142" s="67">
        <f t="shared" si="86"/>
        <v>30.344748414508871</v>
      </c>
      <c r="AE142" s="70">
        <f t="shared" si="87"/>
        <v>13.870722800733947</v>
      </c>
      <c r="AF142" s="70">
        <f t="shared" si="88"/>
        <v>20.023059526865939</v>
      </c>
      <c r="AG142" s="70">
        <f t="shared" si="89"/>
        <v>23.816153078679541</v>
      </c>
      <c r="AH142" s="70">
        <f t="shared" si="90"/>
        <v>30.344748414508871</v>
      </c>
      <c r="AI142" s="71">
        <f t="shared" si="91"/>
        <v>0.99067199404098094</v>
      </c>
      <c r="AJ142" s="72">
        <f t="shared" si="92"/>
        <v>8.8691950655230611E-2</v>
      </c>
      <c r="AK142" s="73">
        <f t="shared" si="93"/>
        <v>5.3215170393138367</v>
      </c>
    </row>
    <row r="143" spans="1:37">
      <c r="A143" s="3">
        <f>'Exptl Setup'!A244</f>
        <v>237</v>
      </c>
      <c r="B143" s="3" t="str">
        <f>'Exptl Setup'!C244</f>
        <v>c</v>
      </c>
      <c r="C143" s="3">
        <f>'Exptl Setup'!D244</f>
        <v>48</v>
      </c>
      <c r="D143" s="3" t="str">
        <f>'Exptl Setup'!E244</f>
        <v>-</v>
      </c>
      <c r="E143" s="111">
        <f>'Exptl Setup'!K244</f>
        <v>19.999359530700133</v>
      </c>
      <c r="F143" s="63">
        <f>'Exptl Setup'!F244</f>
        <v>31.998000000000001</v>
      </c>
      <c r="G143" s="64">
        <f>'Exptl Setup'!$C$5</f>
        <v>1.2793390913194711</v>
      </c>
      <c r="H143" s="7">
        <f t="shared" si="74"/>
        <v>25.011351733963078</v>
      </c>
      <c r="I143" s="8">
        <f t="shared" si="78"/>
        <v>9.4382459373445577</v>
      </c>
      <c r="J143" s="8">
        <f t="shared" si="75"/>
        <v>6.9866482660369229</v>
      </c>
      <c r="K143" s="8">
        <f>'Exptl Setup'!H244+'Exptl Setup'!I244+'Exptl Setup'!J244+5</f>
        <v>23.003024686832859</v>
      </c>
      <c r="L143" s="8">
        <f t="shared" si="76"/>
        <v>29.989672952869782</v>
      </c>
      <c r="M143" s="44">
        <v>300</v>
      </c>
      <c r="N143" s="65">
        <f t="shared" si="77"/>
        <v>260.57208110978564</v>
      </c>
      <c r="O143" s="66">
        <v>60</v>
      </c>
      <c r="P143" s="3">
        <v>0.76800000000000002</v>
      </c>
      <c r="Q143" s="7">
        <f t="shared" si="79"/>
        <v>0.21467562579148752</v>
      </c>
      <c r="R143" s="67">
        <f t="shared" si="80"/>
        <v>7.8129632221363225</v>
      </c>
      <c r="S143" s="30">
        <v>120</v>
      </c>
      <c r="T143" s="3">
        <v>1.5289999999999999</v>
      </c>
      <c r="U143" s="7">
        <f t="shared" si="81"/>
        <v>0.42739457270206299</v>
      </c>
      <c r="V143" s="67">
        <f t="shared" si="82"/>
        <v>15.554714539904214</v>
      </c>
      <c r="W143" s="30">
        <v>180</v>
      </c>
      <c r="X143" s="3">
        <v>2.7989999999999999</v>
      </c>
      <c r="Y143" s="7">
        <f t="shared" si="83"/>
        <v>0.78239202681038222</v>
      </c>
      <c r="Z143" s="67">
        <f t="shared" si="84"/>
        <v>28.474588618176519</v>
      </c>
      <c r="AA143" s="69">
        <v>240</v>
      </c>
      <c r="AB143" s="113">
        <v>3.9420000000000002</v>
      </c>
      <c r="AC143" s="7">
        <f t="shared" si="85"/>
        <v>1.1018897355078696</v>
      </c>
      <c r="AD143" s="67">
        <f t="shared" si="86"/>
        <v>40.102475288621598</v>
      </c>
      <c r="AE143" s="70">
        <f t="shared" si="87"/>
        <v>7.8129632221363225</v>
      </c>
      <c r="AF143" s="70">
        <f t="shared" si="88"/>
        <v>15.554714539904214</v>
      </c>
      <c r="AG143" s="70">
        <f t="shared" si="89"/>
        <v>28.474588618176519</v>
      </c>
      <c r="AH143" s="70">
        <f t="shared" si="90"/>
        <v>40.102475288621598</v>
      </c>
      <c r="AI143" s="71">
        <f t="shared" si="91"/>
        <v>0.99035626962880863</v>
      </c>
      <c r="AJ143" s="72">
        <f t="shared" si="92"/>
        <v>0.18298068379621354</v>
      </c>
      <c r="AK143" s="73">
        <f t="shared" si="93"/>
        <v>10.978841027772813</v>
      </c>
    </row>
  </sheetData>
  <mergeCells count="7">
    <mergeCell ref="AE22:AJ22"/>
    <mergeCell ref="A16:G16"/>
    <mergeCell ref="A17:G17"/>
    <mergeCell ref="A18:G18"/>
    <mergeCell ref="A19:G19"/>
    <mergeCell ref="A20:G20"/>
    <mergeCell ref="A21:G21"/>
  </mergeCells>
  <phoneticPr fontId="46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BF122"/>
  <sheetViews>
    <sheetView workbookViewId="0">
      <pane xSplit="1" topLeftCell="B1" activePane="topRight" state="frozen"/>
      <selection pane="topRight" activeCell="R2" sqref="R2:BA15"/>
    </sheetView>
  </sheetViews>
  <sheetFormatPr defaultColWidth="14.42578125" defaultRowHeight="12.75"/>
  <cols>
    <col min="1" max="1" width="4" style="3" bestFit="1" customWidth="1"/>
    <col min="2" max="2" width="9.85546875" style="3" bestFit="1" customWidth="1"/>
    <col min="3" max="3" width="4" style="3" bestFit="1" customWidth="1"/>
    <col min="4" max="4" width="4.85546875" style="3" bestFit="1" customWidth="1"/>
    <col min="5" max="5" width="8.85546875" style="3" bestFit="1" customWidth="1"/>
    <col min="6" max="6" width="10.85546875" style="3" bestFit="1" customWidth="1"/>
    <col min="7" max="7" width="5.42578125" style="3" bestFit="1" customWidth="1"/>
    <col min="8" max="8" width="14" style="3" bestFit="1" customWidth="1"/>
    <col min="9" max="9" width="7.42578125" style="107" bestFit="1" customWidth="1"/>
    <col min="10" max="10" width="9" style="3" customWidth="1"/>
    <col min="11" max="11" width="17" style="3" bestFit="1" customWidth="1"/>
    <col min="12" max="12" width="16.42578125" style="3" bestFit="1" customWidth="1"/>
    <col min="13" max="15" width="8.85546875" style="107" bestFit="1" customWidth="1"/>
    <col min="16" max="16" width="8.85546875" style="3" bestFit="1" customWidth="1"/>
    <col min="17" max="17" width="14.42578125" style="3"/>
    <col min="18" max="18" width="12" style="3" customWidth="1"/>
    <col min="19" max="19" width="9.28515625" style="3" bestFit="1" customWidth="1"/>
    <col min="20" max="23" width="3.42578125" style="3" customWidth="1"/>
    <col min="24" max="24" width="6.28515625" style="3" customWidth="1"/>
    <col min="25" max="26" width="6.42578125" style="3" bestFit="1" customWidth="1"/>
    <col min="27" max="27" width="5.42578125" style="3" customWidth="1"/>
    <col min="28" max="28" width="5.42578125" style="3" bestFit="1" customWidth="1"/>
    <col min="29" max="29" width="10.7109375" style="3" customWidth="1"/>
    <col min="30" max="30" width="4" style="3" customWidth="1"/>
    <col min="31" max="31" width="4.42578125" style="3" customWidth="1"/>
    <col min="32" max="32" width="4" style="3" customWidth="1"/>
    <col min="33" max="33" width="3.42578125" style="3" customWidth="1"/>
    <col min="34" max="34" width="6.28515625" style="3" customWidth="1"/>
    <col min="35" max="38" width="3.42578125" style="3" customWidth="1"/>
    <col min="39" max="39" width="6.28515625" style="3" customWidth="1"/>
    <col min="40" max="43" width="3.42578125" style="3" customWidth="1"/>
    <col min="44" max="44" width="6.5703125" style="3" customWidth="1"/>
    <col min="45" max="48" width="4.42578125" style="3" customWidth="1"/>
    <col min="49" max="49" width="8.28515625" style="3" customWidth="1"/>
    <col min="50" max="50" width="5.42578125" style="3" customWidth="1"/>
    <col min="51" max="51" width="6.42578125" style="3" customWidth="1"/>
    <col min="52" max="53" width="5.42578125" style="3" customWidth="1"/>
    <col min="54" max="54" width="14" style="3" customWidth="1"/>
    <col min="55" max="58" width="3.42578125" style="3" customWidth="1"/>
    <col min="59" max="16384" width="14.42578125" style="3"/>
  </cols>
  <sheetData>
    <row r="1" spans="1:58" ht="26.25">
      <c r="R1" s="250"/>
      <c r="S1" s="247" t="s">
        <v>189</v>
      </c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9"/>
      <c r="BB1"/>
      <c r="BC1"/>
      <c r="BD1"/>
      <c r="BE1"/>
      <c r="BF1"/>
    </row>
    <row r="2" spans="1:58" ht="42.75">
      <c r="A2" s="9" t="s">
        <v>59</v>
      </c>
      <c r="B2" s="10" t="s">
        <v>60</v>
      </c>
      <c r="C2" s="11" t="s">
        <v>61</v>
      </c>
      <c r="D2" s="11" t="s">
        <v>79</v>
      </c>
      <c r="E2" s="11" t="s">
        <v>80</v>
      </c>
      <c r="F2" s="11" t="s">
        <v>62</v>
      </c>
      <c r="G2" s="11" t="s">
        <v>63</v>
      </c>
      <c r="H2" s="12" t="s">
        <v>67</v>
      </c>
      <c r="I2" s="10" t="s">
        <v>68</v>
      </c>
      <c r="J2" s="10" t="s">
        <v>45</v>
      </c>
      <c r="K2" s="13" t="s">
        <v>69</v>
      </c>
      <c r="L2" s="13" t="s">
        <v>70</v>
      </c>
      <c r="M2" s="10" t="s">
        <v>71</v>
      </c>
      <c r="N2" s="10" t="s">
        <v>72</v>
      </c>
      <c r="O2" s="10" t="s">
        <v>91</v>
      </c>
      <c r="P2" s="10" t="s">
        <v>73</v>
      </c>
      <c r="R2" s="276"/>
      <c r="S2" s="288" t="s">
        <v>191</v>
      </c>
      <c r="T2" s="289"/>
      <c r="U2" s="289"/>
      <c r="V2" s="289"/>
      <c r="W2" s="289"/>
      <c r="X2" s="288" t="s">
        <v>192</v>
      </c>
      <c r="Y2" s="289"/>
      <c r="Z2" s="289"/>
      <c r="AA2" s="289"/>
      <c r="AB2" s="289"/>
      <c r="AC2" s="288" t="s">
        <v>37</v>
      </c>
      <c r="AD2" s="289"/>
      <c r="AE2" s="289"/>
      <c r="AF2" s="289"/>
      <c r="AG2" s="289"/>
      <c r="AH2" s="288" t="s">
        <v>193</v>
      </c>
      <c r="AI2" s="289"/>
      <c r="AJ2" s="289"/>
      <c r="AK2" s="289"/>
      <c r="AL2" s="289"/>
      <c r="AM2" s="288" t="s">
        <v>194</v>
      </c>
      <c r="AN2" s="289"/>
      <c r="AO2" s="289"/>
      <c r="AP2" s="289"/>
      <c r="AQ2" s="289"/>
      <c r="AR2" s="288" t="s">
        <v>195</v>
      </c>
      <c r="AS2" s="289"/>
      <c r="AT2" s="289"/>
      <c r="AU2" s="289"/>
      <c r="AV2" s="289"/>
      <c r="AW2" s="288" t="s">
        <v>196</v>
      </c>
      <c r="AX2" s="289"/>
      <c r="AY2" s="289"/>
      <c r="AZ2" s="289"/>
      <c r="BA2" s="290"/>
      <c r="BB2"/>
      <c r="BC2"/>
      <c r="BD2"/>
      <c r="BE2"/>
      <c r="BF2"/>
    </row>
    <row r="3" spans="1:58" ht="15">
      <c r="A3" s="14">
        <f>'Exptl Setup'!A8</f>
        <v>1</v>
      </c>
      <c r="B3" s="14" t="str">
        <f>'Exptl Setup'!B8</f>
        <v>MTT No Till</v>
      </c>
      <c r="C3" s="14" t="str">
        <f>'Exptl Setup'!C8</f>
        <v>a</v>
      </c>
      <c r="D3" s="14">
        <f>'Exptl Setup'!D8</f>
        <v>16</v>
      </c>
      <c r="E3" s="14" t="str">
        <f>'Exptl Setup'!E8</f>
        <v>+</v>
      </c>
      <c r="F3" s="14">
        <f>'Exptl Setup'!F8</f>
        <v>32.000999999999998</v>
      </c>
      <c r="G3" s="17">
        <f>'Exptl Setup'!G8</f>
        <v>25.003144583818834</v>
      </c>
      <c r="H3" s="26">
        <v>0</v>
      </c>
      <c r="I3" s="18">
        <v>4.7300000000000004</v>
      </c>
      <c r="J3" s="18">
        <v>4.54</v>
      </c>
      <c r="K3" s="20">
        <f>DEA!AK24</f>
        <v>80.41479223688107</v>
      </c>
      <c r="L3" s="19">
        <f>'CO2 - predicted from measured'!AY9</f>
        <v>0.43819252055240532</v>
      </c>
      <c r="M3" s="19">
        <v>39.43</v>
      </c>
      <c r="N3" s="19">
        <v>2.2184999999999997</v>
      </c>
      <c r="O3" s="19">
        <v>1.0765000000000029</v>
      </c>
      <c r="P3" s="19">
        <v>51.660000000000004</v>
      </c>
      <c r="R3" s="275" t="s">
        <v>188</v>
      </c>
      <c r="S3" s="250">
        <v>16</v>
      </c>
      <c r="T3" s="251">
        <v>24</v>
      </c>
      <c r="U3" s="251">
        <v>32</v>
      </c>
      <c r="V3" s="251">
        <v>40</v>
      </c>
      <c r="W3" s="251">
        <v>48</v>
      </c>
      <c r="X3" s="250">
        <v>16</v>
      </c>
      <c r="Y3" s="251">
        <v>24</v>
      </c>
      <c r="Z3" s="251">
        <v>32</v>
      </c>
      <c r="AA3" s="251">
        <v>40</v>
      </c>
      <c r="AB3" s="251">
        <v>48</v>
      </c>
      <c r="AC3" s="250">
        <v>16</v>
      </c>
      <c r="AD3" s="251">
        <v>24</v>
      </c>
      <c r="AE3" s="251">
        <v>32</v>
      </c>
      <c r="AF3" s="251">
        <v>40</v>
      </c>
      <c r="AG3" s="251">
        <v>48</v>
      </c>
      <c r="AH3" s="250">
        <v>16</v>
      </c>
      <c r="AI3" s="251">
        <v>24</v>
      </c>
      <c r="AJ3" s="251">
        <v>32</v>
      </c>
      <c r="AK3" s="251">
        <v>40</v>
      </c>
      <c r="AL3" s="251">
        <v>48</v>
      </c>
      <c r="AM3" s="250">
        <v>16</v>
      </c>
      <c r="AN3" s="251">
        <v>24</v>
      </c>
      <c r="AO3" s="251">
        <v>32</v>
      </c>
      <c r="AP3" s="251">
        <v>40</v>
      </c>
      <c r="AQ3" s="251">
        <v>48</v>
      </c>
      <c r="AR3" s="250">
        <v>16</v>
      </c>
      <c r="AS3" s="251">
        <v>24</v>
      </c>
      <c r="AT3" s="251">
        <v>32</v>
      </c>
      <c r="AU3" s="251">
        <v>40</v>
      </c>
      <c r="AV3" s="251">
        <v>48</v>
      </c>
      <c r="AW3" s="250">
        <v>16</v>
      </c>
      <c r="AX3" s="251">
        <v>24</v>
      </c>
      <c r="AY3" s="251">
        <v>32</v>
      </c>
      <c r="AZ3" s="251">
        <v>40</v>
      </c>
      <c r="BA3" s="252">
        <v>48</v>
      </c>
      <c r="BB3"/>
      <c r="BC3"/>
      <c r="BD3"/>
      <c r="BE3"/>
      <c r="BF3"/>
    </row>
    <row r="4" spans="1:58" ht="15">
      <c r="A4" s="14">
        <f>'Exptl Setup'!A9</f>
        <v>2</v>
      </c>
      <c r="B4" s="14" t="str">
        <f>'Exptl Setup'!B9</f>
        <v>MTT No Till</v>
      </c>
      <c r="C4" s="14" t="str">
        <f>'Exptl Setup'!C9</f>
        <v>b</v>
      </c>
      <c r="D4" s="14">
        <f>'Exptl Setup'!D9</f>
        <v>16</v>
      </c>
      <c r="E4" s="14" t="str">
        <f>'Exptl Setup'!E9</f>
        <v>+</v>
      </c>
      <c r="F4" s="14">
        <f>'Exptl Setup'!F9</f>
        <v>32.003</v>
      </c>
      <c r="G4" s="17">
        <f>'Exptl Setup'!G9</f>
        <v>25.004707231522584</v>
      </c>
      <c r="H4" s="26">
        <v>0</v>
      </c>
      <c r="I4" s="18">
        <v>4.7699999999999996</v>
      </c>
      <c r="J4" s="18">
        <v>4.46</v>
      </c>
      <c r="K4" s="20">
        <f>DEA!AK25</f>
        <v>78.310159133396454</v>
      </c>
      <c r="L4" s="19">
        <f>'CO2 - predicted from measured'!AY10</f>
        <v>0.41566544226439434</v>
      </c>
      <c r="M4" s="19">
        <v>39.784999999999997</v>
      </c>
      <c r="N4" s="19">
        <v>1.9364999999999999</v>
      </c>
      <c r="O4" s="19">
        <v>3.0035000000000025</v>
      </c>
      <c r="P4" s="19">
        <v>41.730000000000004</v>
      </c>
      <c r="R4" s="277">
        <v>0</v>
      </c>
      <c r="S4" s="278">
        <v>0.11214573851315388</v>
      </c>
      <c r="T4" s="279">
        <v>8.7730648388482421E-2</v>
      </c>
      <c r="U4" s="279">
        <v>9.5219045713962849E-2</v>
      </c>
      <c r="V4" s="279">
        <v>8.7958323464414345E-2</v>
      </c>
      <c r="W4" s="279">
        <v>9.5428856572133694E-2</v>
      </c>
      <c r="X4" s="278">
        <v>3.680722532195932</v>
      </c>
      <c r="Y4" s="279">
        <v>7.0280803857933343</v>
      </c>
      <c r="Z4" s="279">
        <v>3.6368055499034799</v>
      </c>
      <c r="AA4" s="279">
        <v>6.5107622369042941</v>
      </c>
      <c r="AB4" s="279">
        <v>14.190128518454026</v>
      </c>
      <c r="AC4" s="278">
        <v>1.3794914724105614</v>
      </c>
      <c r="AD4" s="279">
        <v>2.4194189915175839</v>
      </c>
      <c r="AE4" s="279">
        <v>3.4345353858241343</v>
      </c>
      <c r="AF4" s="279">
        <v>1.1985245100014466</v>
      </c>
      <c r="AG4" s="279">
        <v>1.7529108699892382</v>
      </c>
      <c r="AH4" s="278">
        <v>0.44858295405291965</v>
      </c>
      <c r="AI4" s="279">
        <v>0.50738956105382338</v>
      </c>
      <c r="AJ4" s="279">
        <v>0.81096650156882155</v>
      </c>
      <c r="AK4" s="279">
        <v>0.53449976613692884</v>
      </c>
      <c r="AL4" s="279">
        <v>0.70322412264272716</v>
      </c>
      <c r="AM4" s="278">
        <v>0.25100630802166374</v>
      </c>
      <c r="AN4" s="279">
        <v>1.7340703561305872E-2</v>
      </c>
      <c r="AO4" s="279">
        <v>0.22092836320097728</v>
      </c>
      <c r="AP4" s="279">
        <v>0.38605940820897527</v>
      </c>
      <c r="AQ4" s="279">
        <v>0.23168987893302426</v>
      </c>
      <c r="AR4" s="278">
        <v>1.9005269444726827</v>
      </c>
      <c r="AS4" s="279">
        <v>1.9264042583701519</v>
      </c>
      <c r="AT4" s="279">
        <v>1.1364032478247637</v>
      </c>
      <c r="AU4" s="279">
        <v>2.4832168384308781</v>
      </c>
      <c r="AV4" s="279">
        <v>2.6396774171604136</v>
      </c>
      <c r="AW4" s="278">
        <v>8.0697352290311724</v>
      </c>
      <c r="AX4" s="279">
        <v>7.064083804712376</v>
      </c>
      <c r="AY4" s="279">
        <v>2.9851192047667841</v>
      </c>
      <c r="AZ4" s="279">
        <v>0.59442128719110288</v>
      </c>
      <c r="BA4" s="285">
        <v>2.7851229775360609</v>
      </c>
      <c r="BB4"/>
      <c r="BC4"/>
      <c r="BD4"/>
      <c r="BE4"/>
      <c r="BF4"/>
    </row>
    <row r="5" spans="1:58" ht="15">
      <c r="A5" s="14">
        <f>'Exptl Setup'!A10</f>
        <v>3</v>
      </c>
      <c r="B5" s="14" t="str">
        <f>'Exptl Setup'!B10</f>
        <v>MTT No Till</v>
      </c>
      <c r="C5" s="14" t="str">
        <f>'Exptl Setup'!C10</f>
        <v>c</v>
      </c>
      <c r="D5" s="14">
        <f>'Exptl Setup'!D10</f>
        <v>16</v>
      </c>
      <c r="E5" s="14" t="str">
        <f>'Exptl Setup'!E10</f>
        <v>+</v>
      </c>
      <c r="F5" s="14">
        <f>'Exptl Setup'!F10</f>
        <v>31.997</v>
      </c>
      <c r="G5" s="17">
        <f>'Exptl Setup'!G10</f>
        <v>25.000019288411337</v>
      </c>
      <c r="H5" s="26">
        <v>0</v>
      </c>
      <c r="I5" s="18">
        <v>4.9400000000000004</v>
      </c>
      <c r="J5" s="18">
        <v>4.54</v>
      </c>
      <c r="K5" s="20">
        <f>DEA!AK26</f>
        <v>80.869857208166266</v>
      </c>
      <c r="L5" s="19">
        <f>'CO2 - predicted from measured'!AY11</f>
        <v>0.43388114806897393</v>
      </c>
      <c r="M5" s="19">
        <v>38.6</v>
      </c>
      <c r="N5" s="19">
        <v>1.7449999999999999</v>
      </c>
      <c r="O5" s="19">
        <v>1.3900000000000006</v>
      </c>
      <c r="P5" s="19">
        <v>42.190000000000005</v>
      </c>
      <c r="R5" s="257" t="s">
        <v>82</v>
      </c>
      <c r="S5" s="280">
        <v>4.61880215350906E-2</v>
      </c>
      <c r="T5" s="281">
        <v>3.0550504633080861E-2</v>
      </c>
      <c r="U5" s="281">
        <v>1.5275252316540431E-2</v>
      </c>
      <c r="V5" s="281">
        <v>1.5275252316540431E-2</v>
      </c>
      <c r="W5" s="281">
        <v>8.0829037686570626E-2</v>
      </c>
      <c r="X5" s="280">
        <v>2.3109341631143487</v>
      </c>
      <c r="Y5" s="281">
        <v>10.302124767997444</v>
      </c>
      <c r="Z5" s="281">
        <v>3.2939071355452016</v>
      </c>
      <c r="AA5" s="281">
        <v>4.0081654799711002</v>
      </c>
      <c r="AB5" s="281">
        <v>13.031068765452547</v>
      </c>
      <c r="AC5" s="280">
        <v>1.1885413627649968</v>
      </c>
      <c r="AD5" s="281">
        <v>2.3651125145520528</v>
      </c>
      <c r="AE5" s="281">
        <v>3.0764041233406503</v>
      </c>
      <c r="AF5" s="281">
        <v>0.90644706107312345</v>
      </c>
      <c r="AG5" s="281">
        <v>1.7413665253234081</v>
      </c>
      <c r="AH5" s="280">
        <v>0.33645207682488576</v>
      </c>
      <c r="AI5" s="281">
        <v>0.29984718330070942</v>
      </c>
      <c r="AJ5" s="281">
        <v>0.97821691527698151</v>
      </c>
      <c r="AK5" s="281">
        <v>0.38256807673067805</v>
      </c>
      <c r="AL5" s="281">
        <v>1.0042700500029786</v>
      </c>
      <c r="AM5" s="280">
        <v>0.28303768889201458</v>
      </c>
      <c r="AN5" s="281">
        <v>1.2489995996887486E-2</v>
      </c>
      <c r="AO5" s="281">
        <v>0.1374372584126822</v>
      </c>
      <c r="AP5" s="281">
        <v>5.1147662051484355E-2</v>
      </c>
      <c r="AQ5" s="281">
        <v>0.36093951478513964</v>
      </c>
      <c r="AR5" s="280">
        <v>1.0169564068008743</v>
      </c>
      <c r="AS5" s="281">
        <v>2.4957352290123449</v>
      </c>
      <c r="AT5" s="281">
        <v>1.042093565856727</v>
      </c>
      <c r="AU5" s="281">
        <v>3.2143558582293448</v>
      </c>
      <c r="AV5" s="281">
        <v>2.7387172788247685</v>
      </c>
      <c r="AW5" s="280">
        <v>9.9255747104806744</v>
      </c>
      <c r="AX5" s="281">
        <v>2.4152915628000655</v>
      </c>
      <c r="AY5" s="281">
        <v>3.0757167186420462</v>
      </c>
      <c r="AZ5" s="281">
        <v>0.47634021455079273</v>
      </c>
      <c r="BA5" s="286">
        <v>2.0606552355983476</v>
      </c>
      <c r="BB5"/>
      <c r="BC5"/>
      <c r="BD5"/>
      <c r="BE5"/>
      <c r="BF5"/>
    </row>
    <row r="6" spans="1:58" ht="15">
      <c r="A6" s="14">
        <f>'Exptl Setup'!A14</f>
        <v>7</v>
      </c>
      <c r="B6" s="14" t="str">
        <f>'Exptl Setup'!B14</f>
        <v>MTT No Till</v>
      </c>
      <c r="C6" s="14" t="str">
        <f>'Exptl Setup'!C14</f>
        <v>a</v>
      </c>
      <c r="D6" s="14">
        <f>'Exptl Setup'!D14</f>
        <v>16</v>
      </c>
      <c r="E6" s="14" t="str">
        <f>'Exptl Setup'!E14</f>
        <v>+</v>
      </c>
      <c r="F6" s="14">
        <f>'Exptl Setup'!F14</f>
        <v>31.997</v>
      </c>
      <c r="G6" s="17">
        <f>'Exptl Setup'!G14</f>
        <v>25.000019288411337</v>
      </c>
      <c r="H6" s="26">
        <v>6</v>
      </c>
      <c r="I6" s="18">
        <v>6.49</v>
      </c>
      <c r="J6" s="18">
        <v>4</v>
      </c>
      <c r="K6" s="20">
        <f>DEA!AK27</f>
        <v>480.57801043416748</v>
      </c>
      <c r="L6" s="19">
        <f>'CO2 - predicted from measured'!AY12</f>
        <v>1.4792835719274893</v>
      </c>
      <c r="M6" s="19">
        <v>30.695</v>
      </c>
      <c r="N6" s="19">
        <v>6.01</v>
      </c>
      <c r="O6" s="19">
        <v>16.919454148471623</v>
      </c>
      <c r="P6" s="19">
        <v>196</v>
      </c>
      <c r="R6" s="257" t="s">
        <v>81</v>
      </c>
      <c r="S6" s="280">
        <v>0.11150485789118769</v>
      </c>
      <c r="T6" s="281">
        <v>0.12999999999999881</v>
      </c>
      <c r="U6" s="281">
        <v>3.9999999999908976E-2</v>
      </c>
      <c r="V6" s="281">
        <v>0.10535653752852264</v>
      </c>
      <c r="W6" s="281">
        <v>7.3711147958362574E-2</v>
      </c>
      <c r="X6" s="280">
        <v>1.3655657473701142</v>
      </c>
      <c r="Y6" s="281">
        <v>3.5892798722560202</v>
      </c>
      <c r="Z6" s="281">
        <v>4.2623533173563848</v>
      </c>
      <c r="AA6" s="281">
        <v>8.6242813052294416</v>
      </c>
      <c r="AB6" s="281">
        <v>12.386474632218919</v>
      </c>
      <c r="AC6" s="280">
        <v>1.5704415820561257</v>
      </c>
      <c r="AD6" s="281">
        <v>2.4737254684831149</v>
      </c>
      <c r="AE6" s="281">
        <v>3.7926666483076192</v>
      </c>
      <c r="AF6" s="281">
        <v>1.4906019589297699</v>
      </c>
      <c r="AG6" s="281">
        <v>1.7644552146550687</v>
      </c>
      <c r="AH6" s="280">
        <v>0.60815979259814068</v>
      </c>
      <c r="AI6" s="281">
        <v>0.73082145562363798</v>
      </c>
      <c r="AJ6" s="281">
        <v>7.4999999998544814E-2</v>
      </c>
      <c r="AK6" s="281">
        <v>0.30308139720782629</v>
      </c>
      <c r="AL6" s="281">
        <v>0.32046840717910624</v>
      </c>
      <c r="AM6" s="280">
        <v>0.23818707633566646</v>
      </c>
      <c r="AN6" s="281">
        <v>1.7197383521953252E-2</v>
      </c>
      <c r="AO6" s="281">
        <v>0.31811371132557387</v>
      </c>
      <c r="AP6" s="281">
        <v>0.53694839913471915</v>
      </c>
      <c r="AQ6" s="281">
        <v>6.0737824568611307E-2</v>
      </c>
      <c r="AR6" s="280">
        <v>1.0340046340966436</v>
      </c>
      <c r="AS6" s="281">
        <v>1.6331735210932139</v>
      </c>
      <c r="AT6" s="281">
        <v>0.94149951318805158</v>
      </c>
      <c r="AU6" s="281">
        <v>1.5747452968654929</v>
      </c>
      <c r="AV6" s="281">
        <v>0.72510625658129102</v>
      </c>
      <c r="AW6" s="280">
        <v>5.6050185845663192</v>
      </c>
      <c r="AX6" s="281">
        <v>10.182683012513605</v>
      </c>
      <c r="AY6" s="281">
        <v>3.5490703007972617</v>
      </c>
      <c r="AZ6" s="281">
        <v>0.7881835657594578</v>
      </c>
      <c r="BA6" s="286">
        <v>3.8770994312759055</v>
      </c>
      <c r="BB6"/>
      <c r="BC6"/>
      <c r="BD6"/>
      <c r="BE6"/>
      <c r="BF6"/>
    </row>
    <row r="7" spans="1:58" ht="15">
      <c r="A7" s="14">
        <f>'Exptl Setup'!A15</f>
        <v>8</v>
      </c>
      <c r="B7" s="14" t="str">
        <f>'Exptl Setup'!B15</f>
        <v>MTT No Till</v>
      </c>
      <c r="C7" s="14" t="str">
        <f>'Exptl Setup'!C15</f>
        <v>b</v>
      </c>
      <c r="D7" s="14">
        <f>'Exptl Setup'!D15</f>
        <v>16</v>
      </c>
      <c r="E7" s="14" t="str">
        <f>'Exptl Setup'!E15</f>
        <v>+</v>
      </c>
      <c r="F7" s="14">
        <f>'Exptl Setup'!F15</f>
        <v>32.003999999999998</v>
      </c>
      <c r="G7" s="17">
        <f>'Exptl Setup'!G15</f>
        <v>25.005488555374455</v>
      </c>
      <c r="H7" s="26">
        <v>6</v>
      </c>
      <c r="I7" s="18">
        <v>6.49</v>
      </c>
      <c r="J7" s="18">
        <v>4.04</v>
      </c>
      <c r="K7" s="20">
        <f>DEA!AK28</f>
        <v>444.78497069648091</v>
      </c>
      <c r="L7" s="19">
        <f>'CO2 - predicted from measured'!AY13</f>
        <v>1.419170410772528</v>
      </c>
      <c r="M7" s="19">
        <v>30.16</v>
      </c>
      <c r="N7" s="19">
        <v>5.36</v>
      </c>
      <c r="O7" s="19">
        <v>12.824999999999999</v>
      </c>
      <c r="P7" s="19">
        <v>181.5</v>
      </c>
      <c r="R7" s="282">
        <v>6</v>
      </c>
      <c r="S7" s="280">
        <v>3.3266599866286509E-2</v>
      </c>
      <c r="T7" s="281">
        <v>6.3456021516195879E-2</v>
      </c>
      <c r="U7" s="281">
        <v>1.516575088844853E-2</v>
      </c>
      <c r="V7" s="281">
        <v>5.1672042731060359E-2</v>
      </c>
      <c r="W7" s="281">
        <v>4.6761807777925733E-2</v>
      </c>
      <c r="X7" s="280">
        <v>280.55246020149536</v>
      </c>
      <c r="Y7" s="281">
        <v>476.65688865243061</v>
      </c>
      <c r="Z7" s="281">
        <v>403.67302444569094</v>
      </c>
      <c r="AA7" s="281">
        <v>576.82651199792156</v>
      </c>
      <c r="AB7" s="281">
        <v>301.59324214780753</v>
      </c>
      <c r="AC7" s="280">
        <v>4.6552539120855672</v>
      </c>
      <c r="AD7" s="281">
        <v>6.3708135145553664</v>
      </c>
      <c r="AE7" s="281">
        <v>10.717781114425426</v>
      </c>
      <c r="AF7" s="281">
        <v>4.3643587036356912</v>
      </c>
      <c r="AG7" s="281">
        <v>3.7335972175888412</v>
      </c>
      <c r="AH7" s="280">
        <v>1.6722542171172976</v>
      </c>
      <c r="AI7" s="281">
        <v>0.62062401393011646</v>
      </c>
      <c r="AJ7" s="281">
        <v>1.0627448737429648</v>
      </c>
      <c r="AK7" s="281">
        <v>1.6409346929926278</v>
      </c>
      <c r="AL7" s="281">
        <v>3.435882346646919</v>
      </c>
      <c r="AM7" s="280">
        <v>2.4621102060360065</v>
      </c>
      <c r="AN7" s="281">
        <v>0.93488858516224249</v>
      </c>
      <c r="AO7" s="281">
        <v>0.84251261118156751</v>
      </c>
      <c r="AP7" s="281">
        <v>1.102848206539186</v>
      </c>
      <c r="AQ7" s="281">
        <v>1.7628641467793393</v>
      </c>
      <c r="AR7" s="280">
        <v>2.5709674587814453</v>
      </c>
      <c r="AS7" s="281">
        <v>4.901841881482043</v>
      </c>
      <c r="AT7" s="281">
        <v>3.8008412960601854</v>
      </c>
      <c r="AU7" s="281">
        <v>1.6260798761157944</v>
      </c>
      <c r="AV7" s="281">
        <v>3.90974667563039</v>
      </c>
      <c r="AW7" s="280">
        <v>8.4301047838486927</v>
      </c>
      <c r="AX7" s="281">
        <v>48.590287095262248</v>
      </c>
      <c r="AY7" s="281">
        <v>30.726627974228983</v>
      </c>
      <c r="AZ7" s="281">
        <v>35.304527566116327</v>
      </c>
      <c r="BA7" s="286">
        <v>40.228994518879155</v>
      </c>
      <c r="BB7"/>
      <c r="BC7"/>
      <c r="BD7"/>
      <c r="BE7"/>
      <c r="BF7"/>
    </row>
    <row r="8" spans="1:58" ht="15">
      <c r="A8" s="14">
        <f>'Exptl Setup'!A16</f>
        <v>9</v>
      </c>
      <c r="B8" s="14" t="str">
        <f>'Exptl Setup'!B16</f>
        <v>MTT No Till</v>
      </c>
      <c r="C8" s="14" t="str">
        <f>'Exptl Setup'!C16</f>
        <v>c</v>
      </c>
      <c r="D8" s="14">
        <f>'Exptl Setup'!D16</f>
        <v>16</v>
      </c>
      <c r="E8" s="14" t="str">
        <f>'Exptl Setup'!E16</f>
        <v>+</v>
      </c>
      <c r="F8" s="14">
        <f>'Exptl Setup'!F16</f>
        <v>32.01</v>
      </c>
      <c r="G8" s="17">
        <f>'Exptl Setup'!G16</f>
        <v>25.010176498485698</v>
      </c>
      <c r="H8" s="26">
        <v>6</v>
      </c>
      <c r="I8" s="18">
        <v>6.52</v>
      </c>
      <c r="J8" s="18">
        <v>4.04</v>
      </c>
      <c r="K8" s="20">
        <f>DEA!AK29</f>
        <v>697.71871209530548</v>
      </c>
      <c r="L8" s="19">
        <f>'CO2 - predicted from measured'!AY14</f>
        <v>1.8351635633196883</v>
      </c>
      <c r="M8" s="19">
        <v>26.145</v>
      </c>
      <c r="N8" s="19">
        <v>11.73</v>
      </c>
      <c r="O8" s="19">
        <v>10.635000000000002</v>
      </c>
      <c r="P8" s="19">
        <v>206.9</v>
      </c>
      <c r="R8" s="257" t="s">
        <v>82</v>
      </c>
      <c r="S8" s="280">
        <v>2.8867513459222022E-2</v>
      </c>
      <c r="T8" s="281">
        <v>5.1316014394489816E-2</v>
      </c>
      <c r="U8" s="281">
        <v>1.1547005383984175E-2</v>
      </c>
      <c r="V8" s="281">
        <v>2.5166114784371207E-2</v>
      </c>
      <c r="W8" s="281">
        <v>5.033222956846007E-2</v>
      </c>
      <c r="X8" s="280">
        <v>7.5385350926105108</v>
      </c>
      <c r="Y8" s="281">
        <v>7.7387837870757838</v>
      </c>
      <c r="Z8" s="281">
        <v>27.437675362597734</v>
      </c>
      <c r="AA8" s="281">
        <v>52.159421967157272</v>
      </c>
      <c r="AB8" s="281">
        <v>0.93199396686551939</v>
      </c>
      <c r="AC8" s="280">
        <v>4.1374797375185741</v>
      </c>
      <c r="AD8" s="281">
        <v>6.2154741450851292</v>
      </c>
      <c r="AE8" s="281">
        <v>7.9026834068330176</v>
      </c>
      <c r="AF8" s="281">
        <v>4.2765028745462379</v>
      </c>
      <c r="AG8" s="281">
        <v>3.842737286293016</v>
      </c>
      <c r="AH8" s="280">
        <v>0.859946703774778</v>
      </c>
      <c r="AI8" s="281">
        <v>0.25309747792683202</v>
      </c>
      <c r="AJ8" s="281">
        <v>1.5174100742163465</v>
      </c>
      <c r="AK8" s="281">
        <v>1.3399378095021608</v>
      </c>
      <c r="AL8" s="281">
        <v>4.5116044817780558</v>
      </c>
      <c r="AM8" s="280">
        <v>0.23592018424318995</v>
      </c>
      <c r="AN8" s="281">
        <v>0.43661577311558919</v>
      </c>
      <c r="AO8" s="281">
        <v>0.84012399878430022</v>
      </c>
      <c r="AP8" s="281">
        <v>1.5442338985183901</v>
      </c>
      <c r="AQ8" s="281">
        <v>1.2770963158665858</v>
      </c>
      <c r="AR8" s="280">
        <v>1.6586666331725752</v>
      </c>
      <c r="AS8" s="281">
        <v>1.0401282773590546</v>
      </c>
      <c r="AT8" s="281">
        <v>2.3145009602002995</v>
      </c>
      <c r="AU8" s="281">
        <v>0.83642991862542171</v>
      </c>
      <c r="AV8" s="281">
        <v>3.5059653101062294</v>
      </c>
      <c r="AW8" s="280">
        <v>2.2007574453652361</v>
      </c>
      <c r="AX8" s="281">
        <v>8.9029957504956343</v>
      </c>
      <c r="AY8" s="281">
        <v>14.628852768872001</v>
      </c>
      <c r="AZ8" s="281">
        <v>50.463980553790314</v>
      </c>
      <c r="BA8" s="286">
        <v>13.631336447074402</v>
      </c>
      <c r="BB8"/>
      <c r="BC8"/>
      <c r="BD8"/>
      <c r="BE8"/>
      <c r="BF8"/>
    </row>
    <row r="9" spans="1:58" ht="15">
      <c r="A9" s="14">
        <f>'Exptl Setup'!A20</f>
        <v>13</v>
      </c>
      <c r="B9" s="14" t="str">
        <f>'Exptl Setup'!B20</f>
        <v>MTT No Till</v>
      </c>
      <c r="C9" s="14" t="str">
        <f>'Exptl Setup'!C20</f>
        <v>a</v>
      </c>
      <c r="D9" s="14">
        <f>'Exptl Setup'!D20</f>
        <v>16</v>
      </c>
      <c r="E9" s="14" t="str">
        <f>'Exptl Setup'!E20</f>
        <v>+</v>
      </c>
      <c r="F9" s="14">
        <f>'Exptl Setup'!F20</f>
        <v>32</v>
      </c>
      <c r="G9" s="17">
        <f>'Exptl Setup'!G20</f>
        <v>25.002363259966963</v>
      </c>
      <c r="H9" s="26">
        <v>16</v>
      </c>
      <c r="I9" s="18">
        <v>8.4</v>
      </c>
      <c r="J9" s="18">
        <v>4.74</v>
      </c>
      <c r="K9" s="20">
        <f>DEA!AK30</f>
        <v>23.840191453488544</v>
      </c>
      <c r="L9" s="19">
        <f>'CO2 - predicted from measured'!AY15</f>
        <v>1.2819846088494611</v>
      </c>
      <c r="M9" s="19">
        <v>38.450000000000003</v>
      </c>
      <c r="N9" s="19">
        <v>19.87</v>
      </c>
      <c r="O9" s="19">
        <v>267.28000000000003</v>
      </c>
      <c r="P9" s="19">
        <v>4059.0000000000005</v>
      </c>
      <c r="R9" s="257" t="s">
        <v>81</v>
      </c>
      <c r="S9" s="280">
        <v>1.7320508075566031E-2</v>
      </c>
      <c r="T9" s="281">
        <v>8.6216781042464691E-2</v>
      </c>
      <c r="U9" s="281">
        <v>1.527525231677301E-2</v>
      </c>
      <c r="V9" s="281">
        <v>5.5075705472872098E-2</v>
      </c>
      <c r="W9" s="281">
        <v>1.5275252316307851E-2</v>
      </c>
      <c r="X9" s="280">
        <v>136.87384918819802</v>
      </c>
      <c r="Y9" s="281">
        <v>84.903360145571156</v>
      </c>
      <c r="Z9" s="281">
        <v>119.56642393424687</v>
      </c>
      <c r="AA9" s="281">
        <v>521.84397794794893</v>
      </c>
      <c r="AB9" s="281">
        <v>176.17305565440194</v>
      </c>
      <c r="AC9" s="280">
        <v>5.1730280866525602</v>
      </c>
      <c r="AD9" s="281">
        <v>6.5261528840256036</v>
      </c>
      <c r="AE9" s="281">
        <v>13.532878822017834</v>
      </c>
      <c r="AF9" s="281">
        <v>4.4522145327251446</v>
      </c>
      <c r="AG9" s="281">
        <v>3.6244571488846664</v>
      </c>
      <c r="AH9" s="280">
        <v>2.486930839408295</v>
      </c>
      <c r="AI9" s="281">
        <v>0.68655541169886691</v>
      </c>
      <c r="AJ9" s="281">
        <v>0.28987066081212126</v>
      </c>
      <c r="AK9" s="281">
        <v>0.62066496598387433</v>
      </c>
      <c r="AL9" s="281">
        <v>2.7015134647081944</v>
      </c>
      <c r="AM9" s="280">
        <v>3.5051818783053199</v>
      </c>
      <c r="AN9" s="281">
        <v>1.1776707236461887</v>
      </c>
      <c r="AO9" s="281">
        <v>0.63906833228800308</v>
      </c>
      <c r="AP9" s="281">
        <v>0.3648401476446278</v>
      </c>
      <c r="AQ9" s="281">
        <v>2.3861213296896664</v>
      </c>
      <c r="AR9" s="280">
        <v>3.1899586914299962</v>
      </c>
      <c r="AS9" s="281">
        <v>0.75555417217962406</v>
      </c>
      <c r="AT9" s="281">
        <v>5.4584463803657002</v>
      </c>
      <c r="AU9" s="281">
        <v>1.4658021199769939</v>
      </c>
      <c r="AV9" s="281">
        <v>4.6645823100258639</v>
      </c>
      <c r="AW9" s="280">
        <v>12.742448744256444</v>
      </c>
      <c r="AX9" s="281">
        <v>56.100118835287169</v>
      </c>
      <c r="AY9" s="281">
        <v>3.9551653989847448</v>
      </c>
      <c r="AZ9" s="281">
        <v>9.584883932525635</v>
      </c>
      <c r="BA9" s="286">
        <v>59.17350195259155</v>
      </c>
      <c r="BB9"/>
      <c r="BC9"/>
      <c r="BD9"/>
      <c r="BE9"/>
      <c r="BF9"/>
    </row>
    <row r="10" spans="1:58" ht="15">
      <c r="A10" s="14">
        <f>'Exptl Setup'!A21</f>
        <v>14</v>
      </c>
      <c r="B10" s="14" t="str">
        <f>'Exptl Setup'!B21</f>
        <v>MTT No Till</v>
      </c>
      <c r="C10" s="14" t="str">
        <f>'Exptl Setup'!C21</f>
        <v>b</v>
      </c>
      <c r="D10" s="14">
        <f>'Exptl Setup'!D21</f>
        <v>16</v>
      </c>
      <c r="E10" s="14" t="str">
        <f>'Exptl Setup'!E21</f>
        <v>+</v>
      </c>
      <c r="F10" s="14">
        <f>'Exptl Setup'!F21</f>
        <v>31.995000000000001</v>
      </c>
      <c r="G10" s="17">
        <f>'Exptl Setup'!G21</f>
        <v>24.998456640707591</v>
      </c>
      <c r="H10" s="26">
        <v>16</v>
      </c>
      <c r="I10" s="18">
        <v>8.4</v>
      </c>
      <c r="J10" s="18">
        <v>4.8600000000000003</v>
      </c>
      <c r="K10" s="20">
        <f>DEA!AK31</f>
        <v>41.785127502911855</v>
      </c>
      <c r="L10" s="19">
        <f>'CO2 - predicted from measured'!AY16</f>
        <v>0.73171350050842188</v>
      </c>
      <c r="M10" s="19">
        <v>38.29</v>
      </c>
      <c r="N10" s="19">
        <v>18.95</v>
      </c>
      <c r="O10" s="19">
        <v>289.86</v>
      </c>
      <c r="P10" s="19">
        <v>4144</v>
      </c>
      <c r="R10" s="282">
        <v>16</v>
      </c>
      <c r="S10" s="280">
        <v>8.2401456297815964E-2</v>
      </c>
      <c r="T10" s="281">
        <v>4.8027769745079739E-2</v>
      </c>
      <c r="U10" s="281">
        <v>3.2710854467831091E-2</v>
      </c>
      <c r="V10" s="281">
        <v>5.4283207962046595E-2</v>
      </c>
      <c r="W10" s="281">
        <v>2.3664319132551043E-2</v>
      </c>
      <c r="X10" s="280">
        <v>13.464986176659346</v>
      </c>
      <c r="Y10" s="281">
        <v>1672.261198960696</v>
      </c>
      <c r="Z10" s="281">
        <v>1058.2032103406159</v>
      </c>
      <c r="AA10" s="281">
        <v>959.87254030075508</v>
      </c>
      <c r="AB10" s="281">
        <v>361.68982219214382</v>
      </c>
      <c r="AC10" s="280">
        <v>0.46246490659828821</v>
      </c>
      <c r="AD10" s="281">
        <v>2.3826872050673469</v>
      </c>
      <c r="AE10" s="281">
        <v>2.8379621856170396</v>
      </c>
      <c r="AF10" s="281">
        <v>1.8714497587638501</v>
      </c>
      <c r="AG10" s="281">
        <v>2.3075792572471543</v>
      </c>
      <c r="AH10" s="280">
        <v>1.2972342373939203</v>
      </c>
      <c r="AI10" s="281">
        <v>3.5136476772721577</v>
      </c>
      <c r="AJ10" s="281">
        <v>4.5909247434476574</v>
      </c>
      <c r="AK10" s="281">
        <v>3.1813812513854618</v>
      </c>
      <c r="AL10" s="281">
        <v>0.72303296374838788</v>
      </c>
      <c r="AM10" s="280">
        <v>0.44265863446523107</v>
      </c>
      <c r="AN10" s="281">
        <v>1.9713413369243331</v>
      </c>
      <c r="AO10" s="281">
        <v>5.2129825116402166</v>
      </c>
      <c r="AP10" s="281">
        <v>2.7276173974123594</v>
      </c>
      <c r="AQ10" s="281">
        <v>1.9878069993502803</v>
      </c>
      <c r="AR10" s="280">
        <v>31.883155688649463</v>
      </c>
      <c r="AS10" s="281">
        <v>17.435587362249578</v>
      </c>
      <c r="AT10" s="281">
        <v>44.216833785335822</v>
      </c>
      <c r="AU10" s="281">
        <v>43.813818558380262</v>
      </c>
      <c r="AV10" s="281">
        <v>30.141966536154708</v>
      </c>
      <c r="AW10" s="280">
        <v>140.26177906566591</v>
      </c>
      <c r="AX10" s="281">
        <v>122.71430234491821</v>
      </c>
      <c r="AY10" s="281">
        <v>363.46412019161625</v>
      </c>
      <c r="AZ10" s="281">
        <v>126.55749681468893</v>
      </c>
      <c r="BA10" s="286">
        <v>171.3405964738071</v>
      </c>
      <c r="BB10"/>
      <c r="BC10"/>
      <c r="BD10"/>
      <c r="BE10"/>
      <c r="BF10"/>
    </row>
    <row r="11" spans="1:58" ht="15">
      <c r="A11" s="14">
        <f>'Exptl Setup'!A22</f>
        <v>15</v>
      </c>
      <c r="B11" s="14" t="str">
        <f>'Exptl Setup'!B22</f>
        <v>MTT No Till</v>
      </c>
      <c r="C11" s="14" t="str">
        <f>'Exptl Setup'!C22</f>
        <v>c</v>
      </c>
      <c r="D11" s="14">
        <f>'Exptl Setup'!D22</f>
        <v>16</v>
      </c>
      <c r="E11" s="14" t="str">
        <f>'Exptl Setup'!E22</f>
        <v>+</v>
      </c>
      <c r="F11" s="14">
        <f>'Exptl Setup'!F22</f>
        <v>32.000999999999998</v>
      </c>
      <c r="G11" s="17">
        <f>'Exptl Setup'!G22</f>
        <v>25.003144583818834</v>
      </c>
      <c r="H11" s="26">
        <v>16</v>
      </c>
      <c r="I11" s="18">
        <v>8.32</v>
      </c>
      <c r="J11" s="18">
        <v>5.0599999999999996</v>
      </c>
      <c r="K11" s="20">
        <f>DEA!AK32</f>
        <v>36.900435185886835</v>
      </c>
      <c r="L11" s="19">
        <f>'CO2 - predicted from measured'!AY17</f>
        <v>0.58903175647243144</v>
      </c>
      <c r="M11" s="19">
        <v>38.840000000000003</v>
      </c>
      <c r="N11" s="19">
        <v>19.25</v>
      </c>
      <c r="O11" s="19">
        <v>221.30999999999997</v>
      </c>
      <c r="P11" s="19">
        <v>4127</v>
      </c>
      <c r="R11" s="257" t="s">
        <v>82</v>
      </c>
      <c r="S11" s="280">
        <v>6.8068592855522025E-2</v>
      </c>
      <c r="T11" s="281">
        <v>4.0414518843944612E-2</v>
      </c>
      <c r="U11" s="281">
        <v>9.9999999994554393E-3</v>
      </c>
      <c r="V11" s="281">
        <v>6.8068592855522025E-2</v>
      </c>
      <c r="W11" s="281">
        <v>2.5166114784371207E-2</v>
      </c>
      <c r="X11" s="280">
        <v>4.6308634547544774</v>
      </c>
      <c r="Y11" s="281">
        <v>1.7867075954017289</v>
      </c>
      <c r="Z11" s="281">
        <v>3.7839611621291347</v>
      </c>
      <c r="AA11" s="281">
        <v>11.738422227441934</v>
      </c>
      <c r="AB11" s="281">
        <v>15.028323277450992</v>
      </c>
      <c r="AC11" s="280">
        <v>0.45999677263954819</v>
      </c>
      <c r="AD11" s="281">
        <v>1.5325569469906322</v>
      </c>
      <c r="AE11" s="281">
        <v>2.9545809411459456</v>
      </c>
      <c r="AF11" s="281">
        <v>2.021982632309796</v>
      </c>
      <c r="AG11" s="281">
        <v>2.4986184002061944</v>
      </c>
      <c r="AH11" s="280">
        <v>0.57457230470464382</v>
      </c>
      <c r="AI11" s="281">
        <v>0.89584224801764911</v>
      </c>
      <c r="AJ11" s="281">
        <v>2.0706601201871253</v>
      </c>
      <c r="AK11" s="281">
        <v>1.3480479714510607</v>
      </c>
      <c r="AL11" s="281">
        <v>0.94044315794910061</v>
      </c>
      <c r="AM11" s="280">
        <v>0.51471675058557631</v>
      </c>
      <c r="AN11" s="281">
        <v>1.5386032627028972</v>
      </c>
      <c r="AO11" s="281">
        <v>1.0941815815179343</v>
      </c>
      <c r="AP11" s="281">
        <v>0.5148138822260595</v>
      </c>
      <c r="AQ11" s="281">
        <v>2.1922819161776008</v>
      </c>
      <c r="AR11" s="280">
        <v>34.961432083559046</v>
      </c>
      <c r="AS11" s="281">
        <v>22.582232691505624</v>
      </c>
      <c r="AT11" s="281">
        <v>42.635845247866115</v>
      </c>
      <c r="AU11" s="281">
        <v>42.325647465021696</v>
      </c>
      <c r="AV11" s="281">
        <v>29.920476266263048</v>
      </c>
      <c r="AW11" s="280">
        <v>63.877486905263353</v>
      </c>
      <c r="AX11" s="281">
        <v>117.19357206490504</v>
      </c>
      <c r="AY11" s="281">
        <v>440.7663780280887</v>
      </c>
      <c r="AZ11" s="281">
        <v>142.32474603290916</v>
      </c>
      <c r="BA11" s="286">
        <v>209.62903742881636</v>
      </c>
      <c r="BB11"/>
      <c r="BC11"/>
      <c r="BD11"/>
      <c r="BE11"/>
      <c r="BF11"/>
    </row>
    <row r="12" spans="1:58" ht="15">
      <c r="A12" s="14">
        <f>'Exptl Setup'!A26</f>
        <v>19</v>
      </c>
      <c r="B12" s="14" t="str">
        <f>'Exptl Setup'!B26</f>
        <v>MTT No Till</v>
      </c>
      <c r="C12" s="14" t="str">
        <f>'Exptl Setup'!C26</f>
        <v>a</v>
      </c>
      <c r="D12" s="14">
        <f>'Exptl Setup'!D26</f>
        <v>16</v>
      </c>
      <c r="E12" s="14" t="str">
        <f>'Exptl Setup'!E26</f>
        <v>+</v>
      </c>
      <c r="F12" s="14">
        <f>'Exptl Setup'!F26</f>
        <v>32.003999999999998</v>
      </c>
      <c r="G12" s="17">
        <f>'Exptl Setup'!G26</f>
        <v>25.005488555374455</v>
      </c>
      <c r="H12" s="26">
        <v>20</v>
      </c>
      <c r="I12" s="18">
        <v>8.92</v>
      </c>
      <c r="J12" s="18">
        <v>5.22</v>
      </c>
      <c r="K12" s="20">
        <f>DEA!AK33</f>
        <v>0.1423959604425952</v>
      </c>
      <c r="L12" s="19">
        <f>'CO2 - predicted from measured'!AY18</f>
        <v>-0.12277845208547317</v>
      </c>
      <c r="M12" s="19">
        <v>49.25</v>
      </c>
      <c r="N12" s="19">
        <v>26.23</v>
      </c>
      <c r="O12" s="19">
        <v>518.72</v>
      </c>
      <c r="P12" s="19">
        <v>6550</v>
      </c>
      <c r="R12" s="257" t="s">
        <v>81</v>
      </c>
      <c r="S12" s="280">
        <v>4.6188021535167517E-2</v>
      </c>
      <c r="T12" s="281">
        <v>3.7859388972254868E-2</v>
      </c>
      <c r="U12" s="281">
        <v>2.6457513110010815E-2</v>
      </c>
      <c r="V12" s="281">
        <v>5.1961524226971582E-2</v>
      </c>
      <c r="W12" s="281">
        <v>2.5166114784653547E-2</v>
      </c>
      <c r="X12" s="280">
        <v>9.2776695637028013</v>
      </c>
      <c r="Y12" s="281">
        <v>167.17261208053773</v>
      </c>
      <c r="Z12" s="281">
        <v>281.75593618672292</v>
      </c>
      <c r="AA12" s="281">
        <v>244.65573728484975</v>
      </c>
      <c r="AB12" s="281">
        <v>129.28354471400266</v>
      </c>
      <c r="AC12" s="280">
        <v>0.46493304055702822</v>
      </c>
      <c r="AD12" s="281">
        <v>3.2328174631440625</v>
      </c>
      <c r="AE12" s="281">
        <v>2.7213434300881332</v>
      </c>
      <c r="AF12" s="281">
        <v>1.7209168852179042</v>
      </c>
      <c r="AG12" s="281">
        <v>2.1165401142881142</v>
      </c>
      <c r="AH12" s="280">
        <v>0.28290163190263928</v>
      </c>
      <c r="AI12" s="281">
        <v>2.1848874875684978</v>
      </c>
      <c r="AJ12" s="281">
        <v>0.77693843599952717</v>
      </c>
      <c r="AK12" s="281">
        <v>2.4521827011868393</v>
      </c>
      <c r="AL12" s="281">
        <v>0.62883490149112908</v>
      </c>
      <c r="AM12" s="280">
        <v>0.46918368826425688</v>
      </c>
      <c r="AN12" s="281">
        <v>2.5421513199125485</v>
      </c>
      <c r="AO12" s="281">
        <v>3.3443534502202055</v>
      </c>
      <c r="AP12" s="281">
        <v>3.2066025634618454</v>
      </c>
      <c r="AQ12" s="281">
        <v>1.088546431409082</v>
      </c>
      <c r="AR12" s="280">
        <v>34.933746339797416</v>
      </c>
      <c r="AS12" s="281">
        <v>3.4464087588819523</v>
      </c>
      <c r="AT12" s="281">
        <v>22.802710365217294</v>
      </c>
      <c r="AU12" s="281">
        <v>50.149712195917395</v>
      </c>
      <c r="AV12" s="281">
        <v>30.266642254028323</v>
      </c>
      <c r="AW12" s="280">
        <v>44.977772288098038</v>
      </c>
      <c r="AX12" s="281">
        <v>148.10919395273328</v>
      </c>
      <c r="AY12" s="281">
        <v>156.32125042147049</v>
      </c>
      <c r="AZ12" s="281">
        <v>30.072135496703449</v>
      </c>
      <c r="BA12" s="286">
        <v>171.51190434874221</v>
      </c>
      <c r="BB12"/>
      <c r="BC12"/>
      <c r="BD12"/>
      <c r="BE12"/>
      <c r="BF12"/>
    </row>
    <row r="13" spans="1:58" ht="15">
      <c r="A13" s="14">
        <f>'Exptl Setup'!A27</f>
        <v>20</v>
      </c>
      <c r="B13" s="14" t="str">
        <f>'Exptl Setup'!B27</f>
        <v>MTT No Till</v>
      </c>
      <c r="C13" s="14" t="str">
        <f>'Exptl Setup'!C27</f>
        <v>b</v>
      </c>
      <c r="D13" s="14">
        <f>'Exptl Setup'!D27</f>
        <v>16</v>
      </c>
      <c r="E13" s="14" t="str">
        <f>'Exptl Setup'!E27</f>
        <v>+</v>
      </c>
      <c r="F13" s="14">
        <f>'Exptl Setup'!F27</f>
        <v>32.002000000000002</v>
      </c>
      <c r="G13" s="17">
        <f>'Exptl Setup'!G27</f>
        <v>25.003925907670713</v>
      </c>
      <c r="H13" s="26">
        <v>20</v>
      </c>
      <c r="I13" s="17">
        <v>9.08</v>
      </c>
      <c r="J13" s="17">
        <v>5.3</v>
      </c>
      <c r="K13" s="20">
        <f>DEA!AK34</f>
        <v>0.23293428877700467</v>
      </c>
      <c r="L13" s="19">
        <f>'CO2 - predicted from measured'!AY19</f>
        <v>-3.9434634448214462E-2</v>
      </c>
      <c r="M13" s="19">
        <v>49.35</v>
      </c>
      <c r="N13" s="19">
        <v>27.29</v>
      </c>
      <c r="O13" s="19">
        <v>458.65999999999991</v>
      </c>
      <c r="P13" s="19">
        <v>6091</v>
      </c>
      <c r="R13" s="282">
        <v>20</v>
      </c>
      <c r="S13" s="280">
        <v>0.12664912159180342</v>
      </c>
      <c r="T13" s="281">
        <v>0.11338724208068691</v>
      </c>
      <c r="U13" s="281">
        <v>7.2018516137724503E-2</v>
      </c>
      <c r="V13" s="281">
        <v>0.12864680330253478</v>
      </c>
      <c r="W13" s="281">
        <v>5.1542862421690129E-2</v>
      </c>
      <c r="X13" s="280">
        <v>9.0433495473747474E-2</v>
      </c>
      <c r="Y13" s="281">
        <v>11.001855221616216</v>
      </c>
      <c r="Z13" s="281">
        <v>11.718554592284001</v>
      </c>
      <c r="AA13" s="281">
        <v>4.5066712392303767</v>
      </c>
      <c r="AB13" s="281">
        <v>59.466613994731119</v>
      </c>
      <c r="AC13" s="280">
        <v>-1.2832059574605892E-2</v>
      </c>
      <c r="AD13" s="281">
        <v>-7.9435763924403699E-2</v>
      </c>
      <c r="AE13" s="281">
        <v>-2.6051146210468511E-2</v>
      </c>
      <c r="AF13" s="281">
        <v>-0.12530546940151657</v>
      </c>
      <c r="AG13" s="281">
        <v>0.42200205424791942</v>
      </c>
      <c r="AH13" s="280">
        <v>0.86295809090977371</v>
      </c>
      <c r="AI13" s="281">
        <v>1.2527476468417129</v>
      </c>
      <c r="AJ13" s="281">
        <v>3.0070145770624106</v>
      </c>
      <c r="AK13" s="281">
        <v>0.53105241423722638</v>
      </c>
      <c r="AL13" s="281">
        <v>4.8194221645338136</v>
      </c>
      <c r="AM13" s="280">
        <v>0.9350383236353742</v>
      </c>
      <c r="AN13" s="281">
        <v>0.91975540226731067</v>
      </c>
      <c r="AO13" s="281">
        <v>0.71256344746748923</v>
      </c>
      <c r="AP13" s="281">
        <v>1.7194611559052604</v>
      </c>
      <c r="AQ13" s="281">
        <v>3.8166254728490769</v>
      </c>
      <c r="AR13" s="280">
        <v>53.473201761880155</v>
      </c>
      <c r="AS13" s="281">
        <v>37.473921954697126</v>
      </c>
      <c r="AT13" s="281">
        <v>77.202826740130732</v>
      </c>
      <c r="AU13" s="281">
        <v>61.583911345957269</v>
      </c>
      <c r="AV13" s="281">
        <v>29.909645044145027</v>
      </c>
      <c r="AW13" s="280">
        <v>807.32416042132672</v>
      </c>
      <c r="AX13" s="281">
        <v>301.78071508961602</v>
      </c>
      <c r="AY13" s="281">
        <v>692.60861964026981</v>
      </c>
      <c r="AZ13" s="281">
        <v>462.36940498552525</v>
      </c>
      <c r="BA13" s="286">
        <v>182.2939018910634</v>
      </c>
      <c r="BB13"/>
      <c r="BC13"/>
      <c r="BD13"/>
      <c r="BE13"/>
      <c r="BF13"/>
    </row>
    <row r="14" spans="1:58" ht="15">
      <c r="A14" s="14">
        <f>'Exptl Setup'!A28</f>
        <v>21</v>
      </c>
      <c r="B14" s="14" t="str">
        <f>'Exptl Setup'!B28</f>
        <v>MTT No Till</v>
      </c>
      <c r="C14" s="14" t="str">
        <f>'Exptl Setup'!C28</f>
        <v>c</v>
      </c>
      <c r="D14" s="14">
        <f>'Exptl Setup'!D28</f>
        <v>16</v>
      </c>
      <c r="E14" s="14" t="str">
        <f>'Exptl Setup'!E28</f>
        <v>+</v>
      </c>
      <c r="F14" s="14">
        <f>'Exptl Setup'!F28</f>
        <v>31.995000000000001</v>
      </c>
      <c r="G14" s="17">
        <f>'Exptl Setup'!G28</f>
        <v>24.998456640707591</v>
      </c>
      <c r="H14" s="26">
        <v>20</v>
      </c>
      <c r="I14" s="18">
        <v>8.82</v>
      </c>
      <c r="J14" s="18">
        <v>5.18</v>
      </c>
      <c r="K14" s="20">
        <f>DEA!AK35</f>
        <v>0.23705709053271154</v>
      </c>
      <c r="L14" s="19">
        <f>'CO2 - predicted from measured'!AY20</f>
        <v>4.823506879598044E-2</v>
      </c>
      <c r="M14" s="19">
        <v>49.08</v>
      </c>
      <c r="N14" s="19">
        <v>24.88</v>
      </c>
      <c r="O14" s="19">
        <v>396.24</v>
      </c>
      <c r="P14" s="19">
        <v>5155</v>
      </c>
      <c r="R14" s="257" t="s">
        <v>82</v>
      </c>
      <c r="S14" s="280">
        <v>6.0827625302706891E-2</v>
      </c>
      <c r="T14" s="281">
        <v>0.10598742063718009</v>
      </c>
      <c r="U14" s="281">
        <v>2.5166114784371207E-2</v>
      </c>
      <c r="V14" s="281">
        <v>3.055050463284828E-2</v>
      </c>
      <c r="W14" s="281">
        <v>5.5075705472743083E-2</v>
      </c>
      <c r="X14" s="280">
        <v>5.9796652917915624E-2</v>
      </c>
      <c r="Y14" s="281">
        <v>0.24278654528033411</v>
      </c>
      <c r="Z14" s="281">
        <v>0.20900062786838883</v>
      </c>
      <c r="AA14" s="281">
        <v>0.37191073821520232</v>
      </c>
      <c r="AB14" s="281">
        <v>34.319522447251956</v>
      </c>
      <c r="AC14" s="280">
        <v>-2.0533375591413796E-2</v>
      </c>
      <c r="AD14" s="281">
        <v>-9.8814602508871086E-2</v>
      </c>
      <c r="AE14" s="281">
        <v>0.10797614141323526</v>
      </c>
      <c r="AF14" s="281">
        <v>-0.1316630234474461</v>
      </c>
      <c r="AG14" s="281">
        <v>0.65243085435470283</v>
      </c>
      <c r="AH14" s="280">
        <v>1.1407161493261961</v>
      </c>
      <c r="AI14" s="281">
        <v>1.1514049389044558</v>
      </c>
      <c r="AJ14" s="281">
        <v>1.1282434725416011</v>
      </c>
      <c r="AK14" s="281">
        <v>0.63129496539496854</v>
      </c>
      <c r="AL14" s="281">
        <v>2.1170970691019484</v>
      </c>
      <c r="AM14" s="280">
        <v>0.6245264872953451</v>
      </c>
      <c r="AN14" s="281">
        <v>0.11503622617731744</v>
      </c>
      <c r="AO14" s="281">
        <v>0.78083288865158285</v>
      </c>
      <c r="AP14" s="281">
        <v>1.8842239781937036</v>
      </c>
      <c r="AQ14" s="281">
        <v>1.414402111612467</v>
      </c>
      <c r="AR14" s="280">
        <v>21.238402325349135</v>
      </c>
      <c r="AS14" s="281">
        <v>33.493453589223044</v>
      </c>
      <c r="AT14" s="281">
        <v>0.52974836786491075</v>
      </c>
      <c r="AU14" s="281">
        <v>88.894139476870905</v>
      </c>
      <c r="AV14" s="281">
        <v>25.813463541339708</v>
      </c>
      <c r="AW14" s="280">
        <v>176.99435019231547</v>
      </c>
      <c r="AX14" s="281">
        <v>352.87438747142318</v>
      </c>
      <c r="AY14" s="281">
        <v>1087.9385705697414</v>
      </c>
      <c r="AZ14" s="281">
        <v>470.31301633415995</v>
      </c>
      <c r="BA14" s="286">
        <v>227.83619847016368</v>
      </c>
      <c r="BB14"/>
      <c r="BC14"/>
      <c r="BD14"/>
      <c r="BE14"/>
      <c r="BF14"/>
    </row>
    <row r="15" spans="1:58" ht="15">
      <c r="A15" s="14">
        <f>'Exptl Setup'!A32</f>
        <v>25</v>
      </c>
      <c r="B15" s="14" t="str">
        <f>'Exptl Setup'!B32</f>
        <v>MTT No Till</v>
      </c>
      <c r="C15" s="14" t="str">
        <f>'Exptl Setup'!C32</f>
        <v>a</v>
      </c>
      <c r="D15" s="14">
        <f>'Exptl Setup'!D32</f>
        <v>16</v>
      </c>
      <c r="E15" s="14" t="str">
        <f>'Exptl Setup'!E32</f>
        <v>-</v>
      </c>
      <c r="F15" s="14">
        <f>'Exptl Setup'!F32</f>
        <v>31.997</v>
      </c>
      <c r="G15" s="17">
        <f>'Exptl Setup'!G32</f>
        <v>25.000019288411337</v>
      </c>
      <c r="H15" s="26">
        <v>0</v>
      </c>
      <c r="I15" s="18">
        <v>4.6100000000000003</v>
      </c>
      <c r="J15" s="18">
        <v>4.5199999999999996</v>
      </c>
      <c r="K15" s="20">
        <f>DEA!AK36</f>
        <v>84.321712456022112</v>
      </c>
      <c r="L15" s="19">
        <f>'CO2 - predicted from measured'!AY21</f>
        <v>0.30510027682518048</v>
      </c>
      <c r="M15" s="19">
        <v>39.814999999999998</v>
      </c>
      <c r="N15" s="19">
        <v>1.81</v>
      </c>
      <c r="O15" s="19">
        <v>5.5200000000000031</v>
      </c>
      <c r="P15" s="19">
        <v>38.450000000000003</v>
      </c>
      <c r="R15" s="265" t="s">
        <v>81</v>
      </c>
      <c r="S15" s="283">
        <v>0.13114877048604973</v>
      </c>
      <c r="T15" s="284">
        <v>9.0737717258714601E-2</v>
      </c>
      <c r="U15" s="284">
        <v>1.7320508076386496E-2</v>
      </c>
      <c r="V15" s="284">
        <v>0.20008331597950615</v>
      </c>
      <c r="W15" s="284">
        <v>3.4641016150926948E-2</v>
      </c>
      <c r="X15" s="283">
        <v>5.3502205471432182E-2</v>
      </c>
      <c r="Y15" s="284">
        <v>15.023796834547667</v>
      </c>
      <c r="Z15" s="284">
        <v>16.381350035922171</v>
      </c>
      <c r="AA15" s="284">
        <v>3.1983919380083856</v>
      </c>
      <c r="AB15" s="284">
        <v>81.49221760929899</v>
      </c>
      <c r="AC15" s="283">
        <v>-5.1307435577979885E-3</v>
      </c>
      <c r="AD15" s="284">
        <v>-6.005692533993634E-2</v>
      </c>
      <c r="AE15" s="284">
        <v>-0.16007843383417228</v>
      </c>
      <c r="AF15" s="284">
        <v>-0.11894791535558709</v>
      </c>
      <c r="AG15" s="284">
        <v>0.19157325414113582</v>
      </c>
      <c r="AH15" s="283">
        <v>0.13650396819720081</v>
      </c>
      <c r="AI15" s="284">
        <v>1.024548681127466</v>
      </c>
      <c r="AJ15" s="284">
        <v>0.16041612554039505</v>
      </c>
      <c r="AK15" s="284">
        <v>0.55193598662592303</v>
      </c>
      <c r="AL15" s="284">
        <v>4.4964763982478297</v>
      </c>
      <c r="AM15" s="283">
        <v>1.2079045216131681</v>
      </c>
      <c r="AN15" s="284">
        <v>0.3043572462311751</v>
      </c>
      <c r="AO15" s="284">
        <v>0.43316663460266269</v>
      </c>
      <c r="AP15" s="284">
        <v>1.9541067865736854</v>
      </c>
      <c r="AQ15" s="284">
        <v>4.5211539824842903</v>
      </c>
      <c r="AR15" s="283">
        <v>61.243789344988492</v>
      </c>
      <c r="AS15" s="284">
        <v>29.582454259239768</v>
      </c>
      <c r="AT15" s="284">
        <v>82.338132721115514</v>
      </c>
      <c r="AU15" s="284">
        <v>35.249329544450639</v>
      </c>
      <c r="AV15" s="284">
        <v>14.79333070451789</v>
      </c>
      <c r="AW15" s="283">
        <v>710.962024302283</v>
      </c>
      <c r="AX15" s="284">
        <v>251.04249308301536</v>
      </c>
      <c r="AY15" s="284">
        <v>124.38783434617748</v>
      </c>
      <c r="AZ15" s="284">
        <v>163.7874639077601</v>
      </c>
      <c r="BA15" s="287">
        <v>140.12970182418792</v>
      </c>
      <c r="BB15"/>
      <c r="BC15"/>
      <c r="BD15"/>
      <c r="BE15"/>
      <c r="BF15"/>
    </row>
    <row r="16" spans="1:58" ht="15">
      <c r="A16" s="14">
        <f>'Exptl Setup'!A33</f>
        <v>26</v>
      </c>
      <c r="B16" s="14" t="str">
        <f>'Exptl Setup'!B33</f>
        <v>MTT No Till</v>
      </c>
      <c r="C16" s="14" t="str">
        <f>'Exptl Setup'!C33</f>
        <v>b</v>
      </c>
      <c r="D16" s="14">
        <f>'Exptl Setup'!D33</f>
        <v>16</v>
      </c>
      <c r="E16" s="14" t="str">
        <f>'Exptl Setup'!E33</f>
        <v>-</v>
      </c>
      <c r="F16" s="14">
        <f>'Exptl Setup'!F33</f>
        <v>32.006</v>
      </c>
      <c r="G16" s="17">
        <f>'Exptl Setup'!G33</f>
        <v>25.007051203078206</v>
      </c>
      <c r="H16" s="26">
        <v>0</v>
      </c>
      <c r="I16" s="18">
        <v>4.6900000000000004</v>
      </c>
      <c r="J16" s="18">
        <v>4.5599999999999996</v>
      </c>
      <c r="K16" s="20">
        <f>DEA!AK37</f>
        <v>88.48823638024561</v>
      </c>
      <c r="L16" s="19">
        <f>'CO2 - predicted from measured'!AY22</f>
        <v>0.26196882736255916</v>
      </c>
      <c r="M16" s="19">
        <v>39.174999999999997</v>
      </c>
      <c r="N16" s="19">
        <v>2.339</v>
      </c>
      <c r="O16" s="19">
        <v>5.3760000000000048</v>
      </c>
      <c r="P16" s="19">
        <v>48.56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5">
      <c r="A17" s="14">
        <f>'Exptl Setup'!A34</f>
        <v>27</v>
      </c>
      <c r="B17" s="14" t="str">
        <f>'Exptl Setup'!B34</f>
        <v>MTT No Till</v>
      </c>
      <c r="C17" s="14" t="str">
        <f>'Exptl Setup'!C34</f>
        <v>c</v>
      </c>
      <c r="D17" s="14">
        <f>'Exptl Setup'!D34</f>
        <v>16</v>
      </c>
      <c r="E17" s="14" t="str">
        <f>'Exptl Setup'!E34</f>
        <v>-</v>
      </c>
      <c r="F17" s="14">
        <f>'Exptl Setup'!F34</f>
        <v>31.992999999999999</v>
      </c>
      <c r="G17" s="17">
        <f>'Exptl Setup'!G34</f>
        <v>24.996893993003841</v>
      </c>
      <c r="H17" s="26">
        <v>0</v>
      </c>
      <c r="I17" s="18">
        <v>4.6900000000000004</v>
      </c>
      <c r="J17" s="18">
        <v>4.62</v>
      </c>
      <c r="K17" s="20">
        <f>DEA!AK38</f>
        <v>84.67254580188559</v>
      </c>
      <c r="L17" s="19">
        <f>'CO2 - predicted from measured'!AY23</f>
        <v>0.40728425773301757</v>
      </c>
      <c r="M17" s="19">
        <v>39.315000000000005</v>
      </c>
      <c r="N17" s="19">
        <v>2.2489999999999997</v>
      </c>
      <c r="O17" s="19">
        <v>3.6909999999999954</v>
      </c>
      <c r="P17" s="19">
        <v>28.71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>
      <c r="A18" s="14">
        <f>'Exptl Setup'!A38</f>
        <v>31</v>
      </c>
      <c r="B18" s="14" t="str">
        <f>'Exptl Setup'!B38</f>
        <v>MTT No Till</v>
      </c>
      <c r="C18" s="14" t="str">
        <f>'Exptl Setup'!C38</f>
        <v>a</v>
      </c>
      <c r="D18" s="14">
        <f>'Exptl Setup'!D38</f>
        <v>16</v>
      </c>
      <c r="E18" s="14" t="str">
        <f>'Exptl Setup'!E38</f>
        <v>-</v>
      </c>
      <c r="F18" s="14">
        <f>'Exptl Setup'!F38</f>
        <v>32.000999999999998</v>
      </c>
      <c r="G18" s="17">
        <f>'Exptl Setup'!G38</f>
        <v>25.003144583818834</v>
      </c>
      <c r="H18" s="26">
        <v>6</v>
      </c>
      <c r="I18" s="18">
        <v>6.53</v>
      </c>
      <c r="J18" s="18">
        <v>4</v>
      </c>
      <c r="K18" s="20">
        <f>DEA!AK39</f>
        <v>45.728830736066328</v>
      </c>
      <c r="L18" s="19">
        <f>'CO2 - predicted from measured'!AY24</f>
        <v>1.2479384290885263</v>
      </c>
      <c r="M18" s="19">
        <v>28.87</v>
      </c>
      <c r="N18" s="19">
        <v>5.61</v>
      </c>
      <c r="O18" s="19">
        <v>17.220000000000002</v>
      </c>
      <c r="P18" s="19">
        <v>188.9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">
      <c r="A19" s="14">
        <f>'Exptl Setup'!A39</f>
        <v>32</v>
      </c>
      <c r="B19" s="14" t="str">
        <f>'Exptl Setup'!B39</f>
        <v>MTT No Till</v>
      </c>
      <c r="C19" s="14" t="str">
        <f>'Exptl Setup'!C39</f>
        <v>b</v>
      </c>
      <c r="D19" s="14">
        <f>'Exptl Setup'!D39</f>
        <v>16</v>
      </c>
      <c r="E19" s="14" t="str">
        <f>'Exptl Setup'!E39</f>
        <v>-</v>
      </c>
      <c r="F19" s="14">
        <f>'Exptl Setup'!F39</f>
        <v>31.998000000000001</v>
      </c>
      <c r="G19" s="17">
        <f>'Exptl Setup'!G39</f>
        <v>25.000800612263212</v>
      </c>
      <c r="H19" s="26">
        <v>6</v>
      </c>
      <c r="I19" s="18">
        <v>6.58</v>
      </c>
      <c r="J19" s="18">
        <v>4.0199999999999996</v>
      </c>
      <c r="K19" s="20">
        <f>DEA!AK40</f>
        <v>55.317407313396437</v>
      </c>
      <c r="L19" s="19">
        <f>'CO2 - predicted from measured'!AY25</f>
        <v>1.3224852144744161</v>
      </c>
      <c r="M19" s="19">
        <v>29.465</v>
      </c>
      <c r="N19" s="19">
        <v>5.6449999999999996</v>
      </c>
      <c r="O19" s="19">
        <v>13.914999999999996</v>
      </c>
      <c r="P19" s="19">
        <v>191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5">
      <c r="A20" s="14">
        <f>'Exptl Setup'!A40</f>
        <v>33</v>
      </c>
      <c r="B20" s="14" t="str">
        <f>'Exptl Setup'!B40</f>
        <v>MTT No Till</v>
      </c>
      <c r="C20" s="14" t="str">
        <f>'Exptl Setup'!C40</f>
        <v>c</v>
      </c>
      <c r="D20" s="14">
        <f>'Exptl Setup'!D40</f>
        <v>16</v>
      </c>
      <c r="E20" s="14" t="str">
        <f>'Exptl Setup'!E40</f>
        <v>-</v>
      </c>
      <c r="F20" s="14">
        <f>'Exptl Setup'!F40</f>
        <v>32.000999999999998</v>
      </c>
      <c r="G20" s="17">
        <f>'Exptl Setup'!G40</f>
        <v>25.003144583818834</v>
      </c>
      <c r="H20" s="26">
        <v>6</v>
      </c>
      <c r="I20" s="18">
        <v>6.53</v>
      </c>
      <c r="J20" s="18">
        <v>4.0199999999999996</v>
      </c>
      <c r="K20" s="20">
        <f>DEA!AK41</f>
        <v>60.599474191311678</v>
      </c>
      <c r="L20" s="19">
        <f>'CO2 - predicted from measured'!AY26</f>
        <v>1.3193928681408182</v>
      </c>
      <c r="M20" s="19">
        <v>27.770000000000003</v>
      </c>
      <c r="N20" s="19">
        <v>6.0350000000000001</v>
      </c>
      <c r="O20" s="19">
        <v>15.814999999999991</v>
      </c>
      <c r="P20" s="19">
        <v>193.29999999999998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5">
      <c r="A21" s="14">
        <f>'Exptl Setup'!A44</f>
        <v>37</v>
      </c>
      <c r="B21" s="14" t="str">
        <f>'Exptl Setup'!B44</f>
        <v>MTT No Till</v>
      </c>
      <c r="C21" s="14" t="str">
        <f>'Exptl Setup'!C44</f>
        <v>a</v>
      </c>
      <c r="D21" s="14">
        <f>'Exptl Setup'!D44</f>
        <v>16</v>
      </c>
      <c r="E21" s="14" t="str">
        <f>'Exptl Setup'!E44</f>
        <v>-</v>
      </c>
      <c r="F21" s="14">
        <f>'Exptl Setup'!F44</f>
        <v>31.995999999999999</v>
      </c>
      <c r="G21" s="17">
        <f>'Exptl Setup'!G44</f>
        <v>24.999237964559462</v>
      </c>
      <c r="H21" s="26">
        <v>16</v>
      </c>
      <c r="I21" s="18">
        <v>8.2799999999999994</v>
      </c>
      <c r="J21" s="18">
        <v>5.0199999999999996</v>
      </c>
      <c r="K21" s="20">
        <f>DEA!AK42</f>
        <v>8.7291138928419727</v>
      </c>
      <c r="L21" s="19">
        <f>'CO2 - predicted from measured'!AY27</f>
        <v>0.64600731463225192</v>
      </c>
      <c r="M21" s="19">
        <v>35.85</v>
      </c>
      <c r="N21" s="19">
        <v>19.11</v>
      </c>
      <c r="O21" s="19">
        <v>287.23999999999995</v>
      </c>
      <c r="P21" s="19">
        <v>3919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5">
      <c r="A22" s="14">
        <f>'Exptl Setup'!A45</f>
        <v>38</v>
      </c>
      <c r="B22" s="14" t="str">
        <f>'Exptl Setup'!B45</f>
        <v>MTT No Till</v>
      </c>
      <c r="C22" s="14" t="str">
        <f>'Exptl Setup'!C45</f>
        <v>b</v>
      </c>
      <c r="D22" s="14">
        <f>'Exptl Setup'!D45</f>
        <v>16</v>
      </c>
      <c r="E22" s="14" t="str">
        <f>'Exptl Setup'!E45</f>
        <v>-</v>
      </c>
      <c r="F22" s="14">
        <f>'Exptl Setup'!F45</f>
        <v>31.997</v>
      </c>
      <c r="G22" s="17">
        <f>'Exptl Setup'!G45</f>
        <v>25.000019288411337</v>
      </c>
      <c r="H22" s="26">
        <v>16</v>
      </c>
      <c r="I22" s="18">
        <v>8.31</v>
      </c>
      <c r="J22" s="18">
        <v>5.22</v>
      </c>
      <c r="K22" s="20">
        <f>DEA!AK43</f>
        <v>17.789313546715924</v>
      </c>
      <c r="L22" s="19">
        <f>'CO2 - predicted from measured'!AY28</f>
        <v>0.93816623720682735</v>
      </c>
      <c r="M22" s="19">
        <v>36.93</v>
      </c>
      <c r="N22" s="19">
        <v>19.170000000000002</v>
      </c>
      <c r="O22" s="19">
        <v>294.79999999999995</v>
      </c>
      <c r="P22" s="19">
        <v>3894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5">
      <c r="A23" s="14">
        <f>'Exptl Setup'!A46</f>
        <v>39</v>
      </c>
      <c r="B23" s="14" t="str">
        <f>'Exptl Setup'!B46</f>
        <v>MTT No Till</v>
      </c>
      <c r="C23" s="14" t="str">
        <f>'Exptl Setup'!C46</f>
        <v>c</v>
      </c>
      <c r="D23" s="14">
        <f>'Exptl Setup'!D46</f>
        <v>16</v>
      </c>
      <c r="E23" s="14" t="str">
        <f>'Exptl Setup'!E46</f>
        <v>-</v>
      </c>
      <c r="F23" s="14">
        <f>'Exptl Setup'!F46</f>
        <v>32.003999999999998</v>
      </c>
      <c r="G23" s="17">
        <f>'Exptl Setup'!G46</f>
        <v>25.005488555374455</v>
      </c>
      <c r="H23" s="26">
        <v>16</v>
      </c>
      <c r="I23" s="18">
        <v>8.18</v>
      </c>
      <c r="J23" s="18">
        <v>5.08</v>
      </c>
      <c r="K23" s="20">
        <f>DEA!AK44</f>
        <v>11.595099636039896</v>
      </c>
      <c r="L23" s="19">
        <f>'CO2 - predicted from measured'!AY29</f>
        <v>0.89125775174077793</v>
      </c>
      <c r="M23" s="19">
        <v>36.049999999999997</v>
      </c>
      <c r="N23" s="19">
        <v>20.03</v>
      </c>
      <c r="O23" s="19">
        <v>230.82</v>
      </c>
      <c r="P23" s="19">
        <v>3797.9999999999995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5">
      <c r="A24" s="14">
        <f>'Exptl Setup'!A50</f>
        <v>43</v>
      </c>
      <c r="B24" s="14" t="str">
        <f>'Exptl Setup'!B50</f>
        <v>MTT No Till</v>
      </c>
      <c r="C24" s="14" t="str">
        <f>'Exptl Setup'!C50</f>
        <v>a</v>
      </c>
      <c r="D24" s="14">
        <f>'Exptl Setup'!D50</f>
        <v>16</v>
      </c>
      <c r="E24" s="14" t="str">
        <f>'Exptl Setup'!E50</f>
        <v>-</v>
      </c>
      <c r="F24" s="14">
        <f>'Exptl Setup'!F50</f>
        <v>32.003</v>
      </c>
      <c r="G24" s="17">
        <f>'Exptl Setup'!G50</f>
        <v>25.004707231522584</v>
      </c>
      <c r="H24" s="26">
        <v>20</v>
      </c>
      <c r="I24" s="18">
        <v>9.1300000000000008</v>
      </c>
      <c r="J24" s="18">
        <v>5.54</v>
      </c>
      <c r="K24" s="20">
        <f>DEA!AK45</f>
        <v>0.11392048087985977</v>
      </c>
      <c r="L24" s="19">
        <f>'CO2 - predicted from measured'!AY30</f>
        <v>-3.1931421668489113E-2</v>
      </c>
      <c r="M24" s="19">
        <v>47.89</v>
      </c>
      <c r="N24" s="19">
        <v>25.55</v>
      </c>
      <c r="O24" s="19">
        <v>397.16</v>
      </c>
      <c r="P24" s="19">
        <v>4928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5">
      <c r="A25" s="14">
        <f>'Exptl Setup'!A51</f>
        <v>44</v>
      </c>
      <c r="B25" s="14" t="str">
        <f>'Exptl Setup'!B51</f>
        <v>MTT No Till</v>
      </c>
      <c r="C25" s="14" t="str">
        <f>'Exptl Setup'!C51</f>
        <v>b</v>
      </c>
      <c r="D25" s="14">
        <f>'Exptl Setup'!D51</f>
        <v>16</v>
      </c>
      <c r="E25" s="14" t="str">
        <f>'Exptl Setup'!E51</f>
        <v>-</v>
      </c>
      <c r="F25" s="14">
        <f>'Exptl Setup'!F51</f>
        <v>32.006999999999998</v>
      </c>
      <c r="G25" s="17">
        <f>'Exptl Setup'!G51</f>
        <v>25.007832526930077</v>
      </c>
      <c r="H25" s="26">
        <v>20</v>
      </c>
      <c r="I25" s="18">
        <v>9.14</v>
      </c>
      <c r="J25" s="18">
        <v>5.24</v>
      </c>
      <c r="K25" s="20">
        <f>DEA!AK46</f>
        <v>8.8480267845265914E-2</v>
      </c>
      <c r="L25" s="19">
        <f>'CO2 - predicted from measured'!AY31</f>
        <v>0.12136555923939868</v>
      </c>
      <c r="M25" s="19">
        <v>47.56</v>
      </c>
      <c r="N25" s="19">
        <v>24.8</v>
      </c>
      <c r="O25" s="19">
        <v>373.03999999999996</v>
      </c>
      <c r="P25" s="19">
        <v>4603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ht="15">
      <c r="A26" s="14">
        <f>'Exptl Setup'!A52</f>
        <v>45</v>
      </c>
      <c r="B26" s="14" t="str">
        <f>'Exptl Setup'!B52</f>
        <v>MTT No Till</v>
      </c>
      <c r="C26" s="14" t="str">
        <f>'Exptl Setup'!C52</f>
        <v>c</v>
      </c>
      <c r="D26" s="14">
        <f>'Exptl Setup'!D52</f>
        <v>16</v>
      </c>
      <c r="E26" s="14" t="str">
        <f>'Exptl Setup'!E52</f>
        <v>-</v>
      </c>
      <c r="F26" s="14">
        <f>'Exptl Setup'!F52</f>
        <v>32</v>
      </c>
      <c r="G26" s="17">
        <f>'Exptl Setup'!G52</f>
        <v>25.002363259966963</v>
      </c>
      <c r="H26" s="26">
        <v>20</v>
      </c>
      <c r="I26" s="18">
        <v>9.0299999999999994</v>
      </c>
      <c r="J26" s="18">
        <v>5.26</v>
      </c>
      <c r="K26" s="20">
        <f>DEA!AK47</f>
        <v>0</v>
      </c>
      <c r="L26" s="19">
        <f>'CO2 - predicted from measured'!AY32</f>
        <v>-0.42166645318484275</v>
      </c>
      <c r="M26" s="19">
        <v>49.68</v>
      </c>
      <c r="N26" s="19">
        <v>26.04</v>
      </c>
      <c r="O26" s="19">
        <v>415.38</v>
      </c>
      <c r="P26" s="19">
        <v>4644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ht="15">
      <c r="A27" s="14">
        <f>'Exptl Setup'!A56</f>
        <v>49</v>
      </c>
      <c r="B27" s="14" t="str">
        <f>'Exptl Setup'!B56</f>
        <v>MTT No Till</v>
      </c>
      <c r="C27" s="14" t="str">
        <f>'Exptl Setup'!C56</f>
        <v>a</v>
      </c>
      <c r="D27" s="14">
        <f>'Exptl Setup'!D56</f>
        <v>24</v>
      </c>
      <c r="E27" s="14" t="str">
        <f>'Exptl Setup'!E56</f>
        <v>+</v>
      </c>
      <c r="F27" s="14">
        <f>'Exptl Setup'!F56</f>
        <v>32.003999999999998</v>
      </c>
      <c r="G27" s="17">
        <f>'Exptl Setup'!G56</f>
        <v>25.005488555374455</v>
      </c>
      <c r="H27" s="26">
        <v>0</v>
      </c>
      <c r="I27" s="17">
        <v>4.63</v>
      </c>
      <c r="J27" s="17">
        <v>5.16</v>
      </c>
      <c r="K27" s="24">
        <f>DEA!AK48</f>
        <v>117.68212439377966</v>
      </c>
      <c r="L27" s="19">
        <f>'CO2 - predicted from measured'!AY33</f>
        <v>0.68604057595270806</v>
      </c>
      <c r="M27" s="19">
        <v>38.195</v>
      </c>
      <c r="N27" s="19">
        <v>2.3849999999999998</v>
      </c>
      <c r="O27" s="19">
        <v>2.6749999999999972</v>
      </c>
      <c r="P27" s="19">
        <v>30.21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ht="15">
      <c r="A28" s="14">
        <f>'Exptl Setup'!A57</f>
        <v>50</v>
      </c>
      <c r="B28" s="14" t="str">
        <f>'Exptl Setup'!B57</f>
        <v>MTT No Till</v>
      </c>
      <c r="C28" s="14" t="str">
        <f>'Exptl Setup'!C57</f>
        <v>b</v>
      </c>
      <c r="D28" s="14">
        <f>'Exptl Setup'!D57</f>
        <v>24</v>
      </c>
      <c r="E28" s="14" t="str">
        <f>'Exptl Setup'!E57</f>
        <v>+</v>
      </c>
      <c r="F28" s="14">
        <f>'Exptl Setup'!F57</f>
        <v>32.003</v>
      </c>
      <c r="G28" s="17">
        <f>'Exptl Setup'!G57</f>
        <v>25.004707231522584</v>
      </c>
      <c r="H28" s="26">
        <v>0</v>
      </c>
      <c r="I28" s="17">
        <v>4.62</v>
      </c>
      <c r="J28" s="17">
        <v>5.24</v>
      </c>
      <c r="K28" s="24">
        <f>DEA!AK49</f>
        <v>124.84260698421635</v>
      </c>
      <c r="L28" s="19">
        <f>'CO2 - predicted from measured'!AY34</f>
        <v>0.58244895317651557</v>
      </c>
      <c r="M28" s="19">
        <v>37.524999999999999</v>
      </c>
      <c r="N28" s="19">
        <v>2.351</v>
      </c>
      <c r="O28" s="19">
        <v>4.1689999999999969</v>
      </c>
      <c r="P28" s="19">
        <v>50.56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ht="15">
      <c r="A29" s="14">
        <f>'Exptl Setup'!A58</f>
        <v>51</v>
      </c>
      <c r="B29" s="14" t="str">
        <f>'Exptl Setup'!B58</f>
        <v>MTT No Till</v>
      </c>
      <c r="C29" s="14" t="str">
        <f>'Exptl Setup'!C58</f>
        <v>c</v>
      </c>
      <c r="D29" s="14">
        <f>'Exptl Setup'!D58</f>
        <v>24</v>
      </c>
      <c r="E29" s="14" t="str">
        <f>'Exptl Setup'!E58</f>
        <v>+</v>
      </c>
      <c r="F29" s="14">
        <f>'Exptl Setup'!F58</f>
        <v>31.998999999999999</v>
      </c>
      <c r="G29" s="17">
        <f>'Exptl Setup'!G58</f>
        <v>25.001581936115088</v>
      </c>
      <c r="H29" s="26">
        <v>0</v>
      </c>
      <c r="I29" s="18">
        <v>4.8499999999999996</v>
      </c>
      <c r="J29" s="18">
        <v>5.3</v>
      </c>
      <c r="K29" s="24">
        <f>DEA!AK50</f>
        <v>121.70328156325876</v>
      </c>
      <c r="L29" s="19">
        <f>'CO2 - predicted from measured'!AY35</f>
        <v>0.76013947550011851</v>
      </c>
      <c r="M29" s="19">
        <v>36.734999999999999</v>
      </c>
      <c r="N29" s="19">
        <v>2.3725000000000001</v>
      </c>
      <c r="O29" s="19">
        <v>5.9375</v>
      </c>
      <c r="P29" s="19">
        <v>39.700000000000003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5">
      <c r="A30" s="14">
        <f>'Exptl Setup'!A62</f>
        <v>55</v>
      </c>
      <c r="B30" s="14" t="str">
        <f>'Exptl Setup'!B62</f>
        <v>MTT No Till</v>
      </c>
      <c r="C30" s="14" t="str">
        <f>'Exptl Setup'!C62</f>
        <v>a</v>
      </c>
      <c r="D30" s="14">
        <f>'Exptl Setup'!D62</f>
        <v>24</v>
      </c>
      <c r="E30" s="14" t="str">
        <f>'Exptl Setup'!E62</f>
        <v>+</v>
      </c>
      <c r="F30" s="14">
        <f>'Exptl Setup'!F62</f>
        <v>31.998000000000001</v>
      </c>
      <c r="G30" s="17">
        <f>'Exptl Setup'!G62</f>
        <v>25.000800612263212</v>
      </c>
      <c r="H30" s="26">
        <v>6</v>
      </c>
      <c r="I30" s="18">
        <v>6.73</v>
      </c>
      <c r="J30" s="18">
        <v>4.5999999999999996</v>
      </c>
      <c r="K30" s="20">
        <f>DEA!AK51</f>
        <v>1017.7452775398083</v>
      </c>
      <c r="L30" s="19">
        <f>'CO2 - predicted from measured'!AY36</f>
        <v>2.1216463263653798</v>
      </c>
      <c r="M30" s="19">
        <v>27.14</v>
      </c>
      <c r="N30" s="19">
        <v>9.6950000000000003</v>
      </c>
      <c r="O30" s="19">
        <v>20.675917030567689</v>
      </c>
      <c r="P30" s="19">
        <v>295.89999999999998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">
      <c r="A31" s="14">
        <f>'Exptl Setup'!A63</f>
        <v>56</v>
      </c>
      <c r="B31" s="14" t="str">
        <f>'Exptl Setup'!B63</f>
        <v>MTT No Till</v>
      </c>
      <c r="C31" s="14" t="str">
        <f>'Exptl Setup'!C63</f>
        <v>b</v>
      </c>
      <c r="D31" s="14">
        <f>'Exptl Setup'!D63</f>
        <v>24</v>
      </c>
      <c r="E31" s="14" t="str">
        <f>'Exptl Setup'!E63</f>
        <v>+</v>
      </c>
      <c r="F31" s="14">
        <f>'Exptl Setup'!F63</f>
        <v>31.998999999999999</v>
      </c>
      <c r="G31" s="17">
        <f>'Exptl Setup'!G63</f>
        <v>25.001581936115088</v>
      </c>
      <c r="H31" s="26">
        <v>6</v>
      </c>
      <c r="I31" s="18">
        <v>6.62</v>
      </c>
      <c r="J31" s="18">
        <v>4.5999999999999996</v>
      </c>
      <c r="K31" s="20">
        <f>DEA!AK52</f>
        <v>884.59291048779789</v>
      </c>
      <c r="L31" s="19">
        <f>'CO2 - predicted from measured'!AY37</f>
        <v>2.1334964043698919</v>
      </c>
      <c r="M31" s="19">
        <v>26.995000000000001</v>
      </c>
      <c r="N31" s="19">
        <v>8.26</v>
      </c>
      <c r="O31" s="19">
        <v>19.695000000000004</v>
      </c>
      <c r="P31" s="19">
        <v>207.60000000000002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">
      <c r="A32" s="14">
        <f>'Exptl Setup'!A64</f>
        <v>57</v>
      </c>
      <c r="B32" s="14" t="str">
        <f>'Exptl Setup'!B64</f>
        <v>MTT No Till</v>
      </c>
      <c r="C32" s="14" t="str">
        <f>'Exptl Setup'!C64</f>
        <v>c</v>
      </c>
      <c r="D32" s="14">
        <f>'Exptl Setup'!D64</f>
        <v>24</v>
      </c>
      <c r="E32" s="14" t="str">
        <f>'Exptl Setup'!E64</f>
        <v>+</v>
      </c>
      <c r="F32" s="14">
        <f>'Exptl Setup'!F64</f>
        <v>32</v>
      </c>
      <c r="G32" s="17">
        <f>'Exptl Setup'!G64</f>
        <v>25.002363259966963</v>
      </c>
      <c r="H32" s="26">
        <v>6</v>
      </c>
      <c r="I32" s="18">
        <v>6.56</v>
      </c>
      <c r="J32" s="18">
        <v>4.66</v>
      </c>
      <c r="K32" s="20">
        <f>DEA!AK53</f>
        <v>859.90805603285628</v>
      </c>
      <c r="L32" s="19">
        <f>'CO2 - predicted from measured'!AY38</f>
        <v>1.9774961655911991</v>
      </c>
      <c r="M32" s="19">
        <v>28.25</v>
      </c>
      <c r="N32" s="19">
        <v>7.3599999999999994</v>
      </c>
      <c r="O32" s="19">
        <v>19.190000000000005</v>
      </c>
      <c r="P32" s="19">
        <v>191.8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ht="15">
      <c r="A33" s="14">
        <f>'Exptl Setup'!A68</f>
        <v>61</v>
      </c>
      <c r="B33" s="14" t="str">
        <f>'Exptl Setup'!B68</f>
        <v>MTT No Till</v>
      </c>
      <c r="C33" s="14" t="str">
        <f>'Exptl Setup'!C68</f>
        <v>a</v>
      </c>
      <c r="D33" s="14">
        <f>'Exptl Setup'!D68</f>
        <v>24</v>
      </c>
      <c r="E33" s="14" t="str">
        <f>'Exptl Setup'!E68</f>
        <v>+</v>
      </c>
      <c r="F33" s="14">
        <f>'Exptl Setup'!F68</f>
        <v>31.995999999999999</v>
      </c>
      <c r="G33" s="17">
        <f>'Exptl Setup'!G68</f>
        <v>24.999237964559462</v>
      </c>
      <c r="H33" s="26">
        <v>16</v>
      </c>
      <c r="I33" s="18">
        <v>8.3800000000000008</v>
      </c>
      <c r="J33" s="18">
        <v>5.0999999999999996</v>
      </c>
      <c r="K33" s="20">
        <f>DEA!AK54</f>
        <v>2949.9007760929244</v>
      </c>
      <c r="L33" s="19">
        <f>'CO2 - predicted from measured'!AY39</f>
        <v>3.187137782430796</v>
      </c>
      <c r="M33" s="19">
        <v>14.45</v>
      </c>
      <c r="N33" s="19">
        <v>24.5</v>
      </c>
      <c r="O33" s="19">
        <v>274.45</v>
      </c>
      <c r="P33" s="19">
        <v>3779.9999999999995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ht="15">
      <c r="A34" s="14">
        <f>'Exptl Setup'!A69</f>
        <v>62</v>
      </c>
      <c r="B34" s="14" t="str">
        <f>'Exptl Setup'!B69</f>
        <v>MTT No Till</v>
      </c>
      <c r="C34" s="14" t="str">
        <f>'Exptl Setup'!C69</f>
        <v>b</v>
      </c>
      <c r="D34" s="14">
        <f>'Exptl Setup'!D69</f>
        <v>24</v>
      </c>
      <c r="E34" s="14" t="str">
        <f>'Exptl Setup'!E69</f>
        <v>+</v>
      </c>
      <c r="F34" s="14">
        <f>'Exptl Setup'!F69</f>
        <v>32.003</v>
      </c>
      <c r="G34" s="17">
        <f>'Exptl Setup'!G69</f>
        <v>25.004707231522584</v>
      </c>
      <c r="H34" s="26">
        <v>16</v>
      </c>
      <c r="I34" s="18">
        <v>8.44</v>
      </c>
      <c r="J34" s="18">
        <v>5.42</v>
      </c>
      <c r="K34" s="20">
        <f>DEA!AK55</f>
        <v>3258.6172895245709</v>
      </c>
      <c r="L34" s="19">
        <f>'CO2 - predicted from measured'!AY40</f>
        <v>14.305750389828956</v>
      </c>
      <c r="M34" s="19">
        <v>10.49</v>
      </c>
      <c r="N34" s="19">
        <v>29.54</v>
      </c>
      <c r="O34" s="19">
        <v>276.57</v>
      </c>
      <c r="P34" s="19">
        <v>3700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</row>
    <row r="35" spans="1:53" ht="15">
      <c r="A35" s="14">
        <f>'Exptl Setup'!A70</f>
        <v>63</v>
      </c>
      <c r="B35" s="14" t="str">
        <f>'Exptl Setup'!B70</f>
        <v>MTT No Till</v>
      </c>
      <c r="C35" s="14" t="str">
        <f>'Exptl Setup'!C70</f>
        <v>c</v>
      </c>
      <c r="D35" s="14">
        <f>'Exptl Setup'!D70</f>
        <v>24</v>
      </c>
      <c r="E35" s="14" t="str">
        <f>'Exptl Setup'!E70</f>
        <v>+</v>
      </c>
      <c r="F35" s="14">
        <f>'Exptl Setup'!F70</f>
        <v>32.005000000000003</v>
      </c>
      <c r="G35" s="17">
        <f>'Exptl Setup'!G70</f>
        <v>25.006269879226334</v>
      </c>
      <c r="H35" s="26">
        <v>16</v>
      </c>
      <c r="I35" s="18">
        <v>8.3699999999999992</v>
      </c>
      <c r="J35" s="18">
        <v>5.38</v>
      </c>
      <c r="K35" s="20">
        <f>DEA!AK56</f>
        <v>2993.0806516348352</v>
      </c>
      <c r="L35" s="19">
        <f>'CO2 - predicted from measured'!AY41</f>
        <v>4.6443350263088554</v>
      </c>
      <c r="M35" s="19">
        <v>10.87</v>
      </c>
      <c r="N35" s="19">
        <v>26.44</v>
      </c>
      <c r="O35" s="19">
        <v>281.19</v>
      </c>
      <c r="P35" s="19">
        <v>3986.9999999999995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</row>
    <row r="36" spans="1:53" ht="15">
      <c r="A36" s="14">
        <f>'Exptl Setup'!A74</f>
        <v>67</v>
      </c>
      <c r="B36" s="14" t="str">
        <f>'Exptl Setup'!B74</f>
        <v>MTT No Till</v>
      </c>
      <c r="C36" s="14" t="str">
        <f>'Exptl Setup'!C74</f>
        <v>a</v>
      </c>
      <c r="D36" s="14">
        <f>'Exptl Setup'!D74</f>
        <v>24</v>
      </c>
      <c r="E36" s="14" t="str">
        <f>'Exptl Setup'!E74</f>
        <v>+</v>
      </c>
      <c r="F36" s="14">
        <f>'Exptl Setup'!F74</f>
        <v>31.997</v>
      </c>
      <c r="G36" s="17">
        <f>'Exptl Setup'!G74</f>
        <v>25.000019288411337</v>
      </c>
      <c r="H36" s="26">
        <v>20</v>
      </c>
      <c r="I36" s="18">
        <v>8.89</v>
      </c>
      <c r="J36" s="18">
        <v>5.74</v>
      </c>
      <c r="K36" s="20">
        <f>DEA!AK57</f>
        <v>27.749131665345047</v>
      </c>
      <c r="L36" s="19">
        <f>'CO2 - predicted from measured'!AY42</f>
        <v>0.64782061152968606</v>
      </c>
      <c r="M36" s="19">
        <v>46.77</v>
      </c>
      <c r="N36" s="19">
        <v>27.34</v>
      </c>
      <c r="O36" s="19">
        <v>408.59000000000003</v>
      </c>
      <c r="P36" s="19">
        <v>4522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ht="15">
      <c r="A37" s="14">
        <f>'Exptl Setup'!A75</f>
        <v>68</v>
      </c>
      <c r="B37" s="14" t="str">
        <f>'Exptl Setup'!B75</f>
        <v>MTT No Till</v>
      </c>
      <c r="C37" s="14" t="str">
        <f>'Exptl Setup'!C75</f>
        <v>b</v>
      </c>
      <c r="D37" s="14">
        <f>'Exptl Setup'!D75</f>
        <v>24</v>
      </c>
      <c r="E37" s="14" t="str">
        <f>'Exptl Setup'!E75</f>
        <v>+</v>
      </c>
      <c r="F37" s="14">
        <f>'Exptl Setup'!F75</f>
        <v>32</v>
      </c>
      <c r="G37" s="17">
        <f>'Exptl Setup'!G75</f>
        <v>25.002363259966963</v>
      </c>
      <c r="H37" s="26">
        <v>20</v>
      </c>
      <c r="I37" s="18">
        <v>8.82</v>
      </c>
      <c r="J37" s="18">
        <v>5.5</v>
      </c>
      <c r="K37" s="20">
        <f>DEA!AK58</f>
        <v>2.3600121254520148</v>
      </c>
      <c r="L37" s="19">
        <f>'CO2 - predicted from measured'!AY43</f>
        <v>-2.4615273998366329</v>
      </c>
      <c r="M37" s="19">
        <v>46.11</v>
      </c>
      <c r="N37" s="19">
        <v>26.76</v>
      </c>
      <c r="O37" s="19">
        <v>451.42999999999995</v>
      </c>
      <c r="P37" s="19">
        <v>5024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38" spans="1:53" ht="15">
      <c r="A38" s="14">
        <f>'Exptl Setup'!A76</f>
        <v>69</v>
      </c>
      <c r="B38" s="14" t="str">
        <f>'Exptl Setup'!B76</f>
        <v>MTT No Till</v>
      </c>
      <c r="C38" s="14" t="str">
        <f>'Exptl Setup'!C76</f>
        <v>c</v>
      </c>
      <c r="D38" s="14">
        <f>'Exptl Setup'!D76</f>
        <v>24</v>
      </c>
      <c r="E38" s="14" t="str">
        <f>'Exptl Setup'!E76</f>
        <v>+</v>
      </c>
      <c r="F38" s="14">
        <f>'Exptl Setup'!F76</f>
        <v>31.997</v>
      </c>
      <c r="G38" s="17">
        <f>'Exptl Setup'!G76</f>
        <v>25.000019288411337</v>
      </c>
      <c r="H38" s="26">
        <v>20</v>
      </c>
      <c r="I38" s="18">
        <v>9</v>
      </c>
      <c r="J38" s="18">
        <v>5.66</v>
      </c>
      <c r="K38" s="20">
        <f>DEA!AK59</f>
        <v>1.1373929169180146</v>
      </c>
      <c r="L38" s="19">
        <f>'CO2 - predicted from measured'!AY44</f>
        <v>5.3357317810100724E-2</v>
      </c>
      <c r="M38" s="19">
        <v>48.12</v>
      </c>
      <c r="N38" s="19">
        <v>27.21</v>
      </c>
      <c r="O38" s="19">
        <v>394.67</v>
      </c>
      <c r="P38" s="19">
        <v>4781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</row>
    <row r="39" spans="1:53" ht="15">
      <c r="A39" s="14">
        <f>'Exptl Setup'!A80</f>
        <v>73</v>
      </c>
      <c r="B39" s="14" t="str">
        <f>'Exptl Setup'!B80</f>
        <v>MTT No Till</v>
      </c>
      <c r="C39" s="14" t="str">
        <f>'Exptl Setup'!C80</f>
        <v>a</v>
      </c>
      <c r="D39" s="14">
        <f>'Exptl Setup'!D80</f>
        <v>24</v>
      </c>
      <c r="E39" s="14" t="str">
        <f>'Exptl Setup'!E80</f>
        <v>-</v>
      </c>
      <c r="F39" s="14">
        <f>'Exptl Setup'!F80</f>
        <v>32.002000000000002</v>
      </c>
      <c r="G39" s="17">
        <f>'Exptl Setup'!G80</f>
        <v>25.003925907670713</v>
      </c>
      <c r="H39" s="26">
        <v>0</v>
      </c>
      <c r="I39" s="18">
        <v>4.6500000000000004</v>
      </c>
      <c r="J39" s="18">
        <v>5.4</v>
      </c>
      <c r="K39" s="20">
        <f>DEA!AK60</f>
        <v>113.24776873793807</v>
      </c>
      <c r="L39" s="19">
        <f>'CO2 - predicted from measured'!AY45</f>
        <v>0.6687266866920123</v>
      </c>
      <c r="M39" s="19">
        <v>37.659999999999997</v>
      </c>
      <c r="N39" s="19">
        <v>2.3534999999999999</v>
      </c>
      <c r="O39" s="19">
        <v>2.1515000000000057</v>
      </c>
      <c r="P39" s="19">
        <v>44.349999999999994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</row>
    <row r="40" spans="1:53" ht="15">
      <c r="A40" s="14">
        <f>'Exptl Setup'!A81</f>
        <v>74</v>
      </c>
      <c r="B40" s="14" t="str">
        <f>'Exptl Setup'!B81</f>
        <v>MTT No Till</v>
      </c>
      <c r="C40" s="14" t="str">
        <f>'Exptl Setup'!C81</f>
        <v>b</v>
      </c>
      <c r="D40" s="14">
        <f>'Exptl Setup'!D81</f>
        <v>24</v>
      </c>
      <c r="E40" s="14" t="str">
        <f>'Exptl Setup'!E81</f>
        <v>-</v>
      </c>
      <c r="F40" s="14">
        <f>'Exptl Setup'!F81</f>
        <v>31.992000000000001</v>
      </c>
      <c r="G40" s="17">
        <f>'Exptl Setup'!G81</f>
        <v>24.996112669151969</v>
      </c>
      <c r="H40" s="26">
        <v>0</v>
      </c>
      <c r="I40" s="18">
        <v>4.6900000000000004</v>
      </c>
      <c r="J40" s="18">
        <v>5.34</v>
      </c>
      <c r="K40" s="20">
        <f>DEA!AK61</f>
        <v>133.82316647539187</v>
      </c>
      <c r="L40" s="19">
        <f>'CO2 - predicted from measured'!AY46</f>
        <v>0.63377082745719759</v>
      </c>
      <c r="M40" s="19">
        <v>37.085000000000001</v>
      </c>
      <c r="N40" s="19">
        <v>2.3594999999999997</v>
      </c>
      <c r="O40" s="19">
        <v>5.8804999999999978</v>
      </c>
      <c r="P40" s="19">
        <v>47.220000000000006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1:53" ht="15">
      <c r="A41" s="14">
        <f>'Exptl Setup'!A82</f>
        <v>75</v>
      </c>
      <c r="B41" s="14" t="str">
        <f>'Exptl Setup'!B82</f>
        <v>MTT No Till</v>
      </c>
      <c r="C41" s="14" t="str">
        <f>'Exptl Setup'!C82</f>
        <v>c</v>
      </c>
      <c r="D41" s="14">
        <f>'Exptl Setup'!D82</f>
        <v>24</v>
      </c>
      <c r="E41" s="14" t="str">
        <f>'Exptl Setup'!E82</f>
        <v>-</v>
      </c>
      <c r="F41" s="14">
        <f>'Exptl Setup'!F82</f>
        <v>31.998999999999999</v>
      </c>
      <c r="G41" s="17">
        <f>'Exptl Setup'!G82</f>
        <v>25.001581936115088</v>
      </c>
      <c r="H41" s="26">
        <v>0</v>
      </c>
      <c r="I41" s="18">
        <v>4.63</v>
      </c>
      <c r="J41" s="18">
        <v>5.44</v>
      </c>
      <c r="K41" s="20">
        <f>DEA!AK62</f>
        <v>124.47943803276738</v>
      </c>
      <c r="L41" s="19">
        <f>'CO2 - predicted from measured'!AY47</f>
        <v>-0.49871723730999434</v>
      </c>
      <c r="M41" s="19">
        <v>37.225000000000001</v>
      </c>
      <c r="N41" s="19">
        <v>2.3355000000000001</v>
      </c>
      <c r="O41" s="19">
        <v>6.8894999999999911</v>
      </c>
      <c r="P41" s="19">
        <v>42.42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</row>
    <row r="42" spans="1:53" ht="15">
      <c r="A42" s="14">
        <f>'Exptl Setup'!A86</f>
        <v>79</v>
      </c>
      <c r="B42" s="14" t="str">
        <f>'Exptl Setup'!B86</f>
        <v>MTT No Till</v>
      </c>
      <c r="C42" s="14" t="str">
        <f>'Exptl Setup'!C86</f>
        <v>a</v>
      </c>
      <c r="D42" s="14">
        <f>'Exptl Setup'!D86</f>
        <v>24</v>
      </c>
      <c r="E42" s="14" t="str">
        <f>'Exptl Setup'!E86</f>
        <v>-</v>
      </c>
      <c r="F42" s="14">
        <f>'Exptl Setup'!F86</f>
        <v>31.997</v>
      </c>
      <c r="G42" s="17">
        <f>'Exptl Setup'!G86</f>
        <v>25.000019288411337</v>
      </c>
      <c r="H42" s="26">
        <v>6</v>
      </c>
      <c r="I42" s="18">
        <v>6.68</v>
      </c>
      <c r="J42" s="18">
        <v>4.72</v>
      </c>
      <c r="K42" s="20">
        <f>DEA!AK63</f>
        <v>60.667398760797838</v>
      </c>
      <c r="L42" s="19">
        <f>'CO2 - predicted from measured'!AY48</f>
        <v>1.8552207986430109</v>
      </c>
      <c r="M42" s="19">
        <v>27.934999999999999</v>
      </c>
      <c r="N42" s="19">
        <v>7.495000000000001</v>
      </c>
      <c r="O42" s="19">
        <v>12.037248908296949</v>
      </c>
      <c r="P42" s="19">
        <v>176.29999999999998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</row>
    <row r="43" spans="1:53" ht="15">
      <c r="A43" s="14">
        <f>'Exptl Setup'!A87</f>
        <v>80</v>
      </c>
      <c r="B43" s="14" t="str">
        <f>'Exptl Setup'!B87</f>
        <v>MTT No Till</v>
      </c>
      <c r="C43" s="14" t="str">
        <f>'Exptl Setup'!C87</f>
        <v>b</v>
      </c>
      <c r="D43" s="14">
        <f>'Exptl Setup'!D87</f>
        <v>24</v>
      </c>
      <c r="E43" s="14" t="str">
        <f>'Exptl Setup'!E87</f>
        <v>-</v>
      </c>
      <c r="F43" s="14">
        <f>'Exptl Setup'!F87</f>
        <v>31.995999999999999</v>
      </c>
      <c r="G43" s="17">
        <f>'Exptl Setup'!G87</f>
        <v>24.999237964559462</v>
      </c>
      <c r="H43" s="26">
        <v>6</v>
      </c>
      <c r="I43" s="18">
        <v>6.65</v>
      </c>
      <c r="J43" s="18">
        <v>4.76</v>
      </c>
      <c r="K43" s="20">
        <f>DEA!AK64</f>
        <v>47.147388813762554</v>
      </c>
      <c r="L43" s="19">
        <f>'CO2 - predicted from measured'!AY49</f>
        <v>1.9290304366857414</v>
      </c>
      <c r="M43" s="19">
        <v>28.424999999999997</v>
      </c>
      <c r="N43" s="19">
        <v>7.125</v>
      </c>
      <c r="O43" s="19">
        <v>11.087554585152844</v>
      </c>
      <c r="P43" s="19">
        <v>178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</row>
    <row r="44" spans="1:53" ht="15">
      <c r="A44" s="14">
        <f>'Exptl Setup'!A88</f>
        <v>81</v>
      </c>
      <c r="B44" s="14" t="str">
        <f>'Exptl Setup'!B88</f>
        <v>MTT No Till</v>
      </c>
      <c r="C44" s="14" t="str">
        <f>'Exptl Setup'!C88</f>
        <v>c</v>
      </c>
      <c r="D44" s="14">
        <f>'Exptl Setup'!D88</f>
        <v>24</v>
      </c>
      <c r="E44" s="14" t="str">
        <f>'Exptl Setup'!E88</f>
        <v>-</v>
      </c>
      <c r="F44" s="14">
        <f>'Exptl Setup'!F88</f>
        <v>32.01</v>
      </c>
      <c r="G44" s="17">
        <f>'Exptl Setup'!G88</f>
        <v>25.010176498485698</v>
      </c>
      <c r="H44" s="26">
        <v>6</v>
      </c>
      <c r="I44" s="18">
        <v>6.58</v>
      </c>
      <c r="J44" s="18">
        <v>4.7</v>
      </c>
      <c r="K44" s="20">
        <f>DEA!AK65</f>
        <v>60.432217293197652</v>
      </c>
      <c r="L44" s="19">
        <f>'CO2 - predicted from measured'!AY50</f>
        <v>2.1715159603747867</v>
      </c>
      <c r="M44" s="19">
        <v>28.290000000000003</v>
      </c>
      <c r="N44" s="19">
        <v>7.9950000000000001</v>
      </c>
      <c r="O44" s="19">
        <v>9.9595414847161585</v>
      </c>
      <c r="P44" s="19">
        <v>161.80000000000001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</row>
    <row r="45" spans="1:53">
      <c r="A45" s="14">
        <f>'Exptl Setup'!A92</f>
        <v>85</v>
      </c>
      <c r="B45" s="14" t="str">
        <f>'Exptl Setup'!B92</f>
        <v>MTT No Till</v>
      </c>
      <c r="C45" s="14" t="str">
        <f>'Exptl Setup'!C92</f>
        <v>a</v>
      </c>
      <c r="D45" s="14">
        <f>'Exptl Setup'!D92</f>
        <v>24</v>
      </c>
      <c r="E45" s="14" t="str">
        <f>'Exptl Setup'!E92</f>
        <v>-</v>
      </c>
      <c r="F45" s="14">
        <f>'Exptl Setup'!F92</f>
        <v>31.995999999999999</v>
      </c>
      <c r="G45" s="17">
        <f>'Exptl Setup'!G92</f>
        <v>24.999237964559462</v>
      </c>
      <c r="H45" s="26">
        <v>16</v>
      </c>
      <c r="I45" s="18">
        <v>8.3000000000000007</v>
      </c>
      <c r="J45" s="18">
        <v>5.22</v>
      </c>
      <c r="K45" s="20">
        <f>DEA!AK66</f>
        <v>20.951908101303914</v>
      </c>
      <c r="L45" s="19">
        <f>'CO2 - predicted from measured'!AY51</f>
        <v>0.81943576737927781</v>
      </c>
      <c r="M45" s="19">
        <v>17.989999999999998</v>
      </c>
      <c r="N45" s="19">
        <v>27.41</v>
      </c>
      <c r="O45" s="19">
        <v>284.99999999999994</v>
      </c>
      <c r="P45" s="19">
        <v>4006</v>
      </c>
    </row>
    <row r="46" spans="1:53">
      <c r="A46" s="14">
        <f>'Exptl Setup'!A93</f>
        <v>86</v>
      </c>
      <c r="B46" s="14" t="str">
        <f>'Exptl Setup'!B93</f>
        <v>MTT No Till</v>
      </c>
      <c r="C46" s="14" t="str">
        <f>'Exptl Setup'!C93</f>
        <v>b</v>
      </c>
      <c r="D46" s="14">
        <f>'Exptl Setup'!D93</f>
        <v>24</v>
      </c>
      <c r="E46" s="14" t="str">
        <f>'Exptl Setup'!E93</f>
        <v>-</v>
      </c>
      <c r="F46" s="14">
        <f>'Exptl Setup'!F93</f>
        <v>31.997</v>
      </c>
      <c r="G46" s="17">
        <f>'Exptl Setup'!G93</f>
        <v>25.000019288411337</v>
      </c>
      <c r="H46" s="26">
        <v>16</v>
      </c>
      <c r="I46" s="18">
        <v>8.3800000000000008</v>
      </c>
      <c r="J46" s="18">
        <v>5.34</v>
      </c>
      <c r="K46" s="20">
        <f>DEA!AK67</f>
        <v>21.472106354625762</v>
      </c>
      <c r="L46" s="19">
        <f>'CO2 - predicted from measured'!AY52</f>
        <v>2.6263974566357242</v>
      </c>
      <c r="M46" s="19">
        <v>18.489999999999998</v>
      </c>
      <c r="N46" s="19">
        <v>24.38</v>
      </c>
      <c r="O46" s="19">
        <v>241.82999999999998</v>
      </c>
      <c r="P46" s="19">
        <v>3832</v>
      </c>
    </row>
    <row r="47" spans="1:53">
      <c r="A47" s="14">
        <f>'Exptl Setup'!A94</f>
        <v>87</v>
      </c>
      <c r="B47" s="14" t="str">
        <f>'Exptl Setup'!B94</f>
        <v>MTT No Till</v>
      </c>
      <c r="C47" s="14" t="str">
        <f>'Exptl Setup'!C94</f>
        <v>c</v>
      </c>
      <c r="D47" s="14">
        <f>'Exptl Setup'!D94</f>
        <v>24</v>
      </c>
      <c r="E47" s="14" t="str">
        <f>'Exptl Setup'!E94</f>
        <v>-</v>
      </c>
      <c r="F47" s="14">
        <f>'Exptl Setup'!F94</f>
        <v>31.998999999999999</v>
      </c>
      <c r="G47" s="17">
        <f>'Exptl Setup'!G94</f>
        <v>25.001581936115088</v>
      </c>
      <c r="H47" s="26">
        <v>16</v>
      </c>
      <c r="I47" s="18">
        <v>8.33</v>
      </c>
      <c r="J47" s="18">
        <v>5.46</v>
      </c>
      <c r="K47" s="20">
        <f>DEA!AK68</f>
        <v>18.150305507135503</v>
      </c>
      <c r="L47" s="19">
        <f>'CO2 - predicted from measured'!AY53</f>
        <v>3.0594248726309137</v>
      </c>
      <c r="M47" s="19">
        <v>16.75</v>
      </c>
      <c r="N47" s="19">
        <v>25.43</v>
      </c>
      <c r="O47" s="19">
        <v>251.92000000000002</v>
      </c>
      <c r="P47" s="19">
        <v>3783</v>
      </c>
    </row>
    <row r="48" spans="1:53">
      <c r="A48" s="14">
        <f>'Exptl Setup'!A98</f>
        <v>91</v>
      </c>
      <c r="B48" s="14" t="str">
        <f>'Exptl Setup'!B98</f>
        <v>MTT No Till</v>
      </c>
      <c r="C48" s="14" t="str">
        <f>'Exptl Setup'!C98</f>
        <v>a</v>
      </c>
      <c r="D48" s="14">
        <f>'Exptl Setup'!D98</f>
        <v>24</v>
      </c>
      <c r="E48" s="14" t="str">
        <f>'Exptl Setup'!E98</f>
        <v>-</v>
      </c>
      <c r="F48" s="14">
        <f>'Exptl Setup'!F98</f>
        <v>31.994</v>
      </c>
      <c r="G48" s="17">
        <f>'Exptl Setup'!G98</f>
        <v>24.997675316855716</v>
      </c>
      <c r="H48" s="26">
        <v>20</v>
      </c>
      <c r="I48" s="18">
        <v>8.92</v>
      </c>
      <c r="J48" s="18">
        <v>5.52</v>
      </c>
      <c r="K48" s="20">
        <f>DEA!AK69</f>
        <v>0.55654272784174785</v>
      </c>
      <c r="L48" s="19">
        <f>'CO2 - predicted from measured'!AY54</f>
        <v>-1.2382581925750231</v>
      </c>
      <c r="M48" s="19">
        <v>45.21</v>
      </c>
      <c r="N48" s="19">
        <v>25.58</v>
      </c>
      <c r="O48" s="19">
        <v>410.81000000000006</v>
      </c>
      <c r="P48" s="19">
        <v>4178</v>
      </c>
    </row>
    <row r="49" spans="1:16">
      <c r="A49" s="14">
        <f>'Exptl Setup'!A99</f>
        <v>92</v>
      </c>
      <c r="B49" s="14" t="str">
        <f>'Exptl Setup'!B99</f>
        <v>MTT No Till</v>
      </c>
      <c r="C49" s="14" t="str">
        <f>'Exptl Setup'!C99</f>
        <v>b</v>
      </c>
      <c r="D49" s="14">
        <f>'Exptl Setup'!D99</f>
        <v>24</v>
      </c>
      <c r="E49" s="14" t="str">
        <f>'Exptl Setup'!E99</f>
        <v>-</v>
      </c>
      <c r="F49" s="14">
        <f>'Exptl Setup'!F99</f>
        <v>32.009</v>
      </c>
      <c r="G49" s="17">
        <f>'Exptl Setup'!G99</f>
        <v>25.009395174633827</v>
      </c>
      <c r="H49" s="26">
        <v>20</v>
      </c>
      <c r="I49" s="18">
        <v>9.0500000000000007</v>
      </c>
      <c r="J49" s="18">
        <v>5.54</v>
      </c>
      <c r="K49" s="20">
        <f>DEA!AK70</f>
        <v>0.24915233263522144</v>
      </c>
      <c r="L49" s="19">
        <f>'CO2 - predicted from measured'!AY55</f>
        <v>-5.0969617481817692E-2</v>
      </c>
      <c r="M49" s="19">
        <v>44.63</v>
      </c>
      <c r="N49" s="19">
        <v>25.35</v>
      </c>
      <c r="O49" s="19">
        <v>362.71999999999997</v>
      </c>
      <c r="P49" s="19">
        <v>4573</v>
      </c>
    </row>
    <row r="50" spans="1:16">
      <c r="A50" s="14">
        <f>'Exptl Setup'!A100</f>
        <v>93</v>
      </c>
      <c r="B50" s="14" t="str">
        <f>'Exptl Setup'!B100</f>
        <v>MTT No Till</v>
      </c>
      <c r="C50" s="14" t="str">
        <f>'Exptl Setup'!C100</f>
        <v>c</v>
      </c>
      <c r="D50" s="14">
        <f>'Exptl Setup'!D100</f>
        <v>24</v>
      </c>
      <c r="E50" s="14" t="str">
        <f>'Exptl Setup'!E100</f>
        <v>-</v>
      </c>
      <c r="F50" s="14">
        <f>'Exptl Setup'!F100</f>
        <v>31.997</v>
      </c>
      <c r="G50" s="17">
        <f>'Exptl Setup'!G100</f>
        <v>25.000019288411337</v>
      </c>
      <c r="H50" s="26">
        <v>20</v>
      </c>
      <c r="I50" s="18">
        <v>9.1300000000000008</v>
      </c>
      <c r="J50" s="18">
        <v>5.72</v>
      </c>
      <c r="K50" s="20">
        <f>DEA!AK71</f>
        <v>7.7318302044516188E-2</v>
      </c>
      <c r="L50" s="19">
        <f>'CO2 - predicted from measured'!AY56</f>
        <v>-0.64710778311659156</v>
      </c>
      <c r="M50" s="19">
        <v>46.85</v>
      </c>
      <c r="N50" s="19">
        <v>25.47</v>
      </c>
      <c r="O50" s="19">
        <v>346.38</v>
      </c>
      <c r="P50" s="19">
        <v>4882</v>
      </c>
    </row>
    <row r="51" spans="1:16">
      <c r="A51" s="14">
        <f>'Exptl Setup'!A104</f>
        <v>97</v>
      </c>
      <c r="B51" s="14" t="str">
        <f>'Exptl Setup'!B104</f>
        <v>MTT No Till</v>
      </c>
      <c r="C51" s="14" t="str">
        <f>'Exptl Setup'!C104</f>
        <v>a</v>
      </c>
      <c r="D51" s="14">
        <f>'Exptl Setup'!D104</f>
        <v>32</v>
      </c>
      <c r="E51" s="14" t="str">
        <f>'Exptl Setup'!E104</f>
        <v>+</v>
      </c>
      <c r="F51" s="14">
        <f>'Exptl Setup'!F104</f>
        <v>31.995999999999999</v>
      </c>
      <c r="G51" s="17">
        <f>'Exptl Setup'!G104</f>
        <v>24.999237964559462</v>
      </c>
      <c r="H51" s="26">
        <v>0</v>
      </c>
      <c r="I51" s="18">
        <v>4.57</v>
      </c>
      <c r="J51" s="18">
        <v>5.72</v>
      </c>
      <c r="K51" s="20">
        <f>DEA!AK72</f>
        <v>111.38776626547828</v>
      </c>
      <c r="L51" s="19">
        <f>'CO2 - predicted from measured'!AY57</f>
        <v>0.9694554908269426</v>
      </c>
      <c r="M51" s="19">
        <v>38.75</v>
      </c>
      <c r="N51" s="19">
        <v>3.3765000000000001</v>
      </c>
      <c r="O51" s="19">
        <v>5.8434999999999988</v>
      </c>
      <c r="P51" s="19">
        <v>47.460000000000008</v>
      </c>
    </row>
    <row r="52" spans="1:16">
      <c r="A52" s="14">
        <f>'Exptl Setup'!A105</f>
        <v>98</v>
      </c>
      <c r="B52" s="14" t="str">
        <f>'Exptl Setup'!B105</f>
        <v>MTT No Till</v>
      </c>
      <c r="C52" s="14" t="str">
        <f>'Exptl Setup'!C105</f>
        <v>b</v>
      </c>
      <c r="D52" s="14">
        <f>'Exptl Setup'!D105</f>
        <v>32</v>
      </c>
      <c r="E52" s="14" t="str">
        <f>'Exptl Setup'!E105</f>
        <v>+</v>
      </c>
      <c r="F52" s="14">
        <f>'Exptl Setup'!F105</f>
        <v>32.006999999999998</v>
      </c>
      <c r="G52" s="17">
        <f>'Exptl Setup'!G105</f>
        <v>25.007832526930077</v>
      </c>
      <c r="H52" s="26">
        <v>0</v>
      </c>
      <c r="I52" s="18">
        <v>4.6500000000000004</v>
      </c>
      <c r="J52" s="18">
        <v>5.76</v>
      </c>
      <c r="K52" s="20">
        <f>DEA!AK73</f>
        <v>119.71787045293652</v>
      </c>
      <c r="L52" s="19">
        <f>'CO2 - predicted from measured'!AY58</f>
        <v>1.2140379610993639</v>
      </c>
      <c r="M52" s="19">
        <v>38.824999999999996</v>
      </c>
      <c r="N52" s="19">
        <v>2.9695</v>
      </c>
      <c r="O52" s="19">
        <v>6.8755000000000095</v>
      </c>
      <c r="P52" s="19">
        <v>48.29</v>
      </c>
    </row>
    <row r="53" spans="1:16">
      <c r="A53" s="14">
        <f>'Exptl Setup'!A106</f>
        <v>99</v>
      </c>
      <c r="B53" s="14" t="str">
        <f>'Exptl Setup'!B106</f>
        <v>MTT No Till</v>
      </c>
      <c r="C53" s="14" t="str">
        <f>'Exptl Setup'!C106</f>
        <v>c</v>
      </c>
      <c r="D53" s="14">
        <f>'Exptl Setup'!D106</f>
        <v>32</v>
      </c>
      <c r="E53" s="14" t="str">
        <f>'Exptl Setup'!E106</f>
        <v>+</v>
      </c>
      <c r="F53" s="14">
        <f>'Exptl Setup'!F106</f>
        <v>31.991</v>
      </c>
      <c r="G53" s="17">
        <f>'Exptl Setup'!G106</f>
        <v>24.995331345300094</v>
      </c>
      <c r="H53" s="26">
        <v>0</v>
      </c>
      <c r="I53" s="18">
        <v>4.6100000000000003</v>
      </c>
      <c r="J53" s="18">
        <v>5.84</v>
      </c>
      <c r="K53" s="20">
        <f>DEA!AK74</f>
        <v>113.98438264949388</v>
      </c>
      <c r="L53" s="19">
        <f>'CO2 - predicted from measured'!AY59</f>
        <v>0.92432963693690406</v>
      </c>
      <c r="M53" s="19">
        <v>38.675000000000004</v>
      </c>
      <c r="N53" s="19">
        <v>2.7495000000000003</v>
      </c>
      <c r="O53" s="19">
        <v>4.9954999999999998</v>
      </c>
      <c r="P53" s="19">
        <v>41.769999999999996</v>
      </c>
    </row>
    <row r="54" spans="1:16">
      <c r="A54" s="14">
        <f>'Exptl Setup'!A110</f>
        <v>103</v>
      </c>
      <c r="B54" s="14" t="str">
        <f>'Exptl Setup'!B110</f>
        <v>MTT No Till</v>
      </c>
      <c r="C54" s="14" t="str">
        <f>'Exptl Setup'!C110</f>
        <v>a</v>
      </c>
      <c r="D54" s="14">
        <f>'Exptl Setup'!D110</f>
        <v>32</v>
      </c>
      <c r="E54" s="14" t="str">
        <f>'Exptl Setup'!E110</f>
        <v>+</v>
      </c>
      <c r="F54" s="14">
        <f>'Exptl Setup'!F110</f>
        <v>31.992000000000001</v>
      </c>
      <c r="G54" s="17">
        <f>'Exptl Setup'!G110</f>
        <v>24.996112669151969</v>
      </c>
      <c r="H54" s="26">
        <v>6</v>
      </c>
      <c r="I54" s="18">
        <v>6.64</v>
      </c>
      <c r="J54" s="18">
        <v>5.04</v>
      </c>
      <c r="K54" s="20">
        <f>DEA!AK75</f>
        <v>925.09537376138985</v>
      </c>
      <c r="L54" s="19">
        <f>'CO2 - predicted from measured'!AY60</f>
        <v>7.3860152744369465</v>
      </c>
      <c r="M54" s="19">
        <v>29.369999999999997</v>
      </c>
      <c r="N54" s="19">
        <v>9.7249999999999996</v>
      </c>
      <c r="O54" s="19">
        <v>7.7608951965065529</v>
      </c>
      <c r="P54" s="19">
        <v>233.79999999999998</v>
      </c>
    </row>
    <row r="55" spans="1:16">
      <c r="A55" s="14">
        <f>'Exptl Setup'!A111</f>
        <v>104</v>
      </c>
      <c r="B55" s="14" t="str">
        <f>'Exptl Setup'!B111</f>
        <v>MTT No Till</v>
      </c>
      <c r="C55" s="14" t="str">
        <f>'Exptl Setup'!C111</f>
        <v>b</v>
      </c>
      <c r="D55" s="14">
        <f>'Exptl Setup'!D111</f>
        <v>32</v>
      </c>
      <c r="E55" s="14" t="str">
        <f>'Exptl Setup'!E111</f>
        <v>+</v>
      </c>
      <c r="F55" s="14">
        <f>'Exptl Setup'!F111</f>
        <v>31.994</v>
      </c>
      <c r="G55" s="17">
        <f>'Exptl Setup'!G111</f>
        <v>24.997675316855716</v>
      </c>
      <c r="H55" s="26">
        <v>6</v>
      </c>
      <c r="I55" s="18">
        <v>6.62</v>
      </c>
      <c r="J55" s="18">
        <v>5.0599999999999996</v>
      </c>
      <c r="K55" s="20">
        <f>DEA!AK76</f>
        <v>715.35580716317111</v>
      </c>
      <c r="L55" s="19">
        <f>'CO2 - predicted from measured'!AY61</f>
        <v>2.652606810996923</v>
      </c>
      <c r="M55" s="19">
        <v>28.975000000000001</v>
      </c>
      <c r="N55" s="19">
        <v>10.440000000000001</v>
      </c>
      <c r="O55" s="19">
        <v>8.0522489082969386</v>
      </c>
      <c r="P55" s="19">
        <v>238.1</v>
      </c>
    </row>
    <row r="56" spans="1:16">
      <c r="A56" s="14">
        <f>'Exptl Setup'!A112</f>
        <v>105</v>
      </c>
      <c r="B56" s="14" t="str">
        <f>'Exptl Setup'!B112</f>
        <v>MTT No Till</v>
      </c>
      <c r="C56" s="14" t="str">
        <f>'Exptl Setup'!C112</f>
        <v>c</v>
      </c>
      <c r="D56" s="14">
        <f>'Exptl Setup'!D112</f>
        <v>32</v>
      </c>
      <c r="E56" s="14" t="str">
        <f>'Exptl Setup'!E112</f>
        <v>+</v>
      </c>
      <c r="F56" s="14">
        <f>'Exptl Setup'!F112</f>
        <v>32.006999999999998</v>
      </c>
      <c r="G56" s="17">
        <f>'Exptl Setup'!G112</f>
        <v>25.007832526930077</v>
      </c>
      <c r="H56" s="26">
        <v>6</v>
      </c>
      <c r="I56" s="18">
        <v>6.65</v>
      </c>
      <c r="J56" s="18">
        <v>5</v>
      </c>
      <c r="K56" s="20">
        <f>DEA!AK77</f>
        <v>720.7500917218066</v>
      </c>
      <c r="L56" s="19">
        <f>'CO2 - predicted from measured'!AY62</f>
        <v>2.7421487754350946</v>
      </c>
      <c r="M56" s="19">
        <v>28.805</v>
      </c>
      <c r="N56" s="19">
        <v>9.1649999999999991</v>
      </c>
      <c r="O56" s="19">
        <v>17.357510917030574</v>
      </c>
      <c r="P56" s="19">
        <v>241.70000000000002</v>
      </c>
    </row>
    <row r="57" spans="1:16">
      <c r="A57" s="14">
        <f>'Exptl Setup'!A116</f>
        <v>109</v>
      </c>
      <c r="B57" s="14" t="str">
        <f>'Exptl Setup'!B116</f>
        <v>MTT No Till</v>
      </c>
      <c r="C57" s="14" t="str">
        <f>'Exptl Setup'!C116</f>
        <v>a</v>
      </c>
      <c r="D57" s="14">
        <f>'Exptl Setup'!D116</f>
        <v>32</v>
      </c>
      <c r="E57" s="14" t="str">
        <f>'Exptl Setup'!E116</f>
        <v>+</v>
      </c>
      <c r="F57" s="14">
        <f>'Exptl Setup'!F116</f>
        <v>31.995000000000001</v>
      </c>
      <c r="G57" s="17">
        <f>'Exptl Setup'!G116</f>
        <v>24.998456640707591</v>
      </c>
      <c r="H57" s="26">
        <v>16</v>
      </c>
      <c r="I57" s="18">
        <v>8.4</v>
      </c>
      <c r="J57" s="18">
        <v>5.6</v>
      </c>
      <c r="K57" s="20">
        <f>DEA!AK78</f>
        <v>1978.7530161495695</v>
      </c>
      <c r="L57" s="19">
        <f>'CO2 - predicted from measured'!AY63</f>
        <v>5.3428333287367966</v>
      </c>
      <c r="M57" s="19">
        <v>14.08</v>
      </c>
      <c r="N57" s="19">
        <v>28.25</v>
      </c>
      <c r="O57" s="19">
        <v>255.47</v>
      </c>
      <c r="P57" s="19">
        <v>4034.0000000000005</v>
      </c>
    </row>
    <row r="58" spans="1:16">
      <c r="A58" s="14">
        <f>'Exptl Setup'!A117</f>
        <v>110</v>
      </c>
      <c r="B58" s="14" t="str">
        <f>'Exptl Setup'!B117</f>
        <v>MTT No Till</v>
      </c>
      <c r="C58" s="14" t="str">
        <f>'Exptl Setup'!C117</f>
        <v>b</v>
      </c>
      <c r="D58" s="14">
        <f>'Exptl Setup'!D117</f>
        <v>32</v>
      </c>
      <c r="E58" s="14" t="str">
        <f>'Exptl Setup'!E117</f>
        <v>+</v>
      </c>
      <c r="F58" s="14">
        <f>'Exptl Setup'!F117</f>
        <v>31.998000000000001</v>
      </c>
      <c r="G58" s="17">
        <f>'Exptl Setup'!G117</f>
        <v>25.000800612263212</v>
      </c>
      <c r="H58" s="26">
        <v>16</v>
      </c>
      <c r="I58" s="18">
        <v>8.4499999999999993</v>
      </c>
      <c r="J58" s="18">
        <v>5.52</v>
      </c>
      <c r="K58" s="20">
        <f>DEA!AK79</f>
        <v>1606.6011130167528</v>
      </c>
      <c r="L58" s="19">
        <f>'CO2 - predicted from measured'!AY64</f>
        <v>6.1235712345877511</v>
      </c>
      <c r="M58" s="19">
        <v>15.56</v>
      </c>
      <c r="N58" s="19">
        <v>28.45</v>
      </c>
      <c r="O58" s="19">
        <v>284.09000000000003</v>
      </c>
      <c r="P58" s="19">
        <v>3940.9999999999995</v>
      </c>
    </row>
    <row r="59" spans="1:16">
      <c r="A59" s="14">
        <f>'Exptl Setup'!A118</f>
        <v>111</v>
      </c>
      <c r="B59" s="14" t="str">
        <f>'Exptl Setup'!B118</f>
        <v>MTT No Till</v>
      </c>
      <c r="C59" s="14" t="str">
        <f>'Exptl Setup'!C118</f>
        <v>c</v>
      </c>
      <c r="D59" s="14">
        <f>'Exptl Setup'!D118</f>
        <v>32</v>
      </c>
      <c r="E59" s="14" t="str">
        <f>'Exptl Setup'!E118</f>
        <v>+</v>
      </c>
      <c r="F59" s="14">
        <f>'Exptl Setup'!F118</f>
        <v>31.995999999999999</v>
      </c>
      <c r="G59" s="17">
        <f>'Exptl Setup'!G118</f>
        <v>24.999237964559462</v>
      </c>
      <c r="H59" s="26">
        <v>16</v>
      </c>
      <c r="I59" s="18">
        <v>8.41</v>
      </c>
      <c r="J59" s="18">
        <v>5.64</v>
      </c>
      <c r="K59" s="20">
        <f>DEA!AK80</f>
        <v>2159.1282120439623</v>
      </c>
      <c r="L59" s="19">
        <f>'CO2 - predicted from measured'!AY65</f>
        <v>5.199590666422659</v>
      </c>
      <c r="M59" s="19">
        <v>14.41</v>
      </c>
      <c r="N59" s="19">
        <v>22.56</v>
      </c>
      <c r="O59" s="19">
        <v>239.03</v>
      </c>
      <c r="P59" s="19">
        <v>3729</v>
      </c>
    </row>
    <row r="60" spans="1:16">
      <c r="A60" s="14">
        <f>'Exptl Setup'!A122</f>
        <v>115</v>
      </c>
      <c r="B60" s="14" t="str">
        <f>'Exptl Setup'!B122</f>
        <v>MTT No Till</v>
      </c>
      <c r="C60" s="14" t="str">
        <f>'Exptl Setup'!C122</f>
        <v>a</v>
      </c>
      <c r="D60" s="14">
        <f>'Exptl Setup'!D122</f>
        <v>32</v>
      </c>
      <c r="E60" s="14" t="str">
        <f>'Exptl Setup'!E122</f>
        <v>+</v>
      </c>
      <c r="F60" s="14">
        <f>'Exptl Setup'!F122</f>
        <v>32.005000000000003</v>
      </c>
      <c r="G60" s="17">
        <f>'Exptl Setup'!G122</f>
        <v>25.006269879226334</v>
      </c>
      <c r="H60" s="26">
        <v>20</v>
      </c>
      <c r="I60" s="18">
        <v>9.01</v>
      </c>
      <c r="J60" s="18">
        <v>5.6</v>
      </c>
      <c r="K60" s="20">
        <f>DEA!AK81</f>
        <v>29.374312250689407</v>
      </c>
      <c r="L60" s="19">
        <f>'CO2 - predicted from measured'!AY66</f>
        <v>0.21791795964502522</v>
      </c>
      <c r="M60" s="19">
        <v>47.61</v>
      </c>
      <c r="N60" s="19">
        <v>27.56</v>
      </c>
      <c r="O60" s="19">
        <v>490.53000000000009</v>
      </c>
      <c r="P60" s="19">
        <v>4454</v>
      </c>
    </row>
    <row r="61" spans="1:16">
      <c r="A61" s="14">
        <f>'Exptl Setup'!A123</f>
        <v>116</v>
      </c>
      <c r="B61" s="14" t="str">
        <f>'Exptl Setup'!B123</f>
        <v>MTT No Till</v>
      </c>
      <c r="C61" s="14" t="str">
        <f>'Exptl Setup'!C123</f>
        <v>b</v>
      </c>
      <c r="D61" s="14">
        <f>'Exptl Setup'!D123</f>
        <v>32</v>
      </c>
      <c r="E61" s="14" t="str">
        <f>'Exptl Setup'!E123</f>
        <v>+</v>
      </c>
      <c r="F61" s="14">
        <f>'Exptl Setup'!F123</f>
        <v>31.997</v>
      </c>
      <c r="G61" s="17">
        <f>'Exptl Setup'!G123</f>
        <v>25.000019288411337</v>
      </c>
      <c r="H61" s="26">
        <v>20</v>
      </c>
      <c r="I61" s="18">
        <v>9.0399999999999991</v>
      </c>
      <c r="J61" s="18">
        <v>5.44</v>
      </c>
      <c r="K61" s="20">
        <f>DEA!AK82</f>
        <v>1.2859254445298485</v>
      </c>
      <c r="L61" s="19">
        <f>'CO2 - predicted from measured'!AY67</f>
        <v>-3.8337631176589353</v>
      </c>
      <c r="M61" s="19">
        <v>47.43</v>
      </c>
      <c r="N61" s="19">
        <v>27.28</v>
      </c>
      <c r="O61" s="19">
        <v>432.79</v>
      </c>
      <c r="P61" s="19">
        <v>4438</v>
      </c>
    </row>
    <row r="62" spans="1:16">
      <c r="A62" s="14">
        <f>'Exptl Setup'!A124</f>
        <v>117</v>
      </c>
      <c r="B62" s="14" t="str">
        <f>'Exptl Setup'!B124</f>
        <v>MTT No Till</v>
      </c>
      <c r="C62" s="14" t="str">
        <f>'Exptl Setup'!C124</f>
        <v>c</v>
      </c>
      <c r="D62" s="14">
        <f>'Exptl Setup'!D124</f>
        <v>32</v>
      </c>
      <c r="E62" s="14" t="str">
        <f>'Exptl Setup'!E124</f>
        <v>+</v>
      </c>
      <c r="F62" s="14">
        <f>'Exptl Setup'!F124</f>
        <v>31.995999999999999</v>
      </c>
      <c r="G62" s="17">
        <f>'Exptl Setup'!G124</f>
        <v>24.999237964559462</v>
      </c>
      <c r="H62" s="26">
        <v>20</v>
      </c>
      <c r="I62" s="18">
        <v>9.0399999999999991</v>
      </c>
      <c r="J62" s="18">
        <v>5.52</v>
      </c>
      <c r="K62" s="20">
        <f>DEA!AK83</f>
        <v>0.72437402001206119</v>
      </c>
      <c r="L62" s="19">
        <f>'CO2 - predicted from measured'!AY68</f>
        <v>0.78242169690169161</v>
      </c>
      <c r="M62" s="19">
        <v>47.29</v>
      </c>
      <c r="N62" s="19">
        <v>26.71</v>
      </c>
      <c r="O62" s="19">
        <v>328.1</v>
      </c>
      <c r="P62" s="19">
        <v>4661</v>
      </c>
    </row>
    <row r="63" spans="1:16">
      <c r="A63" s="14">
        <f>'Exptl Setup'!A128</f>
        <v>121</v>
      </c>
      <c r="B63" s="14" t="str">
        <f>'Exptl Setup'!B128</f>
        <v>MTT No Till</v>
      </c>
      <c r="C63" s="14" t="str">
        <f>'Exptl Setup'!C128</f>
        <v>a</v>
      </c>
      <c r="D63" s="14">
        <f>'Exptl Setup'!D128</f>
        <v>32</v>
      </c>
      <c r="E63" s="14" t="str">
        <f>'Exptl Setup'!E128</f>
        <v>-</v>
      </c>
      <c r="F63" s="14">
        <f>'Exptl Setup'!F128</f>
        <v>31.995999999999999</v>
      </c>
      <c r="G63" s="17">
        <f>'Exptl Setup'!G128</f>
        <v>24.999237964559462</v>
      </c>
      <c r="H63" s="26">
        <v>0</v>
      </c>
      <c r="I63" s="18">
        <v>4.78</v>
      </c>
      <c r="J63" s="18">
        <v>5.76</v>
      </c>
      <c r="K63" s="20">
        <f>DEA!AK84</f>
        <v>109.3682684709222</v>
      </c>
      <c r="L63" s="19">
        <f>'CO2 - predicted from measured'!AY69</f>
        <v>0.92283425000200614</v>
      </c>
      <c r="M63" s="19">
        <v>37.375</v>
      </c>
      <c r="N63" s="19">
        <v>2.8679999999999999</v>
      </c>
      <c r="O63" s="19">
        <v>7.7769999999999939</v>
      </c>
      <c r="P63" s="19">
        <v>47.629999999999995</v>
      </c>
    </row>
    <row r="64" spans="1:16">
      <c r="A64" s="14">
        <f>'Exptl Setup'!A129</f>
        <v>122</v>
      </c>
      <c r="B64" s="14" t="str">
        <f>'Exptl Setup'!B129</f>
        <v>MTT No Till</v>
      </c>
      <c r="C64" s="14" t="str">
        <f>'Exptl Setup'!C129</f>
        <v>b</v>
      </c>
      <c r="D64" s="14">
        <f>'Exptl Setup'!D129</f>
        <v>32</v>
      </c>
      <c r="E64" s="14" t="str">
        <f>'Exptl Setup'!E129</f>
        <v>-</v>
      </c>
      <c r="F64" s="14">
        <f>'Exptl Setup'!F129</f>
        <v>32.003</v>
      </c>
      <c r="G64" s="17">
        <f>'Exptl Setup'!G129</f>
        <v>25.004707231522584</v>
      </c>
      <c r="H64" s="26">
        <v>0</v>
      </c>
      <c r="I64" s="18">
        <v>4.79</v>
      </c>
      <c r="J64" s="18">
        <v>5.78</v>
      </c>
      <c r="K64" s="20">
        <f>DEA!AK85</f>
        <v>112.79755042547259</v>
      </c>
      <c r="L64" s="19">
        <f>'CO2 - predicted from measured'!AY70</f>
        <v>0.88717962061955358</v>
      </c>
      <c r="M64" s="19">
        <v>38.914999999999999</v>
      </c>
      <c r="N64" s="19">
        <v>3.1340000000000003</v>
      </c>
      <c r="O64" s="19">
        <v>5.9960000000000022</v>
      </c>
      <c r="P64" s="19">
        <v>42.88</v>
      </c>
    </row>
    <row r="65" spans="1:16">
      <c r="A65" s="14">
        <f>'Exptl Setup'!A130</f>
        <v>123</v>
      </c>
      <c r="B65" s="14" t="str">
        <f>'Exptl Setup'!B130</f>
        <v>MTT No Till</v>
      </c>
      <c r="C65" s="14" t="str">
        <f>'Exptl Setup'!C130</f>
        <v>c</v>
      </c>
      <c r="D65" s="14">
        <f>'Exptl Setup'!D130</f>
        <v>32</v>
      </c>
      <c r="E65" s="14" t="str">
        <f>'Exptl Setup'!E130</f>
        <v>-</v>
      </c>
      <c r="F65" s="14">
        <f>'Exptl Setup'!F130</f>
        <v>31.994</v>
      </c>
      <c r="G65" s="17">
        <f>'Exptl Setup'!G130</f>
        <v>24.997675316855716</v>
      </c>
      <c r="H65" s="26">
        <v>0</v>
      </c>
      <c r="I65" s="18">
        <v>4.76</v>
      </c>
      <c r="J65" s="18">
        <v>5.8</v>
      </c>
      <c r="K65" s="20">
        <f>DEA!AK86</f>
        <v>115.9542020497489</v>
      </c>
      <c r="L65" s="19">
        <f>'CO2 - predicted from measured'!AY71</f>
        <v>0.71145121439349901</v>
      </c>
      <c r="M65" s="19">
        <v>37.1</v>
      </c>
      <c r="N65" s="19">
        <v>2.9409999999999998</v>
      </c>
      <c r="O65" s="19">
        <v>7.8239999999999981</v>
      </c>
      <c r="P65" s="19">
        <v>48.64</v>
      </c>
    </row>
    <row r="66" spans="1:16">
      <c r="A66" s="14">
        <f>'Exptl Setup'!A134</f>
        <v>127</v>
      </c>
      <c r="B66" s="14" t="str">
        <f>'Exptl Setup'!B134</f>
        <v>MTT No Till</v>
      </c>
      <c r="C66" s="14" t="str">
        <f>'Exptl Setup'!C134</f>
        <v>a</v>
      </c>
      <c r="D66" s="14">
        <f>'Exptl Setup'!D134</f>
        <v>32</v>
      </c>
      <c r="E66" s="14" t="str">
        <f>'Exptl Setup'!E134</f>
        <v>-</v>
      </c>
      <c r="F66" s="14">
        <f>'Exptl Setup'!F134</f>
        <v>31.998999999999999</v>
      </c>
      <c r="G66" s="17">
        <f>'Exptl Setup'!G134</f>
        <v>25.001581936115088</v>
      </c>
      <c r="H66" s="26">
        <v>6</v>
      </c>
      <c r="I66" s="18">
        <v>6.64</v>
      </c>
      <c r="J66" s="18">
        <v>4.96</v>
      </c>
      <c r="K66" s="20">
        <f>DEA!AK87</f>
        <v>64.916690709132652</v>
      </c>
      <c r="L66" s="19">
        <f>'CO2 - predicted from measured'!AY72</f>
        <v>2.0375291232391479</v>
      </c>
      <c r="M66" s="19">
        <v>29.28</v>
      </c>
      <c r="N66" s="19">
        <v>8.8550000000000004</v>
      </c>
      <c r="O66" s="19">
        <v>11.99600436681223</v>
      </c>
      <c r="P66" s="19">
        <v>187.2</v>
      </c>
    </row>
    <row r="67" spans="1:16">
      <c r="A67" s="14">
        <f>'Exptl Setup'!A135</f>
        <v>128</v>
      </c>
      <c r="B67" s="14" t="str">
        <f>'Exptl Setup'!B135</f>
        <v>MTT No Till</v>
      </c>
      <c r="C67" s="14" t="str">
        <f>'Exptl Setup'!C135</f>
        <v>b</v>
      </c>
      <c r="D67" s="14">
        <f>'Exptl Setup'!D135</f>
        <v>32</v>
      </c>
      <c r="E67" s="14" t="str">
        <f>'Exptl Setup'!E135</f>
        <v>-</v>
      </c>
      <c r="F67" s="14">
        <f>'Exptl Setup'!F135</f>
        <v>32</v>
      </c>
      <c r="G67" s="17">
        <f>'Exptl Setup'!G135</f>
        <v>25.002363259966963</v>
      </c>
      <c r="H67" s="26">
        <v>6</v>
      </c>
      <c r="I67" s="18">
        <v>6.66</v>
      </c>
      <c r="J67" s="18">
        <v>5.0599999999999996</v>
      </c>
      <c r="K67" s="20">
        <f>DEA!AK88</f>
        <v>90.6702417146183</v>
      </c>
      <c r="L67" s="19">
        <f>'CO2 - predicted from measured'!AY73</f>
        <v>2.3089682034355632</v>
      </c>
      <c r="M67" s="19">
        <v>29.04</v>
      </c>
      <c r="N67" s="19">
        <v>9.67</v>
      </c>
      <c r="O67" s="19">
        <v>9.9799563318777302</v>
      </c>
      <c r="P67" s="19">
        <v>197.7</v>
      </c>
    </row>
    <row r="68" spans="1:16">
      <c r="A68" s="14">
        <f>'Exptl Setup'!A136</f>
        <v>129</v>
      </c>
      <c r="B68" s="14" t="str">
        <f>'Exptl Setup'!B136</f>
        <v>MTT No Till</v>
      </c>
      <c r="C68" s="14" t="str">
        <f>'Exptl Setup'!C136</f>
        <v>c</v>
      </c>
      <c r="D68" s="14">
        <f>'Exptl Setup'!D136</f>
        <v>32</v>
      </c>
      <c r="E68" s="14" t="str">
        <f>'Exptl Setup'!E136</f>
        <v>-</v>
      </c>
      <c r="F68" s="14">
        <f>'Exptl Setup'!F136</f>
        <v>32.012</v>
      </c>
      <c r="G68" s="17">
        <f>'Exptl Setup'!G136</f>
        <v>25.011739146189448</v>
      </c>
      <c r="H68" s="26">
        <v>6</v>
      </c>
      <c r="I68" s="18">
        <v>6.66</v>
      </c>
      <c r="J68" s="18">
        <v>4.9400000000000004</v>
      </c>
      <c r="K68" s="20">
        <f>DEA!AK89</f>
        <v>35.8286708964471</v>
      </c>
      <c r="L68" s="19">
        <f>'CO2 - predicted from measured'!AY74</f>
        <v>3.1056378307280879</v>
      </c>
      <c r="M68" s="19">
        <v>26.54</v>
      </c>
      <c r="N68" s="19">
        <v>7.99</v>
      </c>
      <c r="O68" s="19">
        <v>14.596637554585158</v>
      </c>
      <c r="P68" s="19">
        <v>168.79999999999998</v>
      </c>
    </row>
    <row r="69" spans="1:16">
      <c r="A69" s="14">
        <f>'Exptl Setup'!A140</f>
        <v>133</v>
      </c>
      <c r="B69" s="14" t="str">
        <f>'Exptl Setup'!B140</f>
        <v>MTT No Till</v>
      </c>
      <c r="C69" s="14" t="str">
        <f>'Exptl Setup'!C140</f>
        <v>a</v>
      </c>
      <c r="D69" s="14">
        <f>'Exptl Setup'!D140</f>
        <v>32</v>
      </c>
      <c r="E69" s="14" t="str">
        <f>'Exptl Setup'!E140</f>
        <v>-</v>
      </c>
      <c r="F69" s="14">
        <f>'Exptl Setup'!F140</f>
        <v>32</v>
      </c>
      <c r="G69" s="17">
        <f>'Exptl Setup'!G140</f>
        <v>25.002363259966963</v>
      </c>
      <c r="H69" s="26">
        <v>16</v>
      </c>
      <c r="I69" s="18">
        <v>8.3699999999999992</v>
      </c>
      <c r="J69" s="18">
        <v>6.04</v>
      </c>
      <c r="K69" s="20">
        <f>DEA!AK90</f>
        <v>9.8672920762433414</v>
      </c>
      <c r="L69" s="19">
        <f>'CO2 - predicted from measured'!AY75</f>
        <v>6.0703641110221405</v>
      </c>
      <c r="M69" s="19">
        <v>20.69</v>
      </c>
      <c r="N69" s="19">
        <v>35.19</v>
      </c>
      <c r="O69" s="19">
        <v>332.32</v>
      </c>
      <c r="P69" s="19">
        <v>3792</v>
      </c>
    </row>
    <row r="70" spans="1:16">
      <c r="A70" s="14">
        <f>'Exptl Setup'!A141</f>
        <v>134</v>
      </c>
      <c r="B70" s="14" t="str">
        <f>'Exptl Setup'!B141</f>
        <v>MTT No Till</v>
      </c>
      <c r="C70" s="14" t="str">
        <f>'Exptl Setup'!C141</f>
        <v>b</v>
      </c>
      <c r="D70" s="14">
        <f>'Exptl Setup'!D141</f>
        <v>32</v>
      </c>
      <c r="E70" s="14" t="str">
        <f>'Exptl Setup'!E141</f>
        <v>-</v>
      </c>
      <c r="F70" s="14">
        <f>'Exptl Setup'!F141</f>
        <v>32.003</v>
      </c>
      <c r="G70" s="17">
        <f>'Exptl Setup'!G141</f>
        <v>25.004707231522584</v>
      </c>
      <c r="H70" s="26">
        <v>16</v>
      </c>
      <c r="I70" s="18">
        <v>8.36</v>
      </c>
      <c r="J70" s="18">
        <v>5.48</v>
      </c>
      <c r="K70" s="20">
        <f>DEA!AK91</f>
        <v>6.9379607150136007</v>
      </c>
      <c r="L70" s="19">
        <f>'CO2 - predicted from measured'!AY76</f>
        <v>6.2553252780574038</v>
      </c>
      <c r="M70" s="19">
        <v>22.49</v>
      </c>
      <c r="N70" s="19">
        <v>33.86</v>
      </c>
      <c r="O70" s="19">
        <v>269.84999999999997</v>
      </c>
      <c r="P70" s="19">
        <v>4637</v>
      </c>
    </row>
    <row r="71" spans="1:16">
      <c r="A71" s="14">
        <f>'Exptl Setup'!A142</f>
        <v>135</v>
      </c>
      <c r="B71" s="14" t="str">
        <f>'Exptl Setup'!B142</f>
        <v>MTT No Till</v>
      </c>
      <c r="C71" s="14" t="str">
        <f>'Exptl Setup'!C142</f>
        <v>c</v>
      </c>
      <c r="D71" s="14">
        <f>'Exptl Setup'!D142</f>
        <v>32</v>
      </c>
      <c r="E71" s="14" t="str">
        <f>'Exptl Setup'!E142</f>
        <v>-</v>
      </c>
      <c r="F71" s="14">
        <f>'Exptl Setup'!F142</f>
        <v>32.009</v>
      </c>
      <c r="G71" s="17">
        <f>'Exptl Setup'!G142</f>
        <v>25.009395174633827</v>
      </c>
      <c r="H71" s="26">
        <v>16</v>
      </c>
      <c r="I71" s="18">
        <v>8.3800000000000008</v>
      </c>
      <c r="J71" s="18">
        <v>5.7</v>
      </c>
      <c r="K71" s="20">
        <f>DEA!AK92</f>
        <v>14.445750551360492</v>
      </c>
      <c r="L71" s="19">
        <f>'CO2 - predicted from measured'!AY77</f>
        <v>6.1380212130207372</v>
      </c>
      <c r="M71" s="19">
        <v>24.82</v>
      </c>
      <c r="N71" s="19">
        <v>36.03</v>
      </c>
      <c r="O71" s="19">
        <v>351.34999999999997</v>
      </c>
      <c r="P71" s="19">
        <v>4432</v>
      </c>
    </row>
    <row r="72" spans="1:16">
      <c r="A72" s="14">
        <f>'Exptl Setup'!A146</f>
        <v>139</v>
      </c>
      <c r="B72" s="14" t="str">
        <f>'Exptl Setup'!B146</f>
        <v>MTT No Till</v>
      </c>
      <c r="C72" s="14" t="str">
        <f>'Exptl Setup'!C146</f>
        <v>a</v>
      </c>
      <c r="D72" s="14">
        <f>'Exptl Setup'!D146</f>
        <v>32</v>
      </c>
      <c r="E72" s="14" t="str">
        <f>'Exptl Setup'!E146</f>
        <v>-</v>
      </c>
      <c r="F72" s="14">
        <f>'Exptl Setup'!F146</f>
        <v>31.994</v>
      </c>
      <c r="G72" s="17">
        <f>'Exptl Setup'!G146</f>
        <v>24.997675316855716</v>
      </c>
      <c r="H72" s="26">
        <v>20</v>
      </c>
      <c r="I72" s="18">
        <v>8.8800000000000008</v>
      </c>
      <c r="J72" s="18">
        <v>5.42</v>
      </c>
      <c r="K72" s="20">
        <f>DEA!AK93</f>
        <v>0.58096142156789388</v>
      </c>
      <c r="L72" s="19">
        <f>'CO2 - predicted from measured'!AY78</f>
        <v>-0.49140881115251722</v>
      </c>
      <c r="M72" s="19">
        <v>41.120000000000005</v>
      </c>
      <c r="N72" s="19">
        <v>27.27</v>
      </c>
      <c r="O72" s="19">
        <v>520.61</v>
      </c>
      <c r="P72" s="19">
        <v>3428</v>
      </c>
    </row>
    <row r="73" spans="1:16">
      <c r="A73" s="14">
        <f>'Exptl Setup'!A147</f>
        <v>140</v>
      </c>
      <c r="B73" s="14" t="str">
        <f>'Exptl Setup'!B147</f>
        <v>MTT No Till</v>
      </c>
      <c r="C73" s="14" t="str">
        <f>'Exptl Setup'!C147</f>
        <v>b</v>
      </c>
      <c r="D73" s="14">
        <f>'Exptl Setup'!D147</f>
        <v>32</v>
      </c>
      <c r="E73" s="14" t="str">
        <f>'Exptl Setup'!E147</f>
        <v>-</v>
      </c>
      <c r="F73" s="14">
        <f>'Exptl Setup'!F147</f>
        <v>32.014000000000003</v>
      </c>
      <c r="G73" s="17">
        <f>'Exptl Setup'!G147</f>
        <v>25.013301793893199</v>
      </c>
      <c r="H73" s="26">
        <v>20</v>
      </c>
      <c r="I73" s="18">
        <v>8.93</v>
      </c>
      <c r="J73" s="18">
        <v>5.36</v>
      </c>
      <c r="K73" s="20">
        <f>DEA!AK94</f>
        <v>0.22572574642185431</v>
      </c>
      <c r="L73" s="19">
        <f>'CO2 - predicted from measured'!AY79</f>
        <v>8.670004397136867E-2</v>
      </c>
      <c r="M73" s="19">
        <v>43.339999999999996</v>
      </c>
      <c r="N73" s="19">
        <v>26.12</v>
      </c>
      <c r="O73" s="19">
        <v>521.64</v>
      </c>
      <c r="P73" s="19">
        <v>4569</v>
      </c>
    </row>
    <row r="74" spans="1:16">
      <c r="A74" s="14">
        <f>'Exptl Setup'!A148</f>
        <v>141</v>
      </c>
      <c r="B74" s="14" t="str">
        <f>'Exptl Setup'!B148</f>
        <v>MTT No Till</v>
      </c>
      <c r="C74" s="14" t="str">
        <f>'Exptl Setup'!C148</f>
        <v>c</v>
      </c>
      <c r="D74" s="14">
        <f>'Exptl Setup'!D148</f>
        <v>32</v>
      </c>
      <c r="E74" s="14" t="str">
        <f>'Exptl Setup'!E148</f>
        <v>-</v>
      </c>
      <c r="F74" s="14">
        <f>'Exptl Setup'!F148</f>
        <v>31.997</v>
      </c>
      <c r="G74" s="17">
        <f>'Exptl Setup'!G148</f>
        <v>25.000019288411337</v>
      </c>
      <c r="H74" s="26">
        <v>20</v>
      </c>
      <c r="I74" s="18">
        <v>8.9</v>
      </c>
      <c r="J74" s="18">
        <v>5.44</v>
      </c>
      <c r="K74" s="20">
        <f>DEA!AK95</f>
        <v>0.59413011044733488</v>
      </c>
      <c r="L74" s="19">
        <f>'CO2 - predicted from measured'!AY80</f>
        <v>2.3817026822650771</v>
      </c>
      <c r="M74" s="19">
        <v>41.879999999999995</v>
      </c>
      <c r="N74" s="19">
        <v>25.779999999999998</v>
      </c>
      <c r="O74" s="19">
        <v>521.34</v>
      </c>
      <c r="P74" s="19">
        <v>5603</v>
      </c>
    </row>
    <row r="75" spans="1:16">
      <c r="A75" s="14">
        <f>'Exptl Setup'!A152</f>
        <v>145</v>
      </c>
      <c r="B75" s="14" t="str">
        <f>'Exptl Setup'!B152</f>
        <v>MTT No Till</v>
      </c>
      <c r="C75" s="14" t="str">
        <f>'Exptl Setup'!C152</f>
        <v>a</v>
      </c>
      <c r="D75" s="14">
        <f>'Exptl Setup'!D152</f>
        <v>40</v>
      </c>
      <c r="E75" s="14" t="str">
        <f>'Exptl Setup'!E152</f>
        <v>+</v>
      </c>
      <c r="F75" s="14">
        <f>'Exptl Setup'!F152</f>
        <v>31.995999999999999</v>
      </c>
      <c r="G75" s="17">
        <f>'Exptl Setup'!G152</f>
        <v>24.999237964559462</v>
      </c>
      <c r="H75" s="26">
        <v>0</v>
      </c>
      <c r="I75" s="18">
        <v>4.5999999999999996</v>
      </c>
      <c r="J75" s="18">
        <v>5.64</v>
      </c>
      <c r="K75" s="20">
        <f>DEA!AK96</f>
        <v>82.46367442707529</v>
      </c>
      <c r="L75" s="19">
        <f>'CO2 - predicted from measured'!AY81</f>
        <v>0.47254018655322277</v>
      </c>
      <c r="M75" s="19">
        <v>35.699999999999996</v>
      </c>
      <c r="N75" s="19">
        <v>4.1795</v>
      </c>
      <c r="O75" s="19">
        <v>5.2505000000000024</v>
      </c>
      <c r="P75" s="19">
        <v>47.9</v>
      </c>
    </row>
    <row r="76" spans="1:16">
      <c r="A76" s="14">
        <f>'Exptl Setup'!A153</f>
        <v>146</v>
      </c>
      <c r="B76" s="14" t="str">
        <f>'Exptl Setup'!B153</f>
        <v>MTT No Till</v>
      </c>
      <c r="C76" s="14" t="str">
        <f>'Exptl Setup'!C153</f>
        <v>b</v>
      </c>
      <c r="D76" s="14">
        <f>'Exptl Setup'!D153</f>
        <v>40</v>
      </c>
      <c r="E76" s="14" t="str">
        <f>'Exptl Setup'!E153</f>
        <v>+</v>
      </c>
      <c r="F76" s="14">
        <f>'Exptl Setup'!F153</f>
        <v>32.002000000000002</v>
      </c>
      <c r="G76" s="17">
        <f>'Exptl Setup'!G153</f>
        <v>25.003925907670713</v>
      </c>
      <c r="H76" s="26">
        <v>0</v>
      </c>
      <c r="I76" s="18">
        <v>4.72</v>
      </c>
      <c r="J76" s="18">
        <v>5.72</v>
      </c>
      <c r="K76" s="20">
        <f>DEA!AK97</f>
        <v>89.580017509713855</v>
      </c>
      <c r="L76" s="19">
        <f>'CO2 - predicted from measured'!AY82</f>
        <v>0.28967973022937532</v>
      </c>
      <c r="M76" s="19">
        <v>35.545000000000002</v>
      </c>
      <c r="N76" s="19">
        <v>3.1064999999999996</v>
      </c>
      <c r="O76" s="19">
        <v>3.2985000000000042</v>
      </c>
      <c r="P76" s="19">
        <v>46.42</v>
      </c>
    </row>
    <row r="77" spans="1:16">
      <c r="A77" s="14">
        <f>'Exptl Setup'!A154</f>
        <v>147</v>
      </c>
      <c r="B77" s="14" t="str">
        <f>'Exptl Setup'!B154</f>
        <v>MTT No Till</v>
      </c>
      <c r="C77" s="14" t="str">
        <f>'Exptl Setup'!C154</f>
        <v>c</v>
      </c>
      <c r="D77" s="14">
        <f>'Exptl Setup'!D154</f>
        <v>40</v>
      </c>
      <c r="E77" s="14" t="str">
        <f>'Exptl Setup'!E154</f>
        <v>+</v>
      </c>
      <c r="F77" s="14">
        <f>'Exptl Setup'!F154</f>
        <v>32.000999999999998</v>
      </c>
      <c r="G77" s="17">
        <f>'Exptl Setup'!G154</f>
        <v>25.003144583818834</v>
      </c>
      <c r="H77" s="26">
        <v>0</v>
      </c>
      <c r="I77" s="18">
        <v>4.8099999999999996</v>
      </c>
      <c r="J77" s="18">
        <v>5.8</v>
      </c>
      <c r="K77" s="20">
        <f>DEA!AK98</f>
        <v>99.62893713230001</v>
      </c>
      <c r="L77" s="19">
        <f>'CO2 - predicted from measured'!AY83</f>
        <v>0.45902110558512477</v>
      </c>
      <c r="M77" s="19">
        <v>35.114999999999995</v>
      </c>
      <c r="N77" s="19">
        <v>3.681</v>
      </c>
      <c r="O77" s="19">
        <v>2.1340000000000074</v>
      </c>
      <c r="P77" s="19">
        <v>46.69</v>
      </c>
    </row>
    <row r="78" spans="1:16">
      <c r="A78" s="14">
        <f>'Exptl Setup'!A158</f>
        <v>151</v>
      </c>
      <c r="B78" s="14" t="str">
        <f>'Exptl Setup'!B158</f>
        <v>MTT No Till</v>
      </c>
      <c r="C78" s="14" t="str">
        <f>'Exptl Setup'!C158</f>
        <v>a</v>
      </c>
      <c r="D78" s="14">
        <f>'Exptl Setup'!D158</f>
        <v>40</v>
      </c>
      <c r="E78" s="14" t="str">
        <f>'Exptl Setup'!E158</f>
        <v>+</v>
      </c>
      <c r="F78" s="14">
        <f>'Exptl Setup'!F158</f>
        <v>32.002000000000002</v>
      </c>
      <c r="G78" s="17">
        <f>'Exptl Setup'!G158</f>
        <v>25.003925907670713</v>
      </c>
      <c r="H78" s="26">
        <v>6</v>
      </c>
      <c r="I78" s="18">
        <v>6.52</v>
      </c>
      <c r="J78" s="18">
        <v>4.9800000000000004</v>
      </c>
      <c r="K78" s="20">
        <f>DEA!AK99</f>
        <v>627.30017711887626</v>
      </c>
      <c r="L78" s="19">
        <f>'CO2 - predicted from measured'!AY84</f>
        <v>1.3335128228740507</v>
      </c>
      <c r="M78" s="19">
        <v>29.49</v>
      </c>
      <c r="N78" s="19">
        <v>10.039999999999999</v>
      </c>
      <c r="O78" s="19">
        <v>13.090087336244547</v>
      </c>
      <c r="P78" s="19">
        <v>200</v>
      </c>
    </row>
    <row r="79" spans="1:16">
      <c r="A79" s="14">
        <f>'Exptl Setup'!A159</f>
        <v>152</v>
      </c>
      <c r="B79" s="14" t="str">
        <f>'Exptl Setup'!B159</f>
        <v>MTT No Till</v>
      </c>
      <c r="C79" s="14" t="str">
        <f>'Exptl Setup'!C159</f>
        <v>b</v>
      </c>
      <c r="D79" s="14">
        <f>'Exptl Setup'!D159</f>
        <v>40</v>
      </c>
      <c r="E79" s="14" t="str">
        <f>'Exptl Setup'!E159</f>
        <v>+</v>
      </c>
      <c r="F79" s="14">
        <f>'Exptl Setup'!F159</f>
        <v>31.997</v>
      </c>
      <c r="G79" s="17">
        <f>'Exptl Setup'!G159</f>
        <v>25.000019288411337</v>
      </c>
      <c r="H79" s="26">
        <v>6</v>
      </c>
      <c r="I79" s="18">
        <v>6.57</v>
      </c>
      <c r="J79" s="18">
        <v>5.0199999999999996</v>
      </c>
      <c r="K79" s="20">
        <f>DEA!AK100</f>
        <v>658.64511208092699</v>
      </c>
      <c r="L79" s="19">
        <f>'CO2 - predicted from measured'!AY85</f>
        <v>1.3459195744467594</v>
      </c>
      <c r="M79" s="19">
        <v>28.46</v>
      </c>
      <c r="N79" s="19">
        <v>10.734999999999999</v>
      </c>
      <c r="O79" s="19">
        <v>15.564825327510917</v>
      </c>
      <c r="P79" s="19">
        <v>218.5</v>
      </c>
    </row>
    <row r="80" spans="1:16">
      <c r="A80" s="14">
        <f>'Exptl Setup'!A160</f>
        <v>153</v>
      </c>
      <c r="B80" s="14" t="str">
        <f>'Exptl Setup'!B160</f>
        <v>MTT No Till</v>
      </c>
      <c r="C80" s="14" t="str">
        <f>'Exptl Setup'!C160</f>
        <v>c</v>
      </c>
      <c r="D80" s="14">
        <f>'Exptl Setup'!D160</f>
        <v>40</v>
      </c>
      <c r="E80" s="14" t="str">
        <f>'Exptl Setup'!E160</f>
        <v>+</v>
      </c>
      <c r="F80" s="14">
        <f>'Exptl Setup'!F160</f>
        <v>32</v>
      </c>
      <c r="G80" s="17">
        <f>'Exptl Setup'!G160</f>
        <v>25.002363259966963</v>
      </c>
      <c r="H80" s="26">
        <v>6</v>
      </c>
      <c r="I80" s="18">
        <v>6.63</v>
      </c>
      <c r="J80" s="18">
        <v>4.9800000000000004</v>
      </c>
      <c r="K80" s="20">
        <f>DEA!AK101</f>
        <v>1546.4252074114681</v>
      </c>
      <c r="L80" s="19">
        <f>'CO2 - predicted from measured'!AY86</f>
        <v>-2.7967309386530395</v>
      </c>
      <c r="M80" s="19">
        <v>28.375</v>
      </c>
      <c r="N80" s="19">
        <v>10.58</v>
      </c>
      <c r="O80" s="19">
        <v>12.966397379912671</v>
      </c>
      <c r="P80" s="19">
        <v>204.89999999999998</v>
      </c>
    </row>
    <row r="81" spans="1:16">
      <c r="A81" s="14">
        <f>'Exptl Setup'!A164</f>
        <v>157</v>
      </c>
      <c r="B81" s="14" t="str">
        <f>'Exptl Setup'!B164</f>
        <v>MTT No Till</v>
      </c>
      <c r="C81" s="14" t="str">
        <f>'Exptl Setup'!C164</f>
        <v>a</v>
      </c>
      <c r="D81" s="14">
        <f>'Exptl Setup'!D164</f>
        <v>40</v>
      </c>
      <c r="E81" s="14" t="str">
        <f>'Exptl Setup'!E164</f>
        <v>+</v>
      </c>
      <c r="F81" s="14">
        <f>'Exptl Setup'!F164</f>
        <v>32.006</v>
      </c>
      <c r="G81" s="17">
        <f>'Exptl Setup'!G164</f>
        <v>25.007051203078206</v>
      </c>
      <c r="H81" s="26">
        <v>16</v>
      </c>
      <c r="I81" s="18">
        <v>8.2899999999999991</v>
      </c>
      <c r="J81" s="18">
        <v>5.54</v>
      </c>
      <c r="K81" s="20">
        <f>DEA!AK102</f>
        <v>1839.6884869422345</v>
      </c>
      <c r="L81" s="19">
        <f>'CO2 - predicted from measured'!AY87</f>
        <v>5.126069035728622</v>
      </c>
      <c r="M81" s="19">
        <v>21.21</v>
      </c>
      <c r="N81" s="19">
        <v>36.82</v>
      </c>
      <c r="O81" s="19">
        <v>234.36999999999998</v>
      </c>
      <c r="P81" s="19">
        <v>4054.9999999999995</v>
      </c>
    </row>
    <row r="82" spans="1:16">
      <c r="A82" s="14">
        <f>'Exptl Setup'!A165</f>
        <v>158</v>
      </c>
      <c r="B82" s="14" t="str">
        <f>'Exptl Setup'!B165</f>
        <v>MTT No Till</v>
      </c>
      <c r="C82" s="14" t="str">
        <f>'Exptl Setup'!C165</f>
        <v>b</v>
      </c>
      <c r="D82" s="14">
        <f>'Exptl Setup'!D165</f>
        <v>40</v>
      </c>
      <c r="E82" s="14" t="str">
        <f>'Exptl Setup'!E165</f>
        <v>+</v>
      </c>
      <c r="F82" s="14">
        <f>'Exptl Setup'!F165</f>
        <v>31.997</v>
      </c>
      <c r="G82" s="17">
        <f>'Exptl Setup'!G165</f>
        <v>25.000019288411337</v>
      </c>
      <c r="H82" s="26">
        <v>16</v>
      </c>
      <c r="I82" s="18">
        <v>8.3800000000000008</v>
      </c>
      <c r="J82" s="18">
        <v>5.56</v>
      </c>
      <c r="K82" s="20">
        <f>DEA!AK103</f>
        <v>1944.6685779055381</v>
      </c>
      <c r="L82" s="19">
        <f>'CO2 - predicted from measured'!AY88</f>
        <v>4.6156258712159834</v>
      </c>
      <c r="M82" s="19">
        <v>16.350000000000001</v>
      </c>
      <c r="N82" s="19">
        <v>31.55</v>
      </c>
      <c r="O82" s="19">
        <v>263.7</v>
      </c>
      <c r="P82" s="19">
        <v>4102</v>
      </c>
    </row>
    <row r="83" spans="1:16">
      <c r="A83" s="14">
        <f>'Exptl Setup'!A166</f>
        <v>159</v>
      </c>
      <c r="B83" s="14" t="str">
        <f>'Exptl Setup'!B166</f>
        <v>MTT No Till</v>
      </c>
      <c r="C83" s="14" t="str">
        <f>'Exptl Setup'!C166</f>
        <v>c</v>
      </c>
      <c r="D83" s="14">
        <f>'Exptl Setup'!D166</f>
        <v>40</v>
      </c>
      <c r="E83" s="14" t="str">
        <f>'Exptl Setup'!E166</f>
        <v>+</v>
      </c>
      <c r="F83" s="14">
        <f>'Exptl Setup'!F166</f>
        <v>31.995000000000001</v>
      </c>
      <c r="G83" s="17">
        <f>'Exptl Setup'!G166</f>
        <v>24.998456640707591</v>
      </c>
      <c r="H83" s="26">
        <v>16</v>
      </c>
      <c r="I83" s="18">
        <v>8.3800000000000008</v>
      </c>
      <c r="J83" s="18">
        <v>5.72</v>
      </c>
      <c r="K83" s="20">
        <f>DEA!AK104</f>
        <v>1478.2900513868003</v>
      </c>
      <c r="L83" s="19">
        <f>'CO2 - predicted from measured'!AY89</f>
        <v>4.6093272099574349</v>
      </c>
      <c r="M83" s="19">
        <v>19.350000000000001</v>
      </c>
      <c r="N83" s="19">
        <v>37.35</v>
      </c>
      <c r="O83" s="19">
        <v>332.09999999999997</v>
      </c>
      <c r="P83" s="19">
        <v>4111</v>
      </c>
    </row>
    <row r="84" spans="1:16">
      <c r="A84" s="14">
        <f>'Exptl Setup'!A170</f>
        <v>163</v>
      </c>
      <c r="B84" s="14" t="str">
        <f>'Exptl Setup'!B170</f>
        <v>MTT No Till</v>
      </c>
      <c r="C84" s="14" t="str">
        <f>'Exptl Setup'!C170</f>
        <v>a</v>
      </c>
      <c r="D84" s="14">
        <f>'Exptl Setup'!D170</f>
        <v>40</v>
      </c>
      <c r="E84" s="14" t="str">
        <f>'Exptl Setup'!E170</f>
        <v>+</v>
      </c>
      <c r="F84" s="14">
        <f>'Exptl Setup'!F170</f>
        <v>32.01</v>
      </c>
      <c r="G84" s="17">
        <f>'Exptl Setup'!G170</f>
        <v>25.010176498485698</v>
      </c>
      <c r="H84" s="26">
        <v>20</v>
      </c>
      <c r="I84" s="18">
        <v>9.1999999999999993</v>
      </c>
      <c r="J84" s="18">
        <v>5.6</v>
      </c>
      <c r="K84" s="20">
        <f>DEA!AK105</f>
        <v>9.7583178882582775</v>
      </c>
      <c r="L84" s="19">
        <f>'CO2 - predicted from measured'!AY90</f>
        <v>-0.84048010719347976</v>
      </c>
      <c r="M84" s="19">
        <v>41.11</v>
      </c>
      <c r="N84" s="19">
        <v>28.159999999999997</v>
      </c>
      <c r="O84" s="19">
        <v>463.83000000000004</v>
      </c>
      <c r="P84" s="19">
        <v>5236</v>
      </c>
    </row>
    <row r="85" spans="1:16">
      <c r="A85" s="14">
        <f>'Exptl Setup'!A171</f>
        <v>164</v>
      </c>
      <c r="B85" s="14" t="str">
        <f>'Exptl Setup'!B171</f>
        <v>MTT No Till</v>
      </c>
      <c r="C85" s="14" t="str">
        <f>'Exptl Setup'!C171</f>
        <v>b</v>
      </c>
      <c r="D85" s="14">
        <f>'Exptl Setup'!D171</f>
        <v>40</v>
      </c>
      <c r="E85" s="14" t="str">
        <f>'Exptl Setup'!E171</f>
        <v>+</v>
      </c>
      <c r="F85" s="14">
        <f>'Exptl Setup'!F171</f>
        <v>32.006</v>
      </c>
      <c r="G85" s="17">
        <f>'Exptl Setup'!G171</f>
        <v>25.007051203078206</v>
      </c>
      <c r="H85" s="26">
        <v>20</v>
      </c>
      <c r="I85" s="18">
        <v>8.99</v>
      </c>
      <c r="J85" s="18">
        <v>5.58</v>
      </c>
      <c r="K85" s="20">
        <f>DEA!AK106</f>
        <v>10.531529081287774</v>
      </c>
      <c r="L85" s="19">
        <f>'CO2 - predicted from measured'!AY91</f>
        <v>-0.60404381917903638</v>
      </c>
      <c r="M85" s="19">
        <v>41.34</v>
      </c>
      <c r="N85" s="19">
        <v>31.099999999999998</v>
      </c>
      <c r="O85" s="19">
        <v>471.45999999999992</v>
      </c>
      <c r="P85" s="19">
        <v>5466</v>
      </c>
    </row>
    <row r="86" spans="1:16">
      <c r="A86" s="14">
        <f>'Exptl Setup'!A172</f>
        <v>165</v>
      </c>
      <c r="B86" s="14" t="str">
        <f>'Exptl Setup'!B172</f>
        <v>MTT No Till</v>
      </c>
      <c r="C86" s="14" t="str">
        <f>'Exptl Setup'!C172</f>
        <v>c</v>
      </c>
      <c r="D86" s="14">
        <f>'Exptl Setup'!D172</f>
        <v>40</v>
      </c>
      <c r="E86" s="14" t="str">
        <f>'Exptl Setup'!E172</f>
        <v>+</v>
      </c>
      <c r="F86" s="14">
        <f>'Exptl Setup'!F172</f>
        <v>32</v>
      </c>
      <c r="G86" s="17">
        <f>'Exptl Setup'!G172</f>
        <v>25.002363259966963</v>
      </c>
      <c r="H86" s="26">
        <v>20</v>
      </c>
      <c r="I86" s="18">
        <v>8.8000000000000007</v>
      </c>
      <c r="J86" s="18">
        <v>5.58</v>
      </c>
      <c r="K86" s="20">
        <f>DEA!AK107</f>
        <v>4.6457652486807532</v>
      </c>
      <c r="L86" s="19">
        <f>'CO2 - predicted from measured'!AY92</f>
        <v>-0.50186107903542265</v>
      </c>
      <c r="M86" s="19">
        <v>40.29</v>
      </c>
      <c r="N86" s="19">
        <v>31.86</v>
      </c>
      <c r="O86" s="19">
        <v>406.95</v>
      </c>
      <c r="P86" s="19">
        <v>5553</v>
      </c>
    </row>
    <row r="87" spans="1:16">
      <c r="A87" s="14">
        <f>'Exptl Setup'!A176</f>
        <v>169</v>
      </c>
      <c r="B87" s="14" t="str">
        <f>'Exptl Setup'!B176</f>
        <v>MTT No Till</v>
      </c>
      <c r="C87" s="14" t="str">
        <f>'Exptl Setup'!C176</f>
        <v>a</v>
      </c>
      <c r="D87" s="14">
        <f>'Exptl Setup'!D176</f>
        <v>40</v>
      </c>
      <c r="E87" s="14" t="str">
        <f>'Exptl Setup'!E176</f>
        <v>-</v>
      </c>
      <c r="F87" s="14">
        <f>'Exptl Setup'!F176</f>
        <v>32.006</v>
      </c>
      <c r="G87" s="17">
        <f>'Exptl Setup'!G176</f>
        <v>25.007051203078206</v>
      </c>
      <c r="H87" s="26">
        <v>0</v>
      </c>
      <c r="I87" s="18">
        <v>4.59</v>
      </c>
      <c r="J87" s="18">
        <v>5.74</v>
      </c>
      <c r="K87" s="20">
        <f>DEA!AK108</f>
        <v>90.489786281933107</v>
      </c>
      <c r="L87" s="19">
        <f>'CO2 - predicted from measured'!AY93</f>
        <v>0.24932719830905198</v>
      </c>
      <c r="M87" s="19">
        <v>34.270000000000003</v>
      </c>
      <c r="N87" s="19">
        <v>3.2885</v>
      </c>
      <c r="O87" s="19">
        <v>8.1164999999999949</v>
      </c>
      <c r="P87" s="19">
        <v>47.77</v>
      </c>
    </row>
    <row r="88" spans="1:16">
      <c r="A88" s="14">
        <f>'Exptl Setup'!A177</f>
        <v>170</v>
      </c>
      <c r="B88" s="14" t="str">
        <f>'Exptl Setup'!B177</f>
        <v>MTT No Till</v>
      </c>
      <c r="C88" s="14" t="str">
        <f>'Exptl Setup'!C177</f>
        <v>b</v>
      </c>
      <c r="D88" s="14">
        <f>'Exptl Setup'!D177</f>
        <v>40</v>
      </c>
      <c r="E88" s="14" t="str">
        <f>'Exptl Setup'!E177</f>
        <v>-</v>
      </c>
      <c r="F88" s="14">
        <f>'Exptl Setup'!F177</f>
        <v>31.998999999999999</v>
      </c>
      <c r="G88" s="17">
        <f>'Exptl Setup'!G177</f>
        <v>25.001581936115088</v>
      </c>
      <c r="H88" s="26">
        <v>0</v>
      </c>
      <c r="I88" s="18">
        <v>4.6100000000000003</v>
      </c>
      <c r="J88" s="18">
        <v>5.8</v>
      </c>
      <c r="K88" s="20">
        <f>DEA!AK109</f>
        <v>97.678185432666922</v>
      </c>
      <c r="L88" s="19">
        <f>'CO2 - predicted from measured'!AY94</f>
        <v>0.20504595883034565</v>
      </c>
      <c r="M88" s="19">
        <v>34.664999999999999</v>
      </c>
      <c r="N88" s="19">
        <v>3.3045</v>
      </c>
      <c r="O88" s="19">
        <v>1.8655000000000044</v>
      </c>
      <c r="P88" s="19">
        <v>46.94</v>
      </c>
    </row>
    <row r="89" spans="1:16">
      <c r="A89" s="14">
        <f>'Exptl Setup'!A178</f>
        <v>171</v>
      </c>
      <c r="B89" s="14" t="str">
        <f>'Exptl Setup'!B178</f>
        <v>MTT No Till</v>
      </c>
      <c r="C89" s="14" t="str">
        <f>'Exptl Setup'!C178</f>
        <v>c</v>
      </c>
      <c r="D89" s="14">
        <f>'Exptl Setup'!D178</f>
        <v>40</v>
      </c>
      <c r="E89" s="14" t="str">
        <f>'Exptl Setup'!E178</f>
        <v>-</v>
      </c>
      <c r="F89" s="14">
        <f>'Exptl Setup'!F178</f>
        <v>31.995999999999999</v>
      </c>
      <c r="G89" s="17">
        <f>'Exptl Setup'!G178</f>
        <v>24.999237964559462</v>
      </c>
      <c r="H89" s="26">
        <v>0</v>
      </c>
      <c r="I89" s="18">
        <v>4.62</v>
      </c>
      <c r="J89" s="18">
        <v>5.78</v>
      </c>
      <c r="K89" s="20">
        <f>DEA!AK110</f>
        <v>97.156665434117699</v>
      </c>
      <c r="L89" s="19">
        <f>'CO2 - predicted from measured'!AY95</f>
        <v>0.28830878032274826</v>
      </c>
      <c r="M89" s="19">
        <v>35.034999999999997</v>
      </c>
      <c r="N89" s="19">
        <v>3.3839999999999999</v>
      </c>
      <c r="O89" s="19">
        <v>6.2910000000000039</v>
      </c>
      <c r="P89" s="19">
        <v>46.95</v>
      </c>
    </row>
    <row r="90" spans="1:16">
      <c r="A90" s="14">
        <f>'Exptl Setup'!A182</f>
        <v>175</v>
      </c>
      <c r="B90" s="14" t="str">
        <f>'Exptl Setup'!B182</f>
        <v>MTT No Till</v>
      </c>
      <c r="C90" s="14" t="str">
        <f>'Exptl Setup'!C182</f>
        <v>a</v>
      </c>
      <c r="D90" s="14">
        <f>'Exptl Setup'!D182</f>
        <v>40</v>
      </c>
      <c r="E90" s="14" t="str">
        <f>'Exptl Setup'!E182</f>
        <v>-</v>
      </c>
      <c r="F90" s="14">
        <f>'Exptl Setup'!F182</f>
        <v>32.012999999999998</v>
      </c>
      <c r="G90" s="17">
        <f>'Exptl Setup'!G182</f>
        <v>25.01252047004132</v>
      </c>
      <c r="H90" s="26">
        <v>6</v>
      </c>
      <c r="I90" s="18">
        <v>6.64</v>
      </c>
      <c r="J90" s="18">
        <v>4.84</v>
      </c>
      <c r="K90" s="20">
        <f>DEA!AK111</f>
        <v>50.370002718550872</v>
      </c>
      <c r="L90" s="19">
        <f>'CO2 - predicted from measured'!AY96</f>
        <v>1.3833555722815805</v>
      </c>
      <c r="M90" s="19">
        <v>30.745000000000001</v>
      </c>
      <c r="N90" s="19">
        <v>10.445</v>
      </c>
      <c r="O90" s="19">
        <v>10.818733624454151</v>
      </c>
      <c r="P90" s="19">
        <v>212.3</v>
      </c>
    </row>
    <row r="91" spans="1:16">
      <c r="A91" s="14">
        <f>'Exptl Setup'!A183</f>
        <v>176</v>
      </c>
      <c r="B91" s="14" t="str">
        <f>'Exptl Setup'!B183</f>
        <v>MTT No Till</v>
      </c>
      <c r="C91" s="14" t="str">
        <f>'Exptl Setup'!C183</f>
        <v>b</v>
      </c>
      <c r="D91" s="14">
        <f>'Exptl Setup'!D183</f>
        <v>40</v>
      </c>
      <c r="E91" s="14" t="str">
        <f>'Exptl Setup'!E183</f>
        <v>-</v>
      </c>
      <c r="F91" s="14">
        <f>'Exptl Setup'!F183</f>
        <v>31.992999999999999</v>
      </c>
      <c r="G91" s="17">
        <f>'Exptl Setup'!G183</f>
        <v>24.996893993003841</v>
      </c>
      <c r="H91" s="26">
        <v>6</v>
      </c>
      <c r="I91" s="18">
        <v>6.61</v>
      </c>
      <c r="J91" s="18">
        <v>5</v>
      </c>
      <c r="K91" s="20">
        <f>DEA!AK112</f>
        <v>142.69427096173729</v>
      </c>
      <c r="L91" s="19">
        <f>'CO2 - predicted from measured'!AY97</f>
        <v>1.0007672220297239</v>
      </c>
      <c r="M91" s="19">
        <v>32.755000000000003</v>
      </c>
      <c r="N91" s="19">
        <v>7.835</v>
      </c>
      <c r="O91" s="19">
        <v>11.593406113537121</v>
      </c>
      <c r="P91" s="19">
        <v>124.3</v>
      </c>
    </row>
    <row r="92" spans="1:16">
      <c r="A92" s="14">
        <f>'Exptl Setup'!A184</f>
        <v>177</v>
      </c>
      <c r="B92" s="14" t="str">
        <f>'Exptl Setup'!B184</f>
        <v>MTT No Till</v>
      </c>
      <c r="C92" s="14" t="str">
        <f>'Exptl Setup'!C184</f>
        <v>c</v>
      </c>
      <c r="D92" s="14">
        <f>'Exptl Setup'!D184</f>
        <v>40</v>
      </c>
      <c r="E92" s="14" t="str">
        <f>'Exptl Setup'!E184</f>
        <v>-</v>
      </c>
      <c r="F92" s="14">
        <f>'Exptl Setup'!F184</f>
        <v>32.000999999999998</v>
      </c>
      <c r="G92" s="17">
        <f>'Exptl Setup'!G184</f>
        <v>25.003144583818834</v>
      </c>
      <c r="H92" s="26">
        <v>6</v>
      </c>
      <c r="I92" s="18">
        <v>6.66</v>
      </c>
      <c r="J92" s="18">
        <v>5.0999999999999996</v>
      </c>
      <c r="K92" s="20">
        <f>DEA!AK113</f>
        <v>54.472797569727248</v>
      </c>
      <c r="L92" s="19">
        <f>'CO2 - predicted from measured'!AY98</f>
        <v>1.7136995400544839</v>
      </c>
      <c r="M92" s="19">
        <v>30.215</v>
      </c>
      <c r="N92" s="19">
        <v>10.57</v>
      </c>
      <c r="O92" s="19">
        <v>12.490109170305683</v>
      </c>
      <c r="P92" s="19">
        <v>211.1</v>
      </c>
    </row>
    <row r="93" spans="1:16">
      <c r="A93" s="14">
        <f>'Exptl Setup'!A188</f>
        <v>181</v>
      </c>
      <c r="B93" s="14" t="str">
        <f>'Exptl Setup'!B188</f>
        <v>MTT No Till</v>
      </c>
      <c r="C93" s="14" t="str">
        <f>'Exptl Setup'!C188</f>
        <v>a</v>
      </c>
      <c r="D93" s="14">
        <f>'Exptl Setup'!D188</f>
        <v>40</v>
      </c>
      <c r="E93" s="14" t="str">
        <f>'Exptl Setup'!E188</f>
        <v>-</v>
      </c>
      <c r="F93" s="14">
        <f>'Exptl Setup'!F188</f>
        <v>32.003</v>
      </c>
      <c r="G93" s="17">
        <f>'Exptl Setup'!G188</f>
        <v>25.004707231522584</v>
      </c>
      <c r="H93" s="26">
        <v>16</v>
      </c>
      <c r="I93" s="18">
        <v>8.2799999999999994</v>
      </c>
      <c r="J93" s="18">
        <v>5.54</v>
      </c>
      <c r="K93" s="20">
        <f>DEA!AK114</f>
        <v>20.625709922158897</v>
      </c>
      <c r="L93" s="19">
        <f>'CO2 - predicted from measured'!AY99</f>
        <v>4.7730682506794242</v>
      </c>
      <c r="M93" s="19">
        <v>24.35</v>
      </c>
      <c r="N93" s="19">
        <v>38.68</v>
      </c>
      <c r="O93" s="19">
        <v>348.86999999999995</v>
      </c>
      <c r="P93" s="19">
        <v>4095.0000000000005</v>
      </c>
    </row>
    <row r="94" spans="1:16">
      <c r="A94" s="14">
        <f>'Exptl Setup'!A189</f>
        <v>182</v>
      </c>
      <c r="B94" s="14" t="str">
        <f>'Exptl Setup'!B189</f>
        <v>MTT No Till</v>
      </c>
      <c r="C94" s="14" t="str">
        <f>'Exptl Setup'!C189</f>
        <v>b</v>
      </c>
      <c r="D94" s="14">
        <f>'Exptl Setup'!D189</f>
        <v>40</v>
      </c>
      <c r="E94" s="14" t="str">
        <f>'Exptl Setup'!E189</f>
        <v>-</v>
      </c>
      <c r="F94" s="14">
        <f>'Exptl Setup'!F189</f>
        <v>31.995000000000001</v>
      </c>
      <c r="G94" s="17">
        <f>'Exptl Setup'!G189</f>
        <v>24.998456640707591</v>
      </c>
      <c r="H94" s="26">
        <v>16</v>
      </c>
      <c r="I94" s="18">
        <v>8.41</v>
      </c>
      <c r="J94" s="18">
        <v>5.56</v>
      </c>
      <c r="K94" s="20">
        <f>DEA!AK115</f>
        <v>15.558270508267057</v>
      </c>
      <c r="L94" s="19">
        <f>'CO2 - predicted from measured'!AY100</f>
        <v>4.4442192948949248</v>
      </c>
      <c r="M94" s="19">
        <v>24.78</v>
      </c>
      <c r="N94" s="19">
        <v>37.94</v>
      </c>
      <c r="O94" s="19">
        <v>292.08000000000004</v>
      </c>
      <c r="P94" s="19">
        <v>3847</v>
      </c>
    </row>
    <row r="95" spans="1:16">
      <c r="A95" s="14">
        <f>'Exptl Setup'!A190</f>
        <v>183</v>
      </c>
      <c r="B95" s="14" t="str">
        <f>'Exptl Setup'!B190</f>
        <v>MTT No Till</v>
      </c>
      <c r="C95" s="14" t="str">
        <f>'Exptl Setup'!C190</f>
        <v>c</v>
      </c>
      <c r="D95" s="14">
        <f>'Exptl Setup'!D190</f>
        <v>40</v>
      </c>
      <c r="E95" s="14" t="str">
        <f>'Exptl Setup'!E190</f>
        <v>-</v>
      </c>
      <c r="F95" s="14">
        <f>'Exptl Setup'!F190</f>
        <v>31.991</v>
      </c>
      <c r="G95" s="17">
        <f>'Exptl Setup'!G190</f>
        <v>24.995331345300094</v>
      </c>
      <c r="H95" s="26">
        <v>16</v>
      </c>
      <c r="I95" s="18">
        <v>8.3800000000000008</v>
      </c>
      <c r="J95" s="18">
        <v>5.62</v>
      </c>
      <c r="K95" s="20">
        <f>DEA!AK116</f>
        <v>37.944256144043649</v>
      </c>
      <c r="L95" s="19">
        <f>'CO2 - predicted from measured'!AY101</f>
        <v>4.7704456886204909</v>
      </c>
      <c r="M95" s="19">
        <v>22.26</v>
      </c>
      <c r="N95" s="19">
        <v>38.93</v>
      </c>
      <c r="O95" s="19">
        <v>266.11</v>
      </c>
      <c r="P95" s="19">
        <v>3850</v>
      </c>
    </row>
    <row r="96" spans="1:16">
      <c r="A96" s="14">
        <f>'Exptl Setup'!A194</f>
        <v>187</v>
      </c>
      <c r="B96" s="14" t="str">
        <f>'Exptl Setup'!B194</f>
        <v>MTT No Till</v>
      </c>
      <c r="C96" s="14" t="str">
        <f>'Exptl Setup'!C194</f>
        <v>a</v>
      </c>
      <c r="D96" s="14">
        <f>'Exptl Setup'!D194</f>
        <v>40</v>
      </c>
      <c r="E96" s="14" t="str">
        <f>'Exptl Setup'!E194</f>
        <v>-</v>
      </c>
      <c r="F96" s="14">
        <f>'Exptl Setup'!F194</f>
        <v>31.992999999999999</v>
      </c>
      <c r="G96" s="17">
        <f>'Exptl Setup'!G194</f>
        <v>24.996893993003841</v>
      </c>
      <c r="H96" s="26">
        <v>20</v>
      </c>
      <c r="I96" s="18">
        <v>9</v>
      </c>
      <c r="J96" s="18">
        <v>5.58</v>
      </c>
      <c r="K96" s="20">
        <f>DEA!AK117</f>
        <v>1.3817361291903276</v>
      </c>
      <c r="L96" s="19">
        <f>'CO2 - predicted from measured'!AY102</f>
        <v>-0.79904430699922224</v>
      </c>
      <c r="M96" s="19">
        <v>41.349999999999994</v>
      </c>
      <c r="N96" s="19">
        <v>30.51</v>
      </c>
      <c r="O96" s="19">
        <v>367.44000000000005</v>
      </c>
      <c r="P96" s="19">
        <v>4258</v>
      </c>
    </row>
    <row r="97" spans="1:16">
      <c r="A97" s="14">
        <f>'Exptl Setup'!A195</f>
        <v>188</v>
      </c>
      <c r="B97" s="14" t="str">
        <f>'Exptl Setup'!B195</f>
        <v>MTT No Till</v>
      </c>
      <c r="C97" s="14" t="str">
        <f>'Exptl Setup'!C195</f>
        <v>b</v>
      </c>
      <c r="D97" s="14">
        <f>'Exptl Setup'!D195</f>
        <v>40</v>
      </c>
      <c r="E97" s="14" t="str">
        <f>'Exptl Setup'!E195</f>
        <v>-</v>
      </c>
      <c r="F97" s="14">
        <f>'Exptl Setup'!F195</f>
        <v>32.006999999999998</v>
      </c>
      <c r="G97" s="17">
        <f>'Exptl Setup'!G195</f>
        <v>25.007832526930077</v>
      </c>
      <c r="H97" s="26">
        <v>20</v>
      </c>
      <c r="I97" s="18">
        <v>8.98</v>
      </c>
      <c r="J97" s="18">
        <v>5.4</v>
      </c>
      <c r="K97" s="20">
        <f>DEA!AK118</f>
        <v>0.65597439954248871</v>
      </c>
      <c r="L97" s="19">
        <f>'CO2 - predicted from measured'!AY103</f>
        <v>-0.84965528356215791</v>
      </c>
      <c r="M97" s="19">
        <v>41.09</v>
      </c>
      <c r="N97" s="19">
        <v>28.18</v>
      </c>
      <c r="O97" s="19">
        <v>504.13</v>
      </c>
      <c r="P97" s="19">
        <v>5096</v>
      </c>
    </row>
    <row r="98" spans="1:16">
      <c r="A98" s="14">
        <f>'Exptl Setup'!A196</f>
        <v>189</v>
      </c>
      <c r="B98" s="14" t="str">
        <f>'Exptl Setup'!B196</f>
        <v>MTT No Till</v>
      </c>
      <c r="C98" s="14" t="str">
        <f>'Exptl Setup'!C196</f>
        <v>c</v>
      </c>
      <c r="D98" s="14">
        <f>'Exptl Setup'!D196</f>
        <v>40</v>
      </c>
      <c r="E98" s="14" t="str">
        <f>'Exptl Setup'!E196</f>
        <v>-</v>
      </c>
      <c r="F98" s="14">
        <f>'Exptl Setup'!F196</f>
        <v>32.003999999999998</v>
      </c>
      <c r="G98" s="17">
        <f>'Exptl Setup'!G196</f>
        <v>25.005488555374455</v>
      </c>
      <c r="H98" s="26">
        <v>20</v>
      </c>
      <c r="I98" s="18">
        <v>8.94</v>
      </c>
      <c r="J98" s="18">
        <v>5.46</v>
      </c>
      <c r="K98" s="20">
        <f>DEA!AK119</f>
        <v>0.87776938472828359</v>
      </c>
      <c r="L98" s="19">
        <f>'CO2 - predicted from measured'!AY104</f>
        <v>-0.99071831109796482</v>
      </c>
      <c r="M98" s="19">
        <v>40.15</v>
      </c>
      <c r="N98" s="19">
        <v>31.909999999999997</v>
      </c>
      <c r="O98" s="19">
        <v>534.24</v>
      </c>
      <c r="P98" s="19">
        <v>5047</v>
      </c>
    </row>
    <row r="99" spans="1:16">
      <c r="A99" s="14">
        <f>'Exptl Setup'!A200</f>
        <v>193</v>
      </c>
      <c r="B99" s="14" t="str">
        <f>'Exptl Setup'!B200</f>
        <v>MTT No Till</v>
      </c>
      <c r="C99" s="14" t="str">
        <f>'Exptl Setup'!C200</f>
        <v>a</v>
      </c>
      <c r="D99" s="14">
        <f>'Exptl Setup'!D200</f>
        <v>48</v>
      </c>
      <c r="E99" s="14" t="str">
        <f>'Exptl Setup'!E200</f>
        <v>+</v>
      </c>
      <c r="F99" s="14">
        <f>'Exptl Setup'!F200</f>
        <v>31.995000000000001</v>
      </c>
      <c r="G99" s="17">
        <f>'Exptl Setup'!G200</f>
        <v>24.998456640707591</v>
      </c>
      <c r="H99" s="26">
        <v>0</v>
      </c>
      <c r="I99" s="18">
        <v>4.46</v>
      </c>
      <c r="J99" s="18">
        <v>5.72</v>
      </c>
      <c r="K99" s="20">
        <f>DEA!AK120</f>
        <v>70.547376212610345</v>
      </c>
      <c r="L99" s="19">
        <f>'CO2 - predicted from measured'!AY105</f>
        <v>0.57823036273967876</v>
      </c>
      <c r="M99" s="19">
        <v>34.200000000000003</v>
      </c>
      <c r="N99" s="19">
        <v>4.2859999999999996</v>
      </c>
      <c r="O99" s="19">
        <v>8.2789999999999964</v>
      </c>
      <c r="P99" s="19">
        <v>51.89</v>
      </c>
    </row>
    <row r="100" spans="1:16">
      <c r="A100" s="14">
        <f>'Exptl Setup'!A201</f>
        <v>194</v>
      </c>
      <c r="B100" s="14" t="str">
        <f>'Exptl Setup'!B201</f>
        <v>MTT No Till</v>
      </c>
      <c r="C100" s="14" t="str">
        <f>'Exptl Setup'!C201</f>
        <v>b</v>
      </c>
      <c r="D100" s="14">
        <f>'Exptl Setup'!D201</f>
        <v>48</v>
      </c>
      <c r="E100" s="14" t="str">
        <f>'Exptl Setup'!E201</f>
        <v>+</v>
      </c>
      <c r="F100" s="14">
        <f>'Exptl Setup'!F201</f>
        <v>32.002000000000002</v>
      </c>
      <c r="G100" s="17">
        <f>'Exptl Setup'!G201</f>
        <v>25.003925907670713</v>
      </c>
      <c r="H100" s="26">
        <v>0</v>
      </c>
      <c r="I100" s="18">
        <v>4.49</v>
      </c>
      <c r="J100" s="18">
        <v>5.68</v>
      </c>
      <c r="K100" s="20">
        <f>DEA!AK121</f>
        <v>92.487118808074939</v>
      </c>
      <c r="L100" s="19">
        <f>'CO2 - predicted from measured'!AY106</f>
        <v>0.42079012708057217</v>
      </c>
      <c r="M100" s="19">
        <v>34.19</v>
      </c>
      <c r="N100" s="19">
        <v>4.1745000000000001</v>
      </c>
      <c r="O100" s="19">
        <v>9.6905000000000072</v>
      </c>
      <c r="P100" s="19">
        <v>49.56</v>
      </c>
    </row>
    <row r="101" spans="1:16">
      <c r="A101" s="14">
        <f>'Exptl Setup'!A202</f>
        <v>195</v>
      </c>
      <c r="B101" s="14" t="str">
        <f>'Exptl Setup'!B202</f>
        <v>MTT No Till</v>
      </c>
      <c r="C101" s="14" t="str">
        <f>'Exptl Setup'!C202</f>
        <v>c</v>
      </c>
      <c r="D101" s="14">
        <f>'Exptl Setup'!D202</f>
        <v>48</v>
      </c>
      <c r="E101" s="14" t="str">
        <f>'Exptl Setup'!E202</f>
        <v>+</v>
      </c>
      <c r="F101" s="14">
        <f>'Exptl Setup'!F202</f>
        <v>32.003</v>
      </c>
      <c r="G101" s="17">
        <f>'Exptl Setup'!G202</f>
        <v>25.004707231522584</v>
      </c>
      <c r="H101" s="26">
        <v>0</v>
      </c>
      <c r="I101" s="18">
        <v>4.3499999999999996</v>
      </c>
      <c r="J101" s="18">
        <v>5.7</v>
      </c>
      <c r="K101" s="20">
        <f>DEA!AK122</f>
        <v>91.480180440828846</v>
      </c>
      <c r="L101" s="19">
        <f>'CO2 - predicted from measured'!AY107</f>
        <v>0.44595123725050767</v>
      </c>
      <c r="M101" s="19">
        <v>34.75</v>
      </c>
      <c r="N101" s="19">
        <v>4.1885000000000003</v>
      </c>
      <c r="O101" s="19">
        <v>8.6965000000000003</v>
      </c>
      <c r="P101" s="19">
        <v>57.13</v>
      </c>
    </row>
    <row r="102" spans="1:16">
      <c r="A102" s="14">
        <f>'Exptl Setup'!A206</f>
        <v>199</v>
      </c>
      <c r="B102" s="14" t="str">
        <f>'Exptl Setup'!B206</f>
        <v>MTT No Till</v>
      </c>
      <c r="C102" s="14" t="str">
        <f>'Exptl Setup'!C206</f>
        <v>a</v>
      </c>
      <c r="D102" s="14">
        <f>'Exptl Setup'!D206</f>
        <v>48</v>
      </c>
      <c r="E102" s="14" t="str">
        <f>'Exptl Setup'!E206</f>
        <v>+</v>
      </c>
      <c r="F102" s="14">
        <f>'Exptl Setup'!F206</f>
        <v>32.002000000000002</v>
      </c>
      <c r="G102" s="17">
        <f>'Exptl Setup'!G206</f>
        <v>25.003925907670713</v>
      </c>
      <c r="H102" s="26">
        <v>6</v>
      </c>
      <c r="I102" s="18">
        <v>6.63</v>
      </c>
      <c r="J102" s="18">
        <v>5.0999999999999996</v>
      </c>
      <c r="K102" s="20">
        <f>DEA!AK123</f>
        <v>660.30055760268567</v>
      </c>
      <c r="L102" s="19">
        <f>'CO2 - predicted from measured'!AY108</f>
        <v>1.2589214658234988</v>
      </c>
      <c r="M102" s="19">
        <v>28.405000000000001</v>
      </c>
      <c r="N102" s="19">
        <v>12.96</v>
      </c>
      <c r="O102" s="19">
        <v>15.79657205240175</v>
      </c>
      <c r="P102" s="19">
        <v>248.9</v>
      </c>
    </row>
    <row r="103" spans="1:16">
      <c r="A103" s="14">
        <f>'Exptl Setup'!A207</f>
        <v>200</v>
      </c>
      <c r="B103" s="14" t="str">
        <f>'Exptl Setup'!B207</f>
        <v>MTT No Till</v>
      </c>
      <c r="C103" s="14" t="str">
        <f>'Exptl Setup'!C207</f>
        <v>b</v>
      </c>
      <c r="D103" s="14">
        <f>'Exptl Setup'!D207</f>
        <v>48</v>
      </c>
      <c r="E103" s="14" t="str">
        <f>'Exptl Setup'!E207</f>
        <v>+</v>
      </c>
      <c r="F103" s="14">
        <f>'Exptl Setup'!F207</f>
        <v>31.995999999999999</v>
      </c>
      <c r="G103" s="17">
        <f>'Exptl Setup'!G207</f>
        <v>24.999237964559462</v>
      </c>
      <c r="H103" s="26">
        <v>6</v>
      </c>
      <c r="I103" s="18">
        <v>6.61</v>
      </c>
      <c r="J103" s="18">
        <v>5.18</v>
      </c>
      <c r="K103" s="20">
        <f>DEA!AK124</f>
        <v>668.36627538329162</v>
      </c>
      <c r="L103" s="19">
        <f>'CO2 - predicted from measured'!AY109</f>
        <v>1.3491652297983396</v>
      </c>
      <c r="M103" s="19">
        <v>29.409999999999997</v>
      </c>
      <c r="N103" s="19">
        <v>12.895000000000001</v>
      </c>
      <c r="O103" s="19">
        <v>6.515960698689959</v>
      </c>
      <c r="P103" s="19">
        <v>243.9</v>
      </c>
    </row>
    <row r="104" spans="1:16">
      <c r="A104" s="14">
        <f>'Exptl Setup'!A208</f>
        <v>201</v>
      </c>
      <c r="B104" s="14" t="str">
        <f>'Exptl Setup'!B208</f>
        <v>MTT No Till</v>
      </c>
      <c r="C104" s="14" t="str">
        <f>'Exptl Setup'!C208</f>
        <v>c</v>
      </c>
      <c r="D104" s="14">
        <f>'Exptl Setup'!D208</f>
        <v>48</v>
      </c>
      <c r="E104" s="14" t="str">
        <f>'Exptl Setup'!E208</f>
        <v>+</v>
      </c>
      <c r="F104" s="14">
        <f>'Exptl Setup'!F208</f>
        <v>31.998999999999999</v>
      </c>
      <c r="G104" s="17">
        <f>'Exptl Setup'!G208</f>
        <v>25.001581936115088</v>
      </c>
      <c r="H104" s="26">
        <v>6</v>
      </c>
      <c r="I104" s="18">
        <v>6.6</v>
      </c>
      <c r="J104" s="18">
        <v>5.08</v>
      </c>
      <c r="K104" s="20">
        <f>DEA!AK125</f>
        <v>359.27269341750059</v>
      </c>
      <c r="L104" s="19">
        <f>'CO2 - predicted from measured'!AY110</f>
        <v>0.9138939682782341</v>
      </c>
      <c r="M104" s="19">
        <v>33.504999999999995</v>
      </c>
      <c r="N104" s="19">
        <v>8.7949999999999999</v>
      </c>
      <c r="O104" s="19">
        <v>11.979475982532755</v>
      </c>
      <c r="P104" s="19">
        <v>144</v>
      </c>
    </row>
    <row r="105" spans="1:16">
      <c r="A105" s="14">
        <f>'Exptl Setup'!A212</f>
        <v>205</v>
      </c>
      <c r="B105" s="14" t="str">
        <f>'Exptl Setup'!B212</f>
        <v>MTT No Till</v>
      </c>
      <c r="C105" s="14" t="str">
        <f>'Exptl Setup'!C212</f>
        <v>a</v>
      </c>
      <c r="D105" s="14">
        <f>'Exptl Setup'!D212</f>
        <v>48</v>
      </c>
      <c r="E105" s="14" t="str">
        <f>'Exptl Setup'!E212</f>
        <v>+</v>
      </c>
      <c r="F105" s="14">
        <f>'Exptl Setup'!F212</f>
        <v>31.995999999999999</v>
      </c>
      <c r="G105" s="17">
        <f>'Exptl Setup'!G212</f>
        <v>24.999237964559462</v>
      </c>
      <c r="H105" s="26">
        <v>16</v>
      </c>
      <c r="I105" s="18">
        <v>8.41</v>
      </c>
      <c r="J105" s="18">
        <v>5.72</v>
      </c>
      <c r="K105" s="20">
        <f>DEA!AK126</f>
        <v>517.2334263259678</v>
      </c>
      <c r="L105" s="19">
        <f>'CO2 - predicted from measured'!AY111</f>
        <v>4.6833282626293977</v>
      </c>
      <c r="M105" s="19">
        <v>25.44</v>
      </c>
      <c r="N105" s="19">
        <v>44.08</v>
      </c>
      <c r="O105" s="19">
        <v>276.58000000000004</v>
      </c>
      <c r="P105" s="19">
        <v>3839</v>
      </c>
    </row>
    <row r="106" spans="1:16">
      <c r="A106" s="14">
        <f>'Exptl Setup'!A213</f>
        <v>206</v>
      </c>
      <c r="B106" s="14" t="str">
        <f>'Exptl Setup'!B213</f>
        <v>MTT No Till</v>
      </c>
      <c r="C106" s="14" t="str">
        <f>'Exptl Setup'!C213</f>
        <v>b</v>
      </c>
      <c r="D106" s="14">
        <f>'Exptl Setup'!D213</f>
        <v>48</v>
      </c>
      <c r="E106" s="14" t="str">
        <f>'Exptl Setup'!E213</f>
        <v>+</v>
      </c>
      <c r="F106" s="14">
        <f>'Exptl Setup'!F213</f>
        <v>32</v>
      </c>
      <c r="G106" s="17">
        <f>'Exptl Setup'!G213</f>
        <v>25.002363259966963</v>
      </c>
      <c r="H106" s="26">
        <v>16</v>
      </c>
      <c r="I106" s="18">
        <v>8.3800000000000008</v>
      </c>
      <c r="J106" s="18">
        <v>5.7</v>
      </c>
      <c r="K106" s="20">
        <f>DEA!AK127</f>
        <v>715.28508883990867</v>
      </c>
      <c r="L106" s="19">
        <f>'CO2 - predicted from measured'!AY112</f>
        <v>7.3938113202219959</v>
      </c>
      <c r="M106" s="19">
        <v>24.41</v>
      </c>
      <c r="N106" s="19">
        <v>42.44</v>
      </c>
      <c r="O106" s="19">
        <v>315.54999999999995</v>
      </c>
      <c r="P106" s="19">
        <v>4106</v>
      </c>
    </row>
    <row r="107" spans="1:16">
      <c r="A107" s="14">
        <f>'Exptl Setup'!A214</f>
        <v>207</v>
      </c>
      <c r="B107" s="14" t="str">
        <f>'Exptl Setup'!B214</f>
        <v>MTT No Till</v>
      </c>
      <c r="C107" s="14" t="str">
        <f>'Exptl Setup'!C214</f>
        <v>c</v>
      </c>
      <c r="D107" s="14">
        <f>'Exptl Setup'!D214</f>
        <v>48</v>
      </c>
      <c r="E107" s="14" t="str">
        <f>'Exptl Setup'!E214</f>
        <v>+</v>
      </c>
      <c r="F107" s="14">
        <f>'Exptl Setup'!F214</f>
        <v>32.003</v>
      </c>
      <c r="G107" s="17">
        <f>'Exptl Setup'!G214</f>
        <v>25.004707231522584</v>
      </c>
      <c r="H107" s="26">
        <v>16</v>
      </c>
      <c r="I107" s="18">
        <v>8.36</v>
      </c>
      <c r="J107" s="18">
        <v>5.64</v>
      </c>
      <c r="K107" s="20">
        <f>DEA!AK128</f>
        <v>760.21883188437334</v>
      </c>
      <c r="L107" s="19">
        <f>'CO2 - predicted from measured'!AY113</f>
        <v>7.3337406202391682</v>
      </c>
      <c r="M107" s="19">
        <v>24.3</v>
      </c>
      <c r="N107" s="19">
        <v>42.02</v>
      </c>
      <c r="O107" s="19">
        <v>336.18</v>
      </c>
      <c r="P107" s="19">
        <v>4159</v>
      </c>
    </row>
    <row r="108" spans="1:16">
      <c r="A108" s="14">
        <f>'Exptl Setup'!A218</f>
        <v>211</v>
      </c>
      <c r="B108" s="14" t="str">
        <f>'Exptl Setup'!B218</f>
        <v>MTT No Till</v>
      </c>
      <c r="C108" s="14" t="str">
        <f>'Exptl Setup'!C218</f>
        <v>a</v>
      </c>
      <c r="D108" s="14">
        <f>'Exptl Setup'!D218</f>
        <v>48</v>
      </c>
      <c r="E108" s="14" t="str">
        <f>'Exptl Setup'!E218</f>
        <v>+</v>
      </c>
      <c r="F108" s="14">
        <f>'Exptl Setup'!F218</f>
        <v>32.008000000000003</v>
      </c>
      <c r="G108" s="17">
        <f>'Exptl Setup'!G218</f>
        <v>25.008613850781956</v>
      </c>
      <c r="H108" s="26">
        <v>20</v>
      </c>
      <c r="I108" s="18">
        <v>8.82</v>
      </c>
      <c r="J108" s="18">
        <v>5.86</v>
      </c>
      <c r="K108" s="20">
        <f>DEA!AK129</f>
        <v>156.29697087902377</v>
      </c>
      <c r="L108" s="19">
        <f>'CO2 - predicted from measured'!AY114</f>
        <v>-21.001288019301601</v>
      </c>
      <c r="M108" s="19">
        <v>30.910000000000004</v>
      </c>
      <c r="N108" s="19">
        <v>45.199999999999996</v>
      </c>
      <c r="O108" s="19">
        <v>504.59</v>
      </c>
      <c r="P108" s="19">
        <v>4962</v>
      </c>
    </row>
    <row r="109" spans="1:16">
      <c r="A109" s="14">
        <f>'Exptl Setup'!A219</f>
        <v>212</v>
      </c>
      <c r="B109" s="14" t="str">
        <f>'Exptl Setup'!B219</f>
        <v>MTT No Till</v>
      </c>
      <c r="C109" s="14" t="str">
        <f>'Exptl Setup'!C219</f>
        <v>b</v>
      </c>
      <c r="D109" s="14">
        <f>'Exptl Setup'!D219</f>
        <v>48</v>
      </c>
      <c r="E109" s="14" t="str">
        <f>'Exptl Setup'!E219</f>
        <v>+</v>
      </c>
      <c r="F109" s="14">
        <f>'Exptl Setup'!F219</f>
        <v>31.997</v>
      </c>
      <c r="G109" s="17">
        <f>'Exptl Setup'!G219</f>
        <v>25.000019288411337</v>
      </c>
      <c r="H109" s="26">
        <v>20</v>
      </c>
      <c r="I109" s="18">
        <v>8.8800000000000008</v>
      </c>
      <c r="J109" s="18">
        <v>5.64</v>
      </c>
      <c r="K109" s="20">
        <f>DEA!AK130</f>
        <v>38.131148406980408</v>
      </c>
      <c r="L109" s="19">
        <f>'CO2 - predicted from measured'!AY115</f>
        <v>-2.3201490135946212</v>
      </c>
      <c r="M109" s="19">
        <v>36.36</v>
      </c>
      <c r="N109" s="19">
        <v>37.200000000000003</v>
      </c>
      <c r="O109" s="19">
        <v>520.93999999999994</v>
      </c>
      <c r="P109" s="19">
        <v>5230</v>
      </c>
    </row>
    <row r="110" spans="1:16">
      <c r="A110" s="14">
        <f>'Exptl Setup'!A220</f>
        <v>213</v>
      </c>
      <c r="B110" s="14" t="str">
        <f>'Exptl Setup'!B220</f>
        <v>MTT No Till</v>
      </c>
      <c r="C110" s="14" t="str">
        <f>'Exptl Setup'!C220</f>
        <v>c</v>
      </c>
      <c r="D110" s="14">
        <f>'Exptl Setup'!D220</f>
        <v>48</v>
      </c>
      <c r="E110" s="14" t="str">
        <f>'Exptl Setup'!E220</f>
        <v>+</v>
      </c>
      <c r="F110" s="14">
        <f>'Exptl Setup'!F220</f>
        <v>32.006999999999998</v>
      </c>
      <c r="G110" s="17">
        <f>'Exptl Setup'!G220</f>
        <v>25.007832526930077</v>
      </c>
      <c r="H110" s="26">
        <v>20</v>
      </c>
      <c r="I110" s="18">
        <v>8.8800000000000008</v>
      </c>
      <c r="J110" s="18">
        <v>5.98</v>
      </c>
      <c r="K110" s="20">
        <f>DEA!AK131</f>
        <v>0</v>
      </c>
      <c r="L110" s="19">
        <f>'CO2 - predicted from measured'!AY116</f>
        <v>2.8251293580421346</v>
      </c>
      <c r="M110" s="19">
        <v>27.44</v>
      </c>
      <c r="N110" s="19">
        <v>44.85</v>
      </c>
      <c r="O110" s="19">
        <v>491.41</v>
      </c>
      <c r="P110" s="19">
        <v>5025</v>
      </c>
    </row>
    <row r="111" spans="1:16">
      <c r="A111" s="14">
        <f>'Exptl Setup'!A224</f>
        <v>217</v>
      </c>
      <c r="B111" s="14" t="str">
        <f>'Exptl Setup'!B224</f>
        <v>MTT No Till</v>
      </c>
      <c r="C111" s="14" t="str">
        <f>'Exptl Setup'!C224</f>
        <v>a</v>
      </c>
      <c r="D111" s="14">
        <f>'Exptl Setup'!D224</f>
        <v>48</v>
      </c>
      <c r="E111" s="14" t="str">
        <f>'Exptl Setup'!E224</f>
        <v>-</v>
      </c>
      <c r="F111" s="14">
        <f>'Exptl Setup'!F224</f>
        <v>32.009</v>
      </c>
      <c r="G111" s="17">
        <f>'Exptl Setup'!G224</f>
        <v>25.009395174633827</v>
      </c>
      <c r="H111" s="26">
        <v>0</v>
      </c>
      <c r="I111" s="18">
        <v>4.54</v>
      </c>
      <c r="J111" s="18">
        <v>5.64</v>
      </c>
      <c r="K111" s="20">
        <f>DEA!AK132</f>
        <v>91.566024614185068</v>
      </c>
      <c r="L111" s="19">
        <f>'CO2 - predicted from measured'!AY117</f>
        <v>0.54221569711385897</v>
      </c>
      <c r="M111" s="19">
        <v>33.344999999999999</v>
      </c>
      <c r="N111" s="19">
        <v>4.28</v>
      </c>
      <c r="O111" s="19">
        <v>2.3299999999999983</v>
      </c>
      <c r="P111" s="19">
        <v>53.19</v>
      </c>
    </row>
    <row r="112" spans="1:16">
      <c r="A112" s="14">
        <f>'Exptl Setup'!A225</f>
        <v>218</v>
      </c>
      <c r="B112" s="14" t="str">
        <f>'Exptl Setup'!B225</f>
        <v>MTT No Till</v>
      </c>
      <c r="C112" s="14" t="str">
        <f>'Exptl Setup'!C225</f>
        <v>b</v>
      </c>
      <c r="D112" s="14">
        <f>'Exptl Setup'!D225</f>
        <v>48</v>
      </c>
      <c r="E112" s="14" t="str">
        <f>'Exptl Setup'!E225</f>
        <v>-</v>
      </c>
      <c r="F112" s="14">
        <f>'Exptl Setup'!F225</f>
        <v>32</v>
      </c>
      <c r="G112" s="17">
        <f>'Exptl Setup'!G225</f>
        <v>25.002363259966963</v>
      </c>
      <c r="H112" s="26">
        <v>0</v>
      </c>
      <c r="I112" s="18">
        <v>4.6399999999999997</v>
      </c>
      <c r="J112" s="18">
        <v>5.76</v>
      </c>
      <c r="K112" s="20">
        <f>DEA!AK133</f>
        <v>115.31100624687012</v>
      </c>
      <c r="L112" s="19">
        <f>'CO2 - predicted from measured'!AY118</f>
        <v>0.43052012975911541</v>
      </c>
      <c r="M112" s="19">
        <v>35.129999999999995</v>
      </c>
      <c r="N112" s="19">
        <v>3.8040000000000003</v>
      </c>
      <c r="O112" s="19">
        <v>6.0460000000000065</v>
      </c>
      <c r="P112" s="19">
        <v>51.22</v>
      </c>
    </row>
    <row r="113" spans="1:16">
      <c r="A113" s="14">
        <f>'Exptl Setup'!A226</f>
        <v>219</v>
      </c>
      <c r="B113" s="14" t="str">
        <f>'Exptl Setup'!B226</f>
        <v>MTT No Till</v>
      </c>
      <c r="C113" s="14" t="str">
        <f>'Exptl Setup'!C226</f>
        <v>c</v>
      </c>
      <c r="D113" s="14">
        <f>'Exptl Setup'!D226</f>
        <v>48</v>
      </c>
      <c r="E113" s="14" t="str">
        <f>'Exptl Setup'!E226</f>
        <v>-</v>
      </c>
      <c r="F113" s="14">
        <f>'Exptl Setup'!F226</f>
        <v>32.008000000000003</v>
      </c>
      <c r="G113" s="17">
        <f>'Exptl Setup'!G226</f>
        <v>25.008613850781956</v>
      </c>
      <c r="H113" s="26">
        <v>0</v>
      </c>
      <c r="I113" s="18">
        <v>4.4800000000000004</v>
      </c>
      <c r="J113" s="18">
        <v>5.64</v>
      </c>
      <c r="K113" s="20">
        <f>DEA!AK134</f>
        <v>94.13485244450743</v>
      </c>
      <c r="L113" s="19">
        <f>'CO2 - predicted from measured'!AY119</f>
        <v>0.4538680106346285</v>
      </c>
      <c r="M113" s="19">
        <v>33.44</v>
      </c>
      <c r="N113" s="19">
        <v>4.5119999999999996</v>
      </c>
      <c r="O113" s="19">
        <v>7.6730000000000018</v>
      </c>
      <c r="P113" s="19">
        <v>55.339999999999996</v>
      </c>
    </row>
    <row r="114" spans="1:16">
      <c r="A114" s="14">
        <f>'Exptl Setup'!A230</f>
        <v>223</v>
      </c>
      <c r="B114" s="14" t="str">
        <f>'Exptl Setup'!B230</f>
        <v>MTT No Till</v>
      </c>
      <c r="C114" s="14" t="str">
        <f>'Exptl Setup'!C230</f>
        <v>a</v>
      </c>
      <c r="D114" s="14">
        <f>'Exptl Setup'!D230</f>
        <v>48</v>
      </c>
      <c r="E114" s="14" t="str">
        <f>'Exptl Setup'!E230</f>
        <v>-</v>
      </c>
      <c r="F114" s="14">
        <f>'Exptl Setup'!F230</f>
        <v>31.997</v>
      </c>
      <c r="G114" s="17">
        <f>'Exptl Setup'!G230</f>
        <v>25.000019288411337</v>
      </c>
      <c r="H114" s="26">
        <v>6</v>
      </c>
      <c r="I114" s="18">
        <v>6.72</v>
      </c>
      <c r="J114" s="18">
        <v>5.18</v>
      </c>
      <c r="K114" s="20">
        <f>DEA!AK135</f>
        <v>51.956881627835344</v>
      </c>
      <c r="L114" s="19">
        <f>'CO2 - predicted from measured'!AY120</f>
        <v>1.325591558443854</v>
      </c>
      <c r="M114" s="19">
        <v>28.984999999999999</v>
      </c>
      <c r="N114" s="19">
        <v>13.53</v>
      </c>
      <c r="O114" s="19">
        <v>9.7994104803493443</v>
      </c>
      <c r="P114" s="19">
        <v>247.2</v>
      </c>
    </row>
    <row r="115" spans="1:16">
      <c r="A115" s="14">
        <f>'Exptl Setup'!A231</f>
        <v>224</v>
      </c>
      <c r="B115" s="14" t="str">
        <f>'Exptl Setup'!B231</f>
        <v>MTT No Till</v>
      </c>
      <c r="C115" s="14" t="str">
        <f>'Exptl Setup'!C231</f>
        <v>b</v>
      </c>
      <c r="D115" s="14">
        <f>'Exptl Setup'!D231</f>
        <v>48</v>
      </c>
      <c r="E115" s="14" t="str">
        <f>'Exptl Setup'!E231</f>
        <v>-</v>
      </c>
      <c r="F115" s="14">
        <f>'Exptl Setup'!F231</f>
        <v>31.998999999999999</v>
      </c>
      <c r="G115" s="17">
        <f>'Exptl Setup'!G231</f>
        <v>25.001581936115088</v>
      </c>
      <c r="H115" s="26">
        <v>6</v>
      </c>
      <c r="I115" s="18">
        <v>6.68</v>
      </c>
      <c r="J115" s="18">
        <v>5.0999999999999996</v>
      </c>
      <c r="K115" s="20">
        <f>DEA!AK136</f>
        <v>50.104080099929647</v>
      </c>
      <c r="L115" s="19">
        <f>'CO2 - predicted from measured'!AY121</f>
        <v>1.1891773818139499</v>
      </c>
      <c r="M115" s="19">
        <v>37.200000000000003</v>
      </c>
      <c r="N115" s="19">
        <v>10.984999999999999</v>
      </c>
      <c r="O115" s="19">
        <v>15.177445414847163</v>
      </c>
      <c r="P115" s="19">
        <v>235.2</v>
      </c>
    </row>
    <row r="116" spans="1:16">
      <c r="A116" s="14">
        <f>'Exptl Setup'!A232</f>
        <v>225</v>
      </c>
      <c r="B116" s="14" t="str">
        <f>'Exptl Setup'!B232</f>
        <v>MTT No Till</v>
      </c>
      <c r="C116" s="14" t="str">
        <f>'Exptl Setup'!C232</f>
        <v>c</v>
      </c>
      <c r="D116" s="14">
        <f>'Exptl Setup'!D232</f>
        <v>48</v>
      </c>
      <c r="E116" s="14" t="str">
        <f>'Exptl Setup'!E232</f>
        <v>-</v>
      </c>
      <c r="F116" s="14">
        <f>'Exptl Setup'!F232</f>
        <v>32.01</v>
      </c>
      <c r="G116" s="17">
        <f>'Exptl Setup'!G232</f>
        <v>25.010176498485698</v>
      </c>
      <c r="H116" s="26">
        <v>6</v>
      </c>
      <c r="I116" s="18">
        <v>6.62</v>
      </c>
      <c r="J116" s="18">
        <v>5.12</v>
      </c>
      <c r="K116" s="20">
        <f>DEA!AK137</f>
        <v>50.853893388497305</v>
      </c>
      <c r="L116" s="19">
        <f>'CO2 - predicted from measured'!AY122</f>
        <v>1.2330827064918313</v>
      </c>
      <c r="M116" s="19">
        <v>29.860000000000003</v>
      </c>
      <c r="N116" s="19">
        <v>12.445</v>
      </c>
      <c r="O116" s="19">
        <v>16.384956331877728</v>
      </c>
      <c r="P116" s="19">
        <v>220</v>
      </c>
    </row>
    <row r="117" spans="1:16">
      <c r="A117" s="14">
        <f>'Exptl Setup'!A236</f>
        <v>229</v>
      </c>
      <c r="B117" s="14" t="str">
        <f>'Exptl Setup'!B236</f>
        <v>MTT No Till</v>
      </c>
      <c r="C117" s="14" t="str">
        <f>'Exptl Setup'!C236</f>
        <v>a</v>
      </c>
      <c r="D117" s="14">
        <f>'Exptl Setup'!D236</f>
        <v>48</v>
      </c>
      <c r="E117" s="14" t="str">
        <f>'Exptl Setup'!E236</f>
        <v>-</v>
      </c>
      <c r="F117" s="14">
        <f>'Exptl Setup'!F236</f>
        <v>31.994</v>
      </c>
      <c r="G117" s="17">
        <f>'Exptl Setup'!G236</f>
        <v>24.997675316855716</v>
      </c>
      <c r="H117" s="26">
        <v>16</v>
      </c>
      <c r="I117" s="18">
        <v>8.4</v>
      </c>
      <c r="J117" s="18">
        <v>5.7</v>
      </c>
      <c r="K117" s="20">
        <f>DEA!AK138</f>
        <v>12.056730027284663</v>
      </c>
      <c r="L117" s="19">
        <f>'CO2 - predicted from measured'!AY123</f>
        <v>6.8324765705454942</v>
      </c>
      <c r="M117" s="19">
        <v>24.56</v>
      </c>
      <c r="N117" s="19">
        <v>39.72</v>
      </c>
      <c r="O117" s="19">
        <v>257.11999999999995</v>
      </c>
      <c r="P117" s="19">
        <v>3967</v>
      </c>
    </row>
    <row r="118" spans="1:16">
      <c r="A118" s="14">
        <f>'Exptl Setup'!A237</f>
        <v>230</v>
      </c>
      <c r="B118" s="14" t="str">
        <f>'Exptl Setup'!B237</f>
        <v>MTT No Till</v>
      </c>
      <c r="C118" s="14" t="str">
        <f>'Exptl Setup'!C237</f>
        <v>b</v>
      </c>
      <c r="D118" s="14">
        <f>'Exptl Setup'!D237</f>
        <v>48</v>
      </c>
      <c r="E118" s="14" t="str">
        <f>'Exptl Setup'!E237</f>
        <v>-</v>
      </c>
      <c r="F118" s="14">
        <f>'Exptl Setup'!F237</f>
        <v>31.995999999999999</v>
      </c>
      <c r="G118" s="17">
        <f>'Exptl Setup'!G237</f>
        <v>24.999237964559462</v>
      </c>
      <c r="H118" s="26">
        <v>16</v>
      </c>
      <c r="I118" s="18">
        <v>8.3699999999999992</v>
      </c>
      <c r="J118" s="18">
        <v>5.54</v>
      </c>
      <c r="K118" s="20">
        <f>DEA!AK139</f>
        <v>38.566812290192729</v>
      </c>
      <c r="L118" s="19">
        <f>'CO2 - predicted from measured'!AY124</f>
        <v>5.7851721700826095</v>
      </c>
      <c r="M118" s="19">
        <v>23.57</v>
      </c>
      <c r="N118" s="19">
        <v>38.93</v>
      </c>
      <c r="O118" s="19">
        <v>316.5</v>
      </c>
      <c r="P118" s="19">
        <v>4278</v>
      </c>
    </row>
    <row r="119" spans="1:16">
      <c r="A119" s="14">
        <f>'Exptl Setup'!A238</f>
        <v>231</v>
      </c>
      <c r="B119" s="14" t="str">
        <f>'Exptl Setup'!B238</f>
        <v>MTT No Till</v>
      </c>
      <c r="C119" s="14" t="str">
        <f>'Exptl Setup'!C238</f>
        <v>c</v>
      </c>
      <c r="D119" s="14">
        <f>'Exptl Setup'!D238</f>
        <v>48</v>
      </c>
      <c r="E119" s="14" t="str">
        <f>'Exptl Setup'!E238</f>
        <v>-</v>
      </c>
      <c r="F119" s="14">
        <f>'Exptl Setup'!F238</f>
        <v>31.997</v>
      </c>
      <c r="G119" s="17">
        <f>'Exptl Setup'!G238</f>
        <v>25.000019288411337</v>
      </c>
      <c r="H119" s="26">
        <v>16</v>
      </c>
      <c r="I119" s="18">
        <v>8.42</v>
      </c>
      <c r="J119" s="18">
        <v>5.68</v>
      </c>
      <c r="K119" s="20">
        <f>DEA!AK140</f>
        <v>13.045428777853042</v>
      </c>
      <c r="L119" s="19">
        <f>'CO2 - predicted from measured'!AY125</f>
        <v>6.9500999977604865</v>
      </c>
      <c r="M119" s="19">
        <v>25.45</v>
      </c>
      <c r="N119" s="19">
        <v>43.06</v>
      </c>
      <c r="O119" s="19">
        <v>280.39</v>
      </c>
      <c r="P119" s="19">
        <v>3879</v>
      </c>
    </row>
    <row r="120" spans="1:16">
      <c r="A120" s="14">
        <f>'Exptl Setup'!A242</f>
        <v>235</v>
      </c>
      <c r="B120" s="14" t="str">
        <f>'Exptl Setup'!B242</f>
        <v>MTT No Till</v>
      </c>
      <c r="C120" s="14" t="str">
        <f>'Exptl Setup'!C242</f>
        <v>a</v>
      </c>
      <c r="D120" s="14">
        <f>'Exptl Setup'!D242</f>
        <v>48</v>
      </c>
      <c r="E120" s="14" t="str">
        <f>'Exptl Setup'!E242</f>
        <v>-</v>
      </c>
      <c r="F120" s="14">
        <f>'Exptl Setup'!F242</f>
        <v>32.003</v>
      </c>
      <c r="G120" s="17">
        <f>'Exptl Setup'!G242</f>
        <v>25.004707231522584</v>
      </c>
      <c r="H120" s="26">
        <v>20</v>
      </c>
      <c r="I120" s="18">
        <v>8.8000000000000007</v>
      </c>
      <c r="J120" s="18">
        <v>5.82</v>
      </c>
      <c r="K120" s="20">
        <f>DEA!AK141</f>
        <v>67.391084470492018</v>
      </c>
      <c r="L120" s="19">
        <f>'CO2 - predicted from measured'!AY126</f>
        <v>3.2700625477095135</v>
      </c>
      <c r="M120" s="19">
        <v>22.89</v>
      </c>
      <c r="N120" s="19">
        <v>47.76</v>
      </c>
      <c r="O120" s="19">
        <v>471.45000000000005</v>
      </c>
      <c r="P120" s="19">
        <v>5163</v>
      </c>
    </row>
    <row r="121" spans="1:16">
      <c r="A121" s="14">
        <f>'Exptl Setup'!A243</f>
        <v>236</v>
      </c>
      <c r="B121" s="14" t="str">
        <f>'Exptl Setup'!B243</f>
        <v>MTT No Till</v>
      </c>
      <c r="C121" s="14" t="str">
        <f>'Exptl Setup'!C243</f>
        <v>b</v>
      </c>
      <c r="D121" s="14">
        <f>'Exptl Setup'!D243</f>
        <v>48</v>
      </c>
      <c r="E121" s="14" t="str">
        <f>'Exptl Setup'!E243</f>
        <v>-</v>
      </c>
      <c r="F121" s="14">
        <f>'Exptl Setup'!F243</f>
        <v>32.01</v>
      </c>
      <c r="G121" s="17">
        <f>'Exptl Setup'!G243</f>
        <v>25.010176498485698</v>
      </c>
      <c r="H121" s="26">
        <v>20</v>
      </c>
      <c r="I121" s="18">
        <v>8.86</v>
      </c>
      <c r="J121" s="18">
        <v>5.88</v>
      </c>
      <c r="K121" s="20">
        <f>DEA!AK142</f>
        <v>5.3215170393138367</v>
      </c>
      <c r="L121" s="19">
        <f>'CO2 - predicted from measured'!AY127</f>
        <v>3.1557757841396463</v>
      </c>
      <c r="M121" s="19">
        <v>27.11</v>
      </c>
      <c r="N121" s="19">
        <v>45.12</v>
      </c>
      <c r="O121" s="19">
        <v>434.27</v>
      </c>
      <c r="P121" s="19">
        <v>4987</v>
      </c>
    </row>
    <row r="122" spans="1:16">
      <c r="A122" s="14">
        <f>'Exptl Setup'!A244</f>
        <v>237</v>
      </c>
      <c r="B122" s="14" t="str">
        <f>'Exptl Setup'!B244</f>
        <v>MTT No Till</v>
      </c>
      <c r="C122" s="14" t="str">
        <f>'Exptl Setup'!C244</f>
        <v>c</v>
      </c>
      <c r="D122" s="14">
        <f>'Exptl Setup'!D244</f>
        <v>48</v>
      </c>
      <c r="E122" s="14" t="str">
        <f>'Exptl Setup'!E244</f>
        <v>-</v>
      </c>
      <c r="F122" s="14">
        <f>'Exptl Setup'!F244</f>
        <v>31.998000000000001</v>
      </c>
      <c r="G122" s="17">
        <f>'Exptl Setup'!G244</f>
        <v>25.000800612263212</v>
      </c>
      <c r="H122" s="26">
        <v>20</v>
      </c>
      <c r="I122" s="18">
        <v>8.75</v>
      </c>
      <c r="J122" s="18">
        <v>5.78</v>
      </c>
      <c r="K122" s="20">
        <f>DEA!AK143</f>
        <v>10.978841027772813</v>
      </c>
      <c r="L122" s="19">
        <f>'CO2 - predicted from measured'!AY128</f>
        <v>4.3700952937888626</v>
      </c>
      <c r="M122" s="19">
        <v>24.700000000000003</v>
      </c>
      <c r="N122" s="19">
        <v>47.32</v>
      </c>
      <c r="O122" s="19">
        <v>483.88</v>
      </c>
      <c r="P122" s="19">
        <v>5439</v>
      </c>
    </row>
  </sheetData>
  <phoneticPr fontId="4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2"/>
  <sheetViews>
    <sheetView topLeftCell="J1" workbookViewId="0">
      <selection activeCell="R4" sqref="R4:V7"/>
    </sheetView>
  </sheetViews>
  <sheetFormatPr defaultColWidth="13.42578125" defaultRowHeight="12.75"/>
  <cols>
    <col min="1" max="1" width="4" style="3" bestFit="1" customWidth="1"/>
    <col min="2" max="2" width="3.85546875" style="3" bestFit="1" customWidth="1"/>
    <col min="3" max="3" width="4.7109375" style="3" bestFit="1" customWidth="1"/>
    <col min="4" max="4" width="8.42578125" style="3" bestFit="1" customWidth="1"/>
    <col min="5" max="5" width="14" style="3" bestFit="1" customWidth="1"/>
    <col min="6" max="6" width="14" style="3" customWidth="1"/>
    <col min="7" max="7" width="16.85546875" style="3" bestFit="1" customWidth="1"/>
    <col min="8" max="9" width="13.42578125" style="3"/>
    <col min="10" max="10" width="13.140625" style="3" customWidth="1"/>
    <col min="11" max="11" width="9.28515625" style="3" customWidth="1"/>
    <col min="12" max="14" width="7.42578125" style="3" customWidth="1"/>
    <col min="15" max="15" width="6.42578125" style="3" customWidth="1"/>
    <col min="16" max="16" width="5.42578125" style="3" customWidth="1"/>
    <col min="17" max="17" width="20.28515625" style="3" customWidth="1"/>
    <col min="18" max="18" width="16.28515625" style="3" customWidth="1"/>
    <col min="19" max="23" width="12" style="3" customWidth="1"/>
    <col min="24" max="24" width="20" style="3" customWidth="1"/>
    <col min="25" max="25" width="20.28515625" style="3" customWidth="1"/>
    <col min="26" max="26" width="20" style="3" customWidth="1"/>
    <col min="27" max="27" width="20.28515625" style="3" customWidth="1"/>
    <col min="28" max="28" width="25" style="3" customWidth="1"/>
    <col min="29" max="29" width="25.28515625" style="3" customWidth="1"/>
    <col min="30" max="30" width="12" style="3" customWidth="1"/>
    <col min="31" max="16384" width="13.42578125" style="3"/>
  </cols>
  <sheetData>
    <row r="1" spans="1:30" ht="26.25">
      <c r="J1" s="247" t="s">
        <v>31</v>
      </c>
      <c r="K1" s="247" t="s">
        <v>189</v>
      </c>
      <c r="L1" s="248"/>
      <c r="M1" s="248"/>
      <c r="N1" s="248"/>
      <c r="O1" s="249"/>
      <c r="Q1" s="314" t="s">
        <v>208</v>
      </c>
      <c r="R1" s="314" t="s">
        <v>189</v>
      </c>
      <c r="S1" s="299"/>
      <c r="T1" s="299"/>
      <c r="U1" s="299"/>
      <c r="V1" s="299"/>
      <c r="W1" s="296"/>
      <c r="X1"/>
      <c r="Y1"/>
      <c r="Z1"/>
      <c r="AA1"/>
      <c r="AB1"/>
      <c r="AC1"/>
      <c r="AD1"/>
    </row>
    <row r="2" spans="1:30" ht="27" thickBot="1">
      <c r="A2" s="3" t="str">
        <f>DEA!A23</f>
        <v>Jar</v>
      </c>
      <c r="B2" s="3" t="str">
        <f>DEA!B23</f>
        <v>Rep</v>
      </c>
      <c r="C2" s="3" t="str">
        <f>DEA!C23</f>
        <v>Time</v>
      </c>
      <c r="D2" s="3" t="str">
        <f>DEA!D23</f>
        <v>Acetylene</v>
      </c>
      <c r="E2" s="157" t="str">
        <f>DEA!E23</f>
        <v>OH added
(meq/100 g soil)</v>
      </c>
      <c r="F2" s="157" t="s">
        <v>34</v>
      </c>
      <c r="G2" s="157" t="str">
        <f>DEA!AK23</f>
        <v>Rate of N2O evolved
ng N2O-N g-1 h-1</v>
      </c>
      <c r="H2" s="57" t="s">
        <v>207</v>
      </c>
      <c r="I2" s="336"/>
      <c r="J2" s="247" t="s">
        <v>188</v>
      </c>
      <c r="K2" s="250">
        <v>16</v>
      </c>
      <c r="L2" s="251">
        <v>24</v>
      </c>
      <c r="M2" s="251">
        <v>32</v>
      </c>
      <c r="N2" s="251">
        <v>40</v>
      </c>
      <c r="O2" s="252">
        <v>48</v>
      </c>
      <c r="Q2" s="314" t="s">
        <v>188</v>
      </c>
      <c r="R2" s="313">
        <v>16</v>
      </c>
      <c r="S2" s="300">
        <v>24</v>
      </c>
      <c r="T2" s="300">
        <v>32</v>
      </c>
      <c r="U2" s="300">
        <v>40</v>
      </c>
      <c r="V2" s="300">
        <v>48</v>
      </c>
      <c r="W2" s="335" t="s">
        <v>199</v>
      </c>
      <c r="X2"/>
      <c r="Y2"/>
      <c r="Z2"/>
      <c r="AA2"/>
      <c r="AB2"/>
      <c r="AC2"/>
      <c r="AD2"/>
    </row>
    <row r="3" spans="1:30" ht="15.75" thickTop="1">
      <c r="A3" s="3">
        <f>DEA!A24</f>
        <v>1</v>
      </c>
      <c r="B3" s="3" t="str">
        <f>DEA!B24</f>
        <v>a</v>
      </c>
      <c r="C3" s="3">
        <f>DEA!C24</f>
        <v>16</v>
      </c>
      <c r="D3" s="3" t="str">
        <f>DEA!D24</f>
        <v>+</v>
      </c>
      <c r="E3" s="3">
        <v>0</v>
      </c>
      <c r="F3" s="75">
        <f>'Post-DEA characterisation'!I3</f>
        <v>4.7300000000000004</v>
      </c>
      <c r="G3" s="75">
        <f>DEA!AK24</f>
        <v>80.41479223688107</v>
      </c>
      <c r="H3" s="67">
        <v>425.81572315481549</v>
      </c>
      <c r="I3" s="196"/>
      <c r="J3" s="253" t="s">
        <v>81</v>
      </c>
      <c r="K3" s="254"/>
      <c r="L3" s="255"/>
      <c r="M3" s="255"/>
      <c r="N3" s="255"/>
      <c r="O3" s="256"/>
      <c r="Q3" s="333" t="s">
        <v>82</v>
      </c>
      <c r="R3" s="315"/>
      <c r="S3" s="301"/>
      <c r="T3" s="301"/>
      <c r="U3" s="301"/>
      <c r="V3" s="301"/>
      <c r="W3" s="334"/>
      <c r="X3"/>
      <c r="Y3"/>
      <c r="Z3"/>
      <c r="AA3"/>
      <c r="AB3"/>
      <c r="AC3"/>
      <c r="AD3"/>
    </row>
    <row r="4" spans="1:30" ht="15">
      <c r="A4" s="3">
        <f>DEA!A25</f>
        <v>2</v>
      </c>
      <c r="B4" s="3" t="str">
        <f>DEA!B25</f>
        <v>b</v>
      </c>
      <c r="C4" s="3">
        <f>DEA!C25</f>
        <v>16</v>
      </c>
      <c r="D4" s="3" t="str">
        <f>DEA!D25</f>
        <v>+</v>
      </c>
      <c r="E4" s="3">
        <v>0</v>
      </c>
      <c r="F4" s="75">
        <f>'Post-DEA characterisation'!I4</f>
        <v>4.7699999999999996</v>
      </c>
      <c r="G4" s="75">
        <f>DEA!AK25</f>
        <v>78.310159133396454</v>
      </c>
      <c r="H4" s="67">
        <v>412.17853988344268</v>
      </c>
      <c r="I4" s="196"/>
      <c r="J4" s="257">
        <v>0</v>
      </c>
      <c r="K4" s="258">
        <v>79.864936192814596</v>
      </c>
      <c r="L4" s="259">
        <v>121.40933764708491</v>
      </c>
      <c r="M4" s="259">
        <v>115.03000645596956</v>
      </c>
      <c r="N4" s="259">
        <v>90.557543023029723</v>
      </c>
      <c r="O4" s="260">
        <v>84.838225153838039</v>
      </c>
      <c r="Q4" s="338">
        <v>0</v>
      </c>
      <c r="R4" s="339">
        <v>427.92586664617579</v>
      </c>
      <c r="S4" s="340">
        <v>479.5227510266559</v>
      </c>
      <c r="T4" s="340">
        <v>699.82223901728037</v>
      </c>
      <c r="U4" s="340">
        <v>609.11560198733889</v>
      </c>
      <c r="V4" s="340">
        <v>633.0687845903675</v>
      </c>
      <c r="W4" s="294">
        <v>569.89104865356364</v>
      </c>
      <c r="X4"/>
      <c r="Y4"/>
      <c r="Z4"/>
      <c r="AA4"/>
      <c r="AB4"/>
      <c r="AC4"/>
      <c r="AD4"/>
    </row>
    <row r="5" spans="1:30" ht="15">
      <c r="A5" s="3">
        <f>DEA!A26</f>
        <v>3</v>
      </c>
      <c r="B5" s="3" t="str">
        <f>DEA!B26</f>
        <v>c</v>
      </c>
      <c r="C5" s="3">
        <f>DEA!C26</f>
        <v>16</v>
      </c>
      <c r="D5" s="3" t="str">
        <f>DEA!D26</f>
        <v>+</v>
      </c>
      <c r="E5" s="3">
        <v>0</v>
      </c>
      <c r="F5" s="75">
        <f>'Post-DEA characterisation'!I5</f>
        <v>4.9400000000000004</v>
      </c>
      <c r="G5" s="75">
        <f>DEA!AK26</f>
        <v>80.869857208166266</v>
      </c>
      <c r="H5" s="67">
        <v>423.17527524259145</v>
      </c>
      <c r="I5" s="196"/>
      <c r="J5" s="257">
        <v>6</v>
      </c>
      <c r="K5" s="258">
        <v>541.02723107531801</v>
      </c>
      <c r="L5" s="259">
        <v>920.74874802015404</v>
      </c>
      <c r="M5" s="259">
        <v>787.06709088212256</v>
      </c>
      <c r="N5" s="259">
        <v>944.12349887042376</v>
      </c>
      <c r="O5" s="260">
        <v>562.64650880115926</v>
      </c>
      <c r="Q5" s="338">
        <v>6</v>
      </c>
      <c r="R5" s="339">
        <v>216.37540281625468</v>
      </c>
      <c r="S5" s="340">
        <v>263.15121827672931</v>
      </c>
      <c r="T5" s="340">
        <v>284.72983663659215</v>
      </c>
      <c r="U5" s="340">
        <v>445.6445367484726</v>
      </c>
      <c r="V5" s="340">
        <v>222.00276928523454</v>
      </c>
      <c r="W5" s="294">
        <v>286.38075275265663</v>
      </c>
      <c r="X5"/>
      <c r="Y5"/>
      <c r="Z5"/>
      <c r="AA5"/>
      <c r="AB5"/>
      <c r="AC5"/>
      <c r="AD5"/>
    </row>
    <row r="6" spans="1:30" ht="15">
      <c r="A6" s="3">
        <f>DEA!A27</f>
        <v>7</v>
      </c>
      <c r="B6" s="3" t="str">
        <f>DEA!B27</f>
        <v>a</v>
      </c>
      <c r="C6" s="3">
        <f>DEA!C27</f>
        <v>16</v>
      </c>
      <c r="D6" s="3" t="str">
        <f>DEA!D27</f>
        <v>+</v>
      </c>
      <c r="E6" s="3">
        <v>6</v>
      </c>
      <c r="F6" s="75">
        <f>'Post-DEA characterisation'!I6</f>
        <v>6.49</v>
      </c>
      <c r="G6" s="75">
        <f>DEA!AK27</f>
        <v>480.57801043416748</v>
      </c>
      <c r="H6" s="67">
        <v>1762.8165927717876</v>
      </c>
      <c r="I6" s="196"/>
      <c r="J6" s="257">
        <v>16</v>
      </c>
      <c r="K6" s="258">
        <v>34.175251380762411</v>
      </c>
      <c r="L6" s="259">
        <v>3067.1995724174435</v>
      </c>
      <c r="M6" s="259">
        <v>1914.8274470700951</v>
      </c>
      <c r="N6" s="259">
        <v>1754.2157054115244</v>
      </c>
      <c r="O6" s="260">
        <v>664.24578235008323</v>
      </c>
      <c r="Q6" s="338">
        <v>16</v>
      </c>
      <c r="R6" s="339">
        <v>47.405183647796093</v>
      </c>
      <c r="S6" s="340">
        <v>155.65928878421053</v>
      </c>
      <c r="T6" s="340">
        <v>79.937717955349754</v>
      </c>
      <c r="U6" s="340">
        <v>102.73401656056383</v>
      </c>
      <c r="V6" s="340">
        <v>77.087281536967978</v>
      </c>
      <c r="W6" s="294">
        <v>92.564697696977632</v>
      </c>
      <c r="X6"/>
      <c r="Y6"/>
      <c r="Z6"/>
      <c r="AA6"/>
      <c r="AB6"/>
      <c r="AC6"/>
      <c r="AD6"/>
    </row>
    <row r="7" spans="1:30" ht="15">
      <c r="A7" s="3">
        <f>DEA!A28</f>
        <v>8</v>
      </c>
      <c r="B7" s="3" t="str">
        <f>DEA!B28</f>
        <v>b</v>
      </c>
      <c r="C7" s="3">
        <f>DEA!C28</f>
        <v>16</v>
      </c>
      <c r="D7" s="3" t="str">
        <f>DEA!D28</f>
        <v>+</v>
      </c>
      <c r="E7" s="3">
        <v>6</v>
      </c>
      <c r="F7" s="75">
        <f>'Post-DEA characterisation'!I7</f>
        <v>6.49</v>
      </c>
      <c r="G7" s="75">
        <f>DEA!AK28</f>
        <v>444.78497069648091</v>
      </c>
      <c r="H7" s="67">
        <v>1633.1189280360613</v>
      </c>
      <c r="I7" s="196"/>
      <c r="J7" s="257">
        <v>20</v>
      </c>
      <c r="K7" s="258">
        <v>0.20412911325077046</v>
      </c>
      <c r="L7" s="259">
        <v>10.415512235905025</v>
      </c>
      <c r="M7" s="259">
        <v>10.461537238410438</v>
      </c>
      <c r="N7" s="259">
        <v>8.3118707394089348</v>
      </c>
      <c r="O7" s="260">
        <v>64.80937309533472</v>
      </c>
      <c r="Q7" s="338">
        <v>20</v>
      </c>
      <c r="R7" s="339">
        <v>0.21697946015200897</v>
      </c>
      <c r="S7" s="340">
        <v>1.180069774029479</v>
      </c>
      <c r="T7" s="340">
        <v>1.719259016239852</v>
      </c>
      <c r="U7" s="340">
        <v>3.777329557027528</v>
      </c>
      <c r="V7" s="340">
        <v>95.27265379836939</v>
      </c>
      <c r="W7" s="294">
        <v>20.433258321163649</v>
      </c>
      <c r="AB7"/>
      <c r="AC7"/>
      <c r="AD7"/>
    </row>
    <row r="8" spans="1:30" ht="15">
      <c r="A8" s="3">
        <f>DEA!A29</f>
        <v>9</v>
      </c>
      <c r="B8" s="3" t="str">
        <f>DEA!B29</f>
        <v>c</v>
      </c>
      <c r="C8" s="3">
        <f>DEA!C29</f>
        <v>16</v>
      </c>
      <c r="D8" s="3" t="str">
        <f>DEA!D29</f>
        <v>+</v>
      </c>
      <c r="E8" s="3">
        <v>6</v>
      </c>
      <c r="F8" s="75">
        <f>'Post-DEA characterisation'!I8</f>
        <v>6.52</v>
      </c>
      <c r="G8" s="75">
        <f>DEA!AK29</f>
        <v>697.71871209530548</v>
      </c>
      <c r="H8" s="67">
        <v>2505.7196341583917</v>
      </c>
      <c r="I8" s="196"/>
      <c r="J8" s="261" t="s">
        <v>82</v>
      </c>
      <c r="K8" s="262"/>
      <c r="L8" s="263"/>
      <c r="M8" s="263"/>
      <c r="N8" s="263"/>
      <c r="O8" s="264"/>
      <c r="Q8" s="293" t="s">
        <v>81</v>
      </c>
      <c r="R8" s="339"/>
      <c r="S8" s="340"/>
      <c r="T8" s="340"/>
      <c r="U8" s="340"/>
      <c r="V8" s="340"/>
      <c r="W8" s="294"/>
      <c r="X8"/>
      <c r="Y8"/>
      <c r="Z8"/>
      <c r="AA8"/>
      <c r="AB8"/>
      <c r="AC8"/>
      <c r="AD8"/>
    </row>
    <row r="9" spans="1:30" ht="15">
      <c r="A9" s="3">
        <f>DEA!A30</f>
        <v>13</v>
      </c>
      <c r="B9" s="3" t="str">
        <f>DEA!B30</f>
        <v>a</v>
      </c>
      <c r="C9" s="3">
        <f>DEA!C30</f>
        <v>16</v>
      </c>
      <c r="D9" s="3" t="str">
        <f>DEA!D30</f>
        <v>+</v>
      </c>
      <c r="E9" s="3">
        <v>16</v>
      </c>
      <c r="F9" s="75">
        <f>'Post-DEA characterisation'!I9</f>
        <v>8.4</v>
      </c>
      <c r="G9" s="75">
        <f>DEA!AK30</f>
        <v>23.840191453488544</v>
      </c>
      <c r="H9" s="67">
        <v>81.654385047428107</v>
      </c>
      <c r="I9" s="196"/>
      <c r="J9" s="257">
        <v>0</v>
      </c>
      <c r="K9" s="258">
        <v>85.827498212717771</v>
      </c>
      <c r="L9" s="259">
        <v>123.85012441536578</v>
      </c>
      <c r="M9" s="259">
        <v>112.70667364871457</v>
      </c>
      <c r="N9" s="259">
        <v>95.108212382905904</v>
      </c>
      <c r="O9" s="260">
        <v>100.33729443518753</v>
      </c>
      <c r="Q9" s="338">
        <v>0</v>
      </c>
      <c r="R9" s="339">
        <v>420.38984609361654</v>
      </c>
      <c r="S9" s="340">
        <v>735.16061167012731</v>
      </c>
      <c r="T9" s="340">
        <v>718.54464917455778</v>
      </c>
      <c r="U9" s="340">
        <v>639.13544226466331</v>
      </c>
      <c r="V9" s="340">
        <v>539.907228710916</v>
      </c>
      <c r="W9" s="294">
        <v>610.62755558277604</v>
      </c>
    </row>
    <row r="10" spans="1:30" ht="15">
      <c r="A10" s="3">
        <f>DEA!A31</f>
        <v>14</v>
      </c>
      <c r="B10" s="3" t="str">
        <f>DEA!B31</f>
        <v>b</v>
      </c>
      <c r="C10" s="3">
        <f>DEA!C31</f>
        <v>16</v>
      </c>
      <c r="D10" s="3" t="str">
        <f>DEA!D31</f>
        <v>+</v>
      </c>
      <c r="E10" s="3">
        <v>16</v>
      </c>
      <c r="F10" s="75">
        <f>'Post-DEA characterisation'!I10</f>
        <v>8.4</v>
      </c>
      <c r="G10" s="75">
        <f>DEA!AK31</f>
        <v>41.785127502911855</v>
      </c>
      <c r="H10" s="67">
        <v>139.69072330532745</v>
      </c>
      <c r="I10" s="196"/>
      <c r="J10" s="257">
        <v>6</v>
      </c>
      <c r="K10" s="258">
        <v>53.881904080258153</v>
      </c>
      <c r="L10" s="259">
        <v>56.08233495591935</v>
      </c>
      <c r="M10" s="259">
        <v>63.805201106732689</v>
      </c>
      <c r="N10" s="259">
        <v>82.512357083338472</v>
      </c>
      <c r="O10" s="260">
        <v>50.971618372087427</v>
      </c>
      <c r="Q10" s="338">
        <v>6</v>
      </c>
      <c r="R10" s="339">
        <v>1967.2183849887467</v>
      </c>
      <c r="S10" s="340">
        <v>3592.7670704091183</v>
      </c>
      <c r="T10" s="340">
        <v>2863.8643388283272</v>
      </c>
      <c r="U10" s="340">
        <v>3543.0583735622536</v>
      </c>
      <c r="V10" s="340">
        <v>2360.7166579421123</v>
      </c>
      <c r="W10" s="294">
        <v>2865.5249651461113</v>
      </c>
    </row>
    <row r="11" spans="1:30" ht="15">
      <c r="A11" s="3">
        <f>DEA!A32</f>
        <v>15</v>
      </c>
      <c r="B11" s="3" t="str">
        <f>DEA!B32</f>
        <v>c</v>
      </c>
      <c r="C11" s="3">
        <f>DEA!C32</f>
        <v>16</v>
      </c>
      <c r="D11" s="3" t="str">
        <f>DEA!D32</f>
        <v>+</v>
      </c>
      <c r="E11" s="3">
        <v>16</v>
      </c>
      <c r="F11" s="75">
        <f>'Post-DEA characterisation'!I11</f>
        <v>8.32</v>
      </c>
      <c r="G11" s="75">
        <f>DEA!AK32</f>
        <v>36.900435185886835</v>
      </c>
      <c r="H11" s="67">
        <v>125.02570538916503</v>
      </c>
      <c r="I11" s="196"/>
      <c r="J11" s="257">
        <v>16</v>
      </c>
      <c r="K11" s="258">
        <v>12.704509025199265</v>
      </c>
      <c r="L11" s="259">
        <v>20.191439987688394</v>
      </c>
      <c r="M11" s="259">
        <v>10.41700111420581</v>
      </c>
      <c r="N11" s="259">
        <v>24.709412191489871</v>
      </c>
      <c r="O11" s="260">
        <v>21.222990365110146</v>
      </c>
      <c r="Q11" s="338">
        <v>16</v>
      </c>
      <c r="R11" s="339">
        <v>115.45693791397353</v>
      </c>
      <c r="S11" s="340">
        <v>7131.5939721873046</v>
      </c>
      <c r="T11" s="340">
        <v>4575.4498874564661</v>
      </c>
      <c r="U11" s="340">
        <v>4175.7983284076918</v>
      </c>
      <c r="V11" s="340">
        <v>2171.9124453308632</v>
      </c>
      <c r="W11" s="294">
        <v>3634.0423142592604</v>
      </c>
    </row>
    <row r="12" spans="1:30" ht="15">
      <c r="A12" s="3">
        <f>DEA!A33</f>
        <v>19</v>
      </c>
      <c r="B12" s="3" t="str">
        <f>DEA!B33</f>
        <v>a</v>
      </c>
      <c r="C12" s="3">
        <f>DEA!C33</f>
        <v>16</v>
      </c>
      <c r="D12" s="3" t="str">
        <f>DEA!D33</f>
        <v>+</v>
      </c>
      <c r="E12" s="3">
        <v>20</v>
      </c>
      <c r="F12" s="75">
        <f>'Post-DEA characterisation'!I12</f>
        <v>8.92</v>
      </c>
      <c r="G12" s="75">
        <f>DEA!AK33</f>
        <v>0.1423959604425952</v>
      </c>
      <c r="H12" s="67">
        <v>0.26444964082196254</v>
      </c>
      <c r="I12" s="196"/>
      <c r="J12" s="265">
        <v>20</v>
      </c>
      <c r="K12" s="266">
        <v>6.7466916241708572E-2</v>
      </c>
      <c r="L12" s="267">
        <v>0.29433778750716183</v>
      </c>
      <c r="M12" s="267">
        <v>0.46693909281236107</v>
      </c>
      <c r="N12" s="267">
        <v>0.97182663782036671</v>
      </c>
      <c r="O12" s="268">
        <v>27.897147512526221</v>
      </c>
      <c r="Q12" s="338">
        <v>20</v>
      </c>
      <c r="R12" s="339">
        <v>0.52559001997218091</v>
      </c>
      <c r="S12" s="340">
        <v>31.500176096869051</v>
      </c>
      <c r="T12" s="340">
        <v>35.222144541637093</v>
      </c>
      <c r="U12" s="340">
        <v>30.073890543730602</v>
      </c>
      <c r="V12" s="340">
        <v>619.33289615874571</v>
      </c>
      <c r="W12" s="294">
        <v>143.33093947219095</v>
      </c>
    </row>
    <row r="13" spans="1:30" ht="15">
      <c r="A13" s="3">
        <f>DEA!A34</f>
        <v>20</v>
      </c>
      <c r="B13" s="3" t="str">
        <f>DEA!B34</f>
        <v>b</v>
      </c>
      <c r="C13" s="3">
        <f>DEA!C34</f>
        <v>16</v>
      </c>
      <c r="D13" s="3" t="str">
        <f>DEA!D34</f>
        <v>+</v>
      </c>
      <c r="E13" s="3">
        <v>20</v>
      </c>
      <c r="F13" s="75">
        <f>'Post-DEA characterisation'!I13</f>
        <v>9.08</v>
      </c>
      <c r="G13" s="75">
        <f>DEA!AK34</f>
        <v>0.23293428877700467</v>
      </c>
      <c r="H13" s="67">
        <v>0.62047998320512165</v>
      </c>
      <c r="I13" s="196"/>
      <c r="Q13" s="295" t="s">
        <v>199</v>
      </c>
      <c r="R13" s="298">
        <v>399.43927394833599</v>
      </c>
      <c r="S13" s="303">
        <v>1548.8168947781305</v>
      </c>
      <c r="T13" s="303">
        <v>1157.4112590783063</v>
      </c>
      <c r="U13" s="303">
        <v>1193.6671899539676</v>
      </c>
      <c r="V13" s="303">
        <v>839.91258966919702</v>
      </c>
      <c r="W13" s="292">
        <v>1027.8494414855875</v>
      </c>
    </row>
    <row r="14" spans="1:30" ht="15">
      <c r="A14" s="3">
        <f>DEA!A35</f>
        <v>21</v>
      </c>
      <c r="B14" s="3" t="str">
        <f>DEA!B35</f>
        <v>c</v>
      </c>
      <c r="C14" s="3">
        <f>DEA!C35</f>
        <v>16</v>
      </c>
      <c r="D14" s="3" t="str">
        <f>DEA!D35</f>
        <v>+</v>
      </c>
      <c r="E14" s="3">
        <v>20</v>
      </c>
      <c r="F14" s="75">
        <f>'Post-DEA characterisation'!I14</f>
        <v>8.82</v>
      </c>
      <c r="G14" s="75">
        <f>DEA!AK35</f>
        <v>0.23705709053271154</v>
      </c>
      <c r="H14" s="67">
        <v>0.69184043588945854</v>
      </c>
      <c r="I14" s="196"/>
      <c r="Q14"/>
      <c r="R14"/>
      <c r="S14"/>
    </row>
    <row r="15" spans="1:30" ht="15">
      <c r="A15" s="3">
        <f>DEA!A36</f>
        <v>25</v>
      </c>
      <c r="B15" s="3" t="str">
        <f>DEA!B36</f>
        <v>a</v>
      </c>
      <c r="C15" s="3">
        <f>DEA!C36</f>
        <v>16</v>
      </c>
      <c r="D15" s="3" t="str">
        <f>DEA!D36</f>
        <v>-</v>
      </c>
      <c r="E15" s="3">
        <v>0</v>
      </c>
      <c r="F15" s="75">
        <f>'Post-DEA characterisation'!I15</f>
        <v>4.6100000000000003</v>
      </c>
      <c r="G15" s="75">
        <f>DEA!AK36</f>
        <v>84.321712456022112</v>
      </c>
      <c r="H15" s="67">
        <v>419.79768625854166</v>
      </c>
      <c r="I15" s="196"/>
      <c r="Q15"/>
      <c r="R15"/>
      <c r="S15"/>
    </row>
    <row r="16" spans="1:30" ht="15">
      <c r="A16" s="3">
        <f>DEA!A37</f>
        <v>26</v>
      </c>
      <c r="B16" s="3" t="str">
        <f>DEA!B37</f>
        <v>b</v>
      </c>
      <c r="C16" s="3">
        <f>DEA!C37</f>
        <v>16</v>
      </c>
      <c r="D16" s="3" t="str">
        <f>DEA!D37</f>
        <v>-</v>
      </c>
      <c r="E16" s="3">
        <v>0</v>
      </c>
      <c r="F16" s="75">
        <f>'Post-DEA characterisation'!I16</f>
        <v>4.6900000000000004</v>
      </c>
      <c r="G16" s="75">
        <f>DEA!AK37</f>
        <v>88.48823638024561</v>
      </c>
      <c r="H16" s="67">
        <v>436.83216375701721</v>
      </c>
      <c r="I16" s="196"/>
      <c r="Q16"/>
      <c r="R16"/>
      <c r="S16"/>
    </row>
    <row r="17" spans="1:19" ht="15">
      <c r="A17" s="3">
        <f>DEA!A38</f>
        <v>27</v>
      </c>
      <c r="B17" s="3" t="str">
        <f>DEA!B38</f>
        <v>c</v>
      </c>
      <c r="C17" s="3">
        <f>DEA!C38</f>
        <v>16</v>
      </c>
      <c r="D17" s="3" t="str">
        <f>DEA!D38</f>
        <v>-</v>
      </c>
      <c r="E17" s="3">
        <v>0</v>
      </c>
      <c r="F17" s="75">
        <f>'Post-DEA characterisation'!I17</f>
        <v>4.6900000000000004</v>
      </c>
      <c r="G17" s="75">
        <f>DEA!AK38</f>
        <v>84.67254580188559</v>
      </c>
      <c r="H17" s="67">
        <v>427.14774992296856</v>
      </c>
      <c r="I17" s="196"/>
      <c r="Q17"/>
      <c r="R17"/>
      <c r="S17"/>
    </row>
    <row r="18" spans="1:19" ht="15">
      <c r="A18" s="3">
        <f>DEA!A39</f>
        <v>31</v>
      </c>
      <c r="B18" s="3" t="str">
        <f>DEA!B39</f>
        <v>a</v>
      </c>
      <c r="C18" s="3">
        <f>DEA!C39</f>
        <v>16</v>
      </c>
      <c r="D18" s="3" t="str">
        <f>DEA!D39</f>
        <v>-</v>
      </c>
      <c r="E18" s="3">
        <v>6</v>
      </c>
      <c r="F18" s="75">
        <f>'Post-DEA characterisation'!I18</f>
        <v>6.53</v>
      </c>
      <c r="G18" s="75">
        <f>DEA!AK39</f>
        <v>45.728830736066328</v>
      </c>
      <c r="H18" s="67">
        <v>189.41531690274522</v>
      </c>
      <c r="I18" s="196"/>
      <c r="Q18"/>
      <c r="R18"/>
      <c r="S18"/>
    </row>
    <row r="19" spans="1:19">
      <c r="A19" s="3">
        <f>DEA!A40</f>
        <v>32</v>
      </c>
      <c r="B19" s="3" t="str">
        <f>DEA!B40</f>
        <v>b</v>
      </c>
      <c r="C19" s="3">
        <f>DEA!C40</f>
        <v>16</v>
      </c>
      <c r="D19" s="3" t="str">
        <f>DEA!D40</f>
        <v>-</v>
      </c>
      <c r="E19" s="3">
        <v>6</v>
      </c>
      <c r="F19" s="75">
        <f>'Post-DEA characterisation'!I19</f>
        <v>6.58</v>
      </c>
      <c r="G19" s="75">
        <f>DEA!AK40</f>
        <v>55.317407313396437</v>
      </c>
      <c r="H19" s="67">
        <v>224.60234637802827</v>
      </c>
      <c r="I19" s="196"/>
    </row>
    <row r="20" spans="1:19">
      <c r="A20" s="3">
        <f>DEA!A41</f>
        <v>33</v>
      </c>
      <c r="B20" s="3" t="str">
        <f>DEA!B41</f>
        <v>c</v>
      </c>
      <c r="C20" s="3">
        <f>DEA!C41</f>
        <v>16</v>
      </c>
      <c r="D20" s="3" t="str">
        <f>DEA!D41</f>
        <v>-</v>
      </c>
      <c r="E20" s="3">
        <v>6</v>
      </c>
      <c r="F20" s="75">
        <f>'Post-DEA characterisation'!I20</f>
        <v>6.53</v>
      </c>
      <c r="G20" s="75">
        <f>DEA!AK41</f>
        <v>60.599474191311678</v>
      </c>
      <c r="H20" s="67">
        <v>235.10854516799051</v>
      </c>
      <c r="I20" s="196"/>
    </row>
    <row r="21" spans="1:19">
      <c r="A21" s="3">
        <f>DEA!A42</f>
        <v>37</v>
      </c>
      <c r="B21" s="3" t="str">
        <f>DEA!B42</f>
        <v>a</v>
      </c>
      <c r="C21" s="3">
        <f>DEA!C42</f>
        <v>16</v>
      </c>
      <c r="D21" s="3" t="str">
        <f>DEA!D42</f>
        <v>-</v>
      </c>
      <c r="E21" s="3">
        <v>16</v>
      </c>
      <c r="F21" s="75">
        <f>'Post-DEA characterisation'!I21</f>
        <v>8.2799999999999994</v>
      </c>
      <c r="G21" s="75">
        <f>DEA!AK42</f>
        <v>8.7291138928419727</v>
      </c>
      <c r="H21" s="67">
        <v>33.98046666910512</v>
      </c>
      <c r="I21" s="196"/>
    </row>
    <row r="22" spans="1:19">
      <c r="A22" s="3">
        <f>DEA!A43</f>
        <v>38</v>
      </c>
      <c r="B22" s="3" t="str">
        <f>DEA!B43</f>
        <v>b</v>
      </c>
      <c r="C22" s="3">
        <f>DEA!C43</f>
        <v>16</v>
      </c>
      <c r="D22" s="3" t="str">
        <f>DEA!D43</f>
        <v>-</v>
      </c>
      <c r="E22" s="3">
        <v>16</v>
      </c>
      <c r="F22" s="75">
        <f>'Post-DEA characterisation'!I22</f>
        <v>8.31</v>
      </c>
      <c r="G22" s="75">
        <f>DEA!AK43</f>
        <v>17.789313546715924</v>
      </c>
      <c r="H22" s="67">
        <v>62.04793739072425</v>
      </c>
      <c r="I22" s="196"/>
    </row>
    <row r="23" spans="1:19">
      <c r="A23" s="3">
        <f>DEA!A44</f>
        <v>39</v>
      </c>
      <c r="B23" s="3" t="str">
        <f>DEA!B44</f>
        <v>c</v>
      </c>
      <c r="C23" s="3">
        <f>DEA!C44</f>
        <v>16</v>
      </c>
      <c r="D23" s="3" t="str">
        <f>DEA!D44</f>
        <v>-</v>
      </c>
      <c r="E23" s="3">
        <v>16</v>
      </c>
      <c r="F23" s="75">
        <f>'Post-DEA characterisation'!I23</f>
        <v>8.18</v>
      </c>
      <c r="G23" s="75">
        <f>DEA!AK44</f>
        <v>11.595099636039896</v>
      </c>
      <c r="H23" s="67">
        <v>46.187146883558917</v>
      </c>
      <c r="I23" s="196"/>
    </row>
    <row r="24" spans="1:19">
      <c r="A24" s="3">
        <f>DEA!A45</f>
        <v>43</v>
      </c>
      <c r="B24" s="3" t="str">
        <f>DEA!B45</f>
        <v>a</v>
      </c>
      <c r="C24" s="3">
        <f>DEA!C45</f>
        <v>16</v>
      </c>
      <c r="D24" s="3" t="str">
        <f>DEA!D45</f>
        <v>-</v>
      </c>
      <c r="E24" s="3">
        <v>20</v>
      </c>
      <c r="F24" s="75">
        <f>'Post-DEA characterisation'!I24</f>
        <v>9.1300000000000008</v>
      </c>
      <c r="G24" s="75">
        <f>DEA!AK45</f>
        <v>0.11392048087985977</v>
      </c>
      <c r="H24" s="67">
        <v>0.37634444576382242</v>
      </c>
      <c r="I24" s="196"/>
    </row>
    <row r="25" spans="1:19">
      <c r="A25" s="3">
        <f>DEA!A46</f>
        <v>44</v>
      </c>
      <c r="B25" s="3" t="str">
        <f>DEA!B46</f>
        <v>b</v>
      </c>
      <c r="C25" s="3">
        <f>DEA!C46</f>
        <v>16</v>
      </c>
      <c r="D25" s="3" t="str">
        <f>DEA!D46</f>
        <v>-</v>
      </c>
      <c r="E25" s="3">
        <v>20</v>
      </c>
      <c r="F25" s="75">
        <f>'Post-DEA characterisation'!I25</f>
        <v>9.14</v>
      </c>
      <c r="G25" s="75">
        <f>DEA!AK46</f>
        <v>8.8480267845265914E-2</v>
      </c>
      <c r="H25" s="67">
        <v>0.27459393469220456</v>
      </c>
      <c r="I25" s="196"/>
    </row>
    <row r="26" spans="1:19" ht="13.5" thickBot="1">
      <c r="A26" s="3">
        <f>DEA!A47</f>
        <v>45</v>
      </c>
      <c r="B26" s="3" t="str">
        <f>DEA!B47</f>
        <v>c</v>
      </c>
      <c r="C26" s="3">
        <f>DEA!C47</f>
        <v>16</v>
      </c>
      <c r="D26" s="3" t="str">
        <f>DEA!D47</f>
        <v>-</v>
      </c>
      <c r="E26" s="3">
        <v>20</v>
      </c>
      <c r="F26" s="75">
        <f>'Post-DEA characterisation'!I26</f>
        <v>9.0299999999999994</v>
      </c>
      <c r="G26" s="75">
        <f>DEA!AK47</f>
        <v>0</v>
      </c>
      <c r="H26" s="141">
        <v>0</v>
      </c>
      <c r="I26" s="196"/>
    </row>
    <row r="27" spans="1:19">
      <c r="A27" s="3">
        <f>DEA!A48</f>
        <v>49</v>
      </c>
      <c r="B27" s="3" t="str">
        <f>DEA!B48</f>
        <v>a</v>
      </c>
      <c r="C27" s="3">
        <f>DEA!C48</f>
        <v>24</v>
      </c>
      <c r="D27" s="3" t="str">
        <f>DEA!D48</f>
        <v>+</v>
      </c>
      <c r="E27" s="3">
        <v>0</v>
      </c>
      <c r="F27" s="75">
        <f>'Post-DEA characterisation'!I27</f>
        <v>4.63</v>
      </c>
      <c r="G27" s="75">
        <f>DEA!AK48</f>
        <v>117.68212439377966</v>
      </c>
      <c r="H27" s="67">
        <v>724.58184471214588</v>
      </c>
      <c r="I27" s="196"/>
    </row>
    <row r="28" spans="1:19">
      <c r="A28" s="3">
        <f>DEA!A49</f>
        <v>50</v>
      </c>
      <c r="B28" s="3" t="str">
        <f>DEA!B49</f>
        <v>b</v>
      </c>
      <c r="C28" s="3">
        <f>DEA!C49</f>
        <v>24</v>
      </c>
      <c r="D28" s="3" t="str">
        <f>DEA!D49</f>
        <v>+</v>
      </c>
      <c r="E28" s="3">
        <v>0</v>
      </c>
      <c r="F28" s="75">
        <f>'Post-DEA characterisation'!I28</f>
        <v>4.62</v>
      </c>
      <c r="G28" s="75">
        <f>DEA!AK49</f>
        <v>124.84260698421635</v>
      </c>
      <c r="H28" s="67">
        <v>740.76792692128811</v>
      </c>
      <c r="I28" s="196"/>
    </row>
    <row r="29" spans="1:19">
      <c r="A29" s="3">
        <f>DEA!A50</f>
        <v>51</v>
      </c>
      <c r="B29" s="3" t="str">
        <f>DEA!B50</f>
        <v>c</v>
      </c>
      <c r="C29" s="3">
        <f>DEA!C50</f>
        <v>24</v>
      </c>
      <c r="D29" s="3" t="str">
        <f>DEA!D50</f>
        <v>+</v>
      </c>
      <c r="E29" s="3">
        <v>0</v>
      </c>
      <c r="F29" s="75">
        <f>'Post-DEA characterisation'!I29</f>
        <v>4.8499999999999996</v>
      </c>
      <c r="G29" s="75">
        <f>DEA!AK50</f>
        <v>121.70328156325876</v>
      </c>
      <c r="H29" s="67">
        <v>740.13206337694794</v>
      </c>
      <c r="I29" s="196"/>
    </row>
    <row r="30" spans="1:19">
      <c r="A30" s="3">
        <f>DEA!A51</f>
        <v>55</v>
      </c>
      <c r="B30" s="3" t="str">
        <f>DEA!B51</f>
        <v>a</v>
      </c>
      <c r="C30" s="3">
        <f>DEA!C51</f>
        <v>24</v>
      </c>
      <c r="D30" s="3" t="str">
        <f>DEA!D51</f>
        <v>+</v>
      </c>
      <c r="E30" s="3">
        <v>6</v>
      </c>
      <c r="F30" s="75">
        <f>'Post-DEA characterisation'!I30</f>
        <v>6.73</v>
      </c>
      <c r="G30" s="75">
        <f>DEA!AK51</f>
        <v>1017.7452775398083</v>
      </c>
      <c r="H30" s="67">
        <v>3937.2960194012994</v>
      </c>
      <c r="I30" s="196"/>
    </row>
    <row r="31" spans="1:19">
      <c r="A31" s="3">
        <f>DEA!A52</f>
        <v>56</v>
      </c>
      <c r="B31" s="3" t="str">
        <f>DEA!B52</f>
        <v>b</v>
      </c>
      <c r="C31" s="3">
        <f>DEA!C52</f>
        <v>24</v>
      </c>
      <c r="D31" s="3" t="str">
        <f>DEA!D52</f>
        <v>+</v>
      </c>
      <c r="E31" s="3">
        <v>6</v>
      </c>
      <c r="F31" s="75">
        <f>'Post-DEA characterisation'!I31</f>
        <v>6.62</v>
      </c>
      <c r="G31" s="75">
        <f>DEA!AK52</f>
        <v>884.59291048779789</v>
      </c>
      <c r="H31" s="67">
        <v>3476.8587693244986</v>
      </c>
      <c r="I31" s="196"/>
    </row>
    <row r="32" spans="1:19">
      <c r="A32" s="3">
        <f>DEA!A53</f>
        <v>57</v>
      </c>
      <c r="B32" s="3" t="str">
        <f>DEA!B53</f>
        <v>c</v>
      </c>
      <c r="C32" s="3">
        <f>DEA!C53</f>
        <v>24</v>
      </c>
      <c r="D32" s="3" t="str">
        <f>DEA!D53</f>
        <v>+</v>
      </c>
      <c r="E32" s="3">
        <v>6</v>
      </c>
      <c r="F32" s="75">
        <f>'Post-DEA characterisation'!I32</f>
        <v>6.56</v>
      </c>
      <c r="G32" s="75">
        <f>DEA!AK53</f>
        <v>859.90805603285628</v>
      </c>
      <c r="H32" s="67">
        <v>3364.1464225015575</v>
      </c>
      <c r="I32" s="196"/>
    </row>
    <row r="33" spans="1:9">
      <c r="A33" s="3">
        <f>DEA!A54</f>
        <v>61</v>
      </c>
      <c r="B33" s="3" t="str">
        <f>DEA!B54</f>
        <v>a</v>
      </c>
      <c r="C33" s="3">
        <f>DEA!C54</f>
        <v>24</v>
      </c>
      <c r="D33" s="3" t="str">
        <f>DEA!D54</f>
        <v>+</v>
      </c>
      <c r="E33" s="3">
        <v>16</v>
      </c>
      <c r="F33" s="75">
        <f>'Post-DEA characterisation'!I33</f>
        <v>8.3800000000000008</v>
      </c>
      <c r="G33" s="75">
        <f>DEA!AK54</f>
        <v>2949.9007760929244</v>
      </c>
      <c r="H33" s="156">
        <v>554.02556586909861</v>
      </c>
      <c r="I33" s="337"/>
    </row>
    <row r="34" spans="1:9">
      <c r="A34" s="3">
        <f>DEA!A55</f>
        <v>62</v>
      </c>
      <c r="B34" s="3" t="str">
        <f>DEA!B55</f>
        <v>b</v>
      </c>
      <c r="C34" s="3">
        <f>DEA!C55</f>
        <v>24</v>
      </c>
      <c r="D34" s="3" t="str">
        <f>DEA!D55</f>
        <v>+</v>
      </c>
      <c r="E34" s="3">
        <v>16</v>
      </c>
      <c r="F34" s="75">
        <f>'Post-DEA characterisation'!I34</f>
        <v>8.44</v>
      </c>
      <c r="G34" s="75">
        <f>DEA!AK55</f>
        <v>3258.6172895245709</v>
      </c>
      <c r="H34" s="156">
        <v>10481.321483637019</v>
      </c>
      <c r="I34" s="337"/>
    </row>
    <row r="35" spans="1:9">
      <c r="A35" s="3">
        <f>DEA!A56</f>
        <v>63</v>
      </c>
      <c r="B35" s="3" t="str">
        <f>DEA!B56</f>
        <v>c</v>
      </c>
      <c r="C35" s="3">
        <f>DEA!C56</f>
        <v>24</v>
      </c>
      <c r="D35" s="3" t="str">
        <f>DEA!D56</f>
        <v>+</v>
      </c>
      <c r="E35" s="3">
        <v>16</v>
      </c>
      <c r="F35" s="75">
        <f>'Post-DEA characterisation'!I35</f>
        <v>8.3699999999999992</v>
      </c>
      <c r="G35" s="75">
        <f>DEA!AK56</f>
        <v>2993.0806516348352</v>
      </c>
      <c r="H35" s="156">
        <v>10359.434867055796</v>
      </c>
      <c r="I35" s="337"/>
    </row>
    <row r="36" spans="1:9">
      <c r="A36" s="3">
        <f>DEA!A57</f>
        <v>67</v>
      </c>
      <c r="B36" s="3" t="str">
        <f>DEA!B57</f>
        <v>a</v>
      </c>
      <c r="C36" s="3">
        <f>DEA!C57</f>
        <v>24</v>
      </c>
      <c r="D36" s="3" t="str">
        <f>DEA!D57</f>
        <v>+</v>
      </c>
      <c r="E36" s="3">
        <v>20</v>
      </c>
      <c r="F36" s="75">
        <f>'Post-DEA characterisation'!I36</f>
        <v>8.89</v>
      </c>
      <c r="G36" s="75">
        <f>DEA!AK57</f>
        <v>27.749131665345047</v>
      </c>
      <c r="H36" s="67">
        <v>83.147695080240908</v>
      </c>
      <c r="I36" s="196"/>
    </row>
    <row r="37" spans="1:9">
      <c r="A37" s="3">
        <f>DEA!A58</f>
        <v>68</v>
      </c>
      <c r="B37" s="3" t="str">
        <f>DEA!B58</f>
        <v>b</v>
      </c>
      <c r="C37" s="3">
        <f>DEA!C58</f>
        <v>24</v>
      </c>
      <c r="D37" s="3" t="str">
        <f>DEA!D58</f>
        <v>+</v>
      </c>
      <c r="E37" s="3">
        <v>20</v>
      </c>
      <c r="F37" s="75">
        <f>'Post-DEA characterisation'!I37</f>
        <v>8.82</v>
      </c>
      <c r="G37" s="75">
        <f>DEA!AK58</f>
        <v>2.3600121254520148</v>
      </c>
      <c r="H37" s="67">
        <v>7.6598669416610656</v>
      </c>
      <c r="I37" s="196"/>
    </row>
    <row r="38" spans="1:9">
      <c r="A38" s="3">
        <f>DEA!A59</f>
        <v>69</v>
      </c>
      <c r="B38" s="3" t="str">
        <f>DEA!B59</f>
        <v>c</v>
      </c>
      <c r="C38" s="3">
        <f>DEA!C59</f>
        <v>24</v>
      </c>
      <c r="D38" s="3" t="str">
        <f>DEA!D59</f>
        <v>+</v>
      </c>
      <c r="E38" s="3">
        <v>20</v>
      </c>
      <c r="F38" s="75">
        <f>'Post-DEA characterisation'!I38</f>
        <v>9</v>
      </c>
      <c r="G38" s="75">
        <f>DEA!AK59</f>
        <v>1.1373929169180146</v>
      </c>
      <c r="H38" s="67">
        <v>3.6929662687051814</v>
      </c>
      <c r="I38" s="196"/>
    </row>
    <row r="39" spans="1:9">
      <c r="A39" s="3">
        <f>DEA!A60</f>
        <v>73</v>
      </c>
      <c r="B39" s="3" t="str">
        <f>DEA!B60</f>
        <v>a</v>
      </c>
      <c r="C39" s="3">
        <f>DEA!C60</f>
        <v>24</v>
      </c>
      <c r="D39" s="3" t="str">
        <f>DEA!D60</f>
        <v>-</v>
      </c>
      <c r="E39" s="3">
        <v>0</v>
      </c>
      <c r="F39" s="75">
        <f>'Post-DEA characterisation'!I39</f>
        <v>4.6500000000000004</v>
      </c>
      <c r="G39" s="75">
        <f>DEA!AK60</f>
        <v>113.24776873793807</v>
      </c>
      <c r="H39" s="67">
        <v>687.26804172520087</v>
      </c>
      <c r="I39" s="196"/>
    </row>
    <row r="40" spans="1:9">
      <c r="A40" s="3">
        <f>DEA!A61</f>
        <v>74</v>
      </c>
      <c r="B40" s="3" t="str">
        <f>DEA!B61</f>
        <v>b</v>
      </c>
      <c r="C40" s="3">
        <f>DEA!C61</f>
        <v>24</v>
      </c>
      <c r="D40" s="3" t="str">
        <f>DEA!D61</f>
        <v>-</v>
      </c>
      <c r="E40" s="3">
        <v>0</v>
      </c>
      <c r="F40" s="75">
        <f>'Post-DEA characterisation'!I40</f>
        <v>4.6900000000000004</v>
      </c>
      <c r="G40" s="75">
        <f>DEA!AK61</f>
        <v>133.82316647539187</v>
      </c>
      <c r="H40" s="67">
        <v>751.04589141435736</v>
      </c>
      <c r="I40" s="196"/>
    </row>
    <row r="41" spans="1:9">
      <c r="A41" s="3">
        <f>DEA!A62</f>
        <v>75</v>
      </c>
      <c r="B41" s="3" t="str">
        <f>DEA!B62</f>
        <v>c</v>
      </c>
      <c r="C41" s="3">
        <f>DEA!C62</f>
        <v>24</v>
      </c>
      <c r="D41" s="3" t="str">
        <f>DEA!D62</f>
        <v>-</v>
      </c>
      <c r="E41" s="3">
        <v>0</v>
      </c>
      <c r="F41" s="75">
        <f>'Post-DEA characterisation'!I41</f>
        <v>4.63</v>
      </c>
      <c r="G41" s="75">
        <f>DEA!AK62</f>
        <v>124.47943803276738</v>
      </c>
      <c r="H41" s="67">
        <v>0.25431994040936418</v>
      </c>
      <c r="I41" s="196"/>
    </row>
    <row r="42" spans="1:9">
      <c r="A42" s="3">
        <f>DEA!A63</f>
        <v>79</v>
      </c>
      <c r="B42" s="3" t="str">
        <f>DEA!B63</f>
        <v>a</v>
      </c>
      <c r="C42" s="3">
        <f>DEA!C63</f>
        <v>24</v>
      </c>
      <c r="D42" s="3" t="str">
        <f>DEA!D63</f>
        <v>-</v>
      </c>
      <c r="E42" s="3">
        <v>6</v>
      </c>
      <c r="F42" s="75">
        <f>'Post-DEA characterisation'!I42</f>
        <v>6.68</v>
      </c>
      <c r="G42" s="75">
        <f>DEA!AK63</f>
        <v>60.667398760797838</v>
      </c>
      <c r="H42" s="67">
        <v>285.45713645619475</v>
      </c>
      <c r="I42" s="196"/>
    </row>
    <row r="43" spans="1:9">
      <c r="A43" s="3">
        <f>DEA!A64</f>
        <v>80</v>
      </c>
      <c r="B43" s="3" t="str">
        <f>DEA!B64</f>
        <v>b</v>
      </c>
      <c r="C43" s="3">
        <f>DEA!C64</f>
        <v>24</v>
      </c>
      <c r="D43" s="3" t="str">
        <f>DEA!D64</f>
        <v>-</v>
      </c>
      <c r="E43" s="3">
        <v>6</v>
      </c>
      <c r="F43" s="75">
        <f>'Post-DEA characterisation'!I43</f>
        <v>6.65</v>
      </c>
      <c r="G43" s="75">
        <f>DEA!AK64</f>
        <v>47.147388813762554</v>
      </c>
      <c r="H43" s="67">
        <v>229.93788239174995</v>
      </c>
      <c r="I43" s="196"/>
    </row>
    <row r="44" spans="1:9">
      <c r="A44" s="3">
        <f>DEA!A65</f>
        <v>81</v>
      </c>
      <c r="B44" s="3" t="str">
        <f>DEA!B65</f>
        <v>c</v>
      </c>
      <c r="C44" s="3">
        <f>DEA!C65</f>
        <v>24</v>
      </c>
      <c r="D44" s="3" t="str">
        <f>DEA!D65</f>
        <v>-</v>
      </c>
      <c r="E44" s="3">
        <v>6</v>
      </c>
      <c r="F44" s="75">
        <f>'Post-DEA characterisation'!I44</f>
        <v>6.58</v>
      </c>
      <c r="G44" s="75">
        <f>DEA!AK65</f>
        <v>60.432217293197652</v>
      </c>
      <c r="H44" s="67">
        <v>274.05863598224323</v>
      </c>
      <c r="I44" s="196"/>
    </row>
    <row r="45" spans="1:9">
      <c r="A45" s="3">
        <f>DEA!A66</f>
        <v>85</v>
      </c>
      <c r="B45" s="3" t="str">
        <f>DEA!B66</f>
        <v>a</v>
      </c>
      <c r="C45" s="3">
        <f>DEA!C66</f>
        <v>24</v>
      </c>
      <c r="D45" s="3" t="str">
        <f>DEA!D66</f>
        <v>-</v>
      </c>
      <c r="E45" s="3">
        <v>16</v>
      </c>
      <c r="F45" s="75">
        <f>'Post-DEA characterisation'!I45</f>
        <v>8.3000000000000007</v>
      </c>
      <c r="G45" s="75">
        <f>DEA!AK66</f>
        <v>20.951908101303914</v>
      </c>
      <c r="H45" s="67">
        <v>156.64588182760824</v>
      </c>
      <c r="I45" s="196"/>
    </row>
    <row r="46" spans="1:9">
      <c r="A46" s="3">
        <f>DEA!A67</f>
        <v>86</v>
      </c>
      <c r="B46" s="3" t="str">
        <f>DEA!B67</f>
        <v>b</v>
      </c>
      <c r="C46" s="3">
        <f>DEA!C67</f>
        <v>24</v>
      </c>
      <c r="D46" s="3" t="str">
        <f>DEA!D67</f>
        <v>-</v>
      </c>
      <c r="E46" s="3">
        <v>16</v>
      </c>
      <c r="F46" s="75">
        <f>'Post-DEA characterisation'!I46</f>
        <v>8.3800000000000008</v>
      </c>
      <c r="G46" s="75">
        <f>DEA!AK67</f>
        <v>21.472106354625762</v>
      </c>
      <c r="H46" s="67">
        <v>165.57307444401326</v>
      </c>
      <c r="I46" s="196"/>
    </row>
    <row r="47" spans="1:9">
      <c r="A47" s="3">
        <f>DEA!A68</f>
        <v>87</v>
      </c>
      <c r="B47" s="3" t="str">
        <f>DEA!B68</f>
        <v>c</v>
      </c>
      <c r="C47" s="3">
        <f>DEA!C68</f>
        <v>24</v>
      </c>
      <c r="D47" s="3" t="str">
        <f>DEA!D68</f>
        <v>-</v>
      </c>
      <c r="E47" s="3">
        <v>16</v>
      </c>
      <c r="F47" s="75">
        <f>'Post-DEA characterisation'!I47</f>
        <v>8.33</v>
      </c>
      <c r="G47" s="75">
        <f>DEA!AK68</f>
        <v>18.150305507135503</v>
      </c>
      <c r="H47" s="67">
        <v>144.75891008101007</v>
      </c>
      <c r="I47" s="196"/>
    </row>
    <row r="48" spans="1:9">
      <c r="A48" s="3">
        <f>DEA!A69</f>
        <v>91</v>
      </c>
      <c r="B48" s="3" t="str">
        <f>DEA!B69</f>
        <v>a</v>
      </c>
      <c r="C48" s="3">
        <f>DEA!C69</f>
        <v>24</v>
      </c>
      <c r="D48" s="3" t="str">
        <f>DEA!D69</f>
        <v>-</v>
      </c>
      <c r="E48" s="3">
        <v>20</v>
      </c>
      <c r="F48" s="75">
        <f>'Post-DEA characterisation'!I48</f>
        <v>8.92</v>
      </c>
      <c r="G48" s="75">
        <f>DEA!AK69</f>
        <v>0.55654272784174785</v>
      </c>
      <c r="H48" s="67">
        <v>2.1976824353531543</v>
      </c>
      <c r="I48" s="196"/>
    </row>
    <row r="49" spans="1:26">
      <c r="A49" s="3">
        <f>DEA!A70</f>
        <v>92</v>
      </c>
      <c r="B49" s="3" t="str">
        <f>DEA!B70</f>
        <v>b</v>
      </c>
      <c r="C49" s="3">
        <f>DEA!C70</f>
        <v>24</v>
      </c>
      <c r="D49" s="3" t="str">
        <f>DEA!D70</f>
        <v>-</v>
      </c>
      <c r="E49" s="3">
        <v>20</v>
      </c>
      <c r="F49" s="75">
        <f>'Post-DEA characterisation'!I49</f>
        <v>9.0500000000000007</v>
      </c>
      <c r="G49" s="75">
        <f>DEA!AK70</f>
        <v>0.24915233263522144</v>
      </c>
      <c r="H49" s="67">
        <v>0.94576191571737112</v>
      </c>
      <c r="I49" s="196"/>
      <c r="J49" s="157"/>
      <c r="K49" s="157"/>
    </row>
    <row r="50" spans="1:26" ht="13.5" thickBot="1">
      <c r="A50" s="3">
        <f>DEA!A71</f>
        <v>93</v>
      </c>
      <c r="B50" s="3" t="str">
        <f>DEA!B71</f>
        <v>c</v>
      </c>
      <c r="C50" s="3">
        <f>DEA!C71</f>
        <v>24</v>
      </c>
      <c r="D50" s="3" t="str">
        <f>DEA!D71</f>
        <v>-</v>
      </c>
      <c r="E50" s="3">
        <v>20</v>
      </c>
      <c r="F50" s="75">
        <f>'Post-DEA characterisation'!I50</f>
        <v>9.1300000000000008</v>
      </c>
      <c r="G50" s="75">
        <f>DEA!AK71</f>
        <v>7.7318302044516188E-2</v>
      </c>
      <c r="H50" s="141">
        <v>0.39676497101791203</v>
      </c>
      <c r="I50" s="196"/>
      <c r="J50" s="157"/>
    </row>
    <row r="51" spans="1:26">
      <c r="A51" s="3">
        <f>DEA!A72</f>
        <v>97</v>
      </c>
      <c r="B51" s="3" t="str">
        <f>DEA!B72</f>
        <v>a</v>
      </c>
      <c r="C51" s="3">
        <f>DEA!C72</f>
        <v>32</v>
      </c>
      <c r="D51" s="3" t="str">
        <f>DEA!D72</f>
        <v>+</v>
      </c>
      <c r="E51" s="3">
        <v>0</v>
      </c>
      <c r="F51" s="75">
        <f>'Post-DEA characterisation'!I51</f>
        <v>4.57</v>
      </c>
      <c r="G51" s="75">
        <f>DEA!AK72</f>
        <v>111.38776626547828</v>
      </c>
      <c r="H51" s="67">
        <v>705.71528472130115</v>
      </c>
      <c r="I51" s="196"/>
    </row>
    <row r="52" spans="1:26">
      <c r="A52" s="3">
        <f>DEA!A73</f>
        <v>98</v>
      </c>
      <c r="B52" s="3" t="str">
        <f>DEA!B73</f>
        <v>b</v>
      </c>
      <c r="C52" s="3">
        <f>DEA!C73</f>
        <v>32</v>
      </c>
      <c r="D52" s="3" t="str">
        <f>DEA!D73</f>
        <v>+</v>
      </c>
      <c r="E52" s="3">
        <v>0</v>
      </c>
      <c r="F52" s="75">
        <f>'Post-DEA characterisation'!I52</f>
        <v>4.6500000000000004</v>
      </c>
      <c r="G52" s="75">
        <f>DEA!AK73</f>
        <v>119.71787045293652</v>
      </c>
      <c r="H52" s="67">
        <v>744.47500767921338</v>
      </c>
      <c r="I52" s="196"/>
      <c r="J52" s="78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1:26">
      <c r="A53" s="3">
        <f>DEA!A74</f>
        <v>99</v>
      </c>
      <c r="B53" s="3" t="str">
        <f>DEA!B74</f>
        <v>c</v>
      </c>
      <c r="C53" s="3">
        <f>DEA!C74</f>
        <v>32</v>
      </c>
      <c r="D53" s="3" t="str">
        <f>DEA!D74</f>
        <v>+</v>
      </c>
      <c r="E53" s="3">
        <v>0</v>
      </c>
      <c r="F53" s="75">
        <f>'Post-DEA characterisation'!I53</f>
        <v>4.6100000000000003</v>
      </c>
      <c r="G53" s="75">
        <f>DEA!AK74</f>
        <v>113.98438264949388</v>
      </c>
      <c r="H53" s="67">
        <v>705.44365512315869</v>
      </c>
      <c r="I53" s="196"/>
      <c r="J53" s="78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1:26">
      <c r="A54" s="3">
        <f>DEA!A75</f>
        <v>103</v>
      </c>
      <c r="B54" s="3" t="str">
        <f>DEA!B75</f>
        <v>a</v>
      </c>
      <c r="C54" s="3">
        <f>DEA!C75</f>
        <v>32</v>
      </c>
      <c r="D54" s="3" t="str">
        <f>DEA!D75</f>
        <v>+</v>
      </c>
      <c r="E54" s="3">
        <v>6</v>
      </c>
      <c r="F54" s="75">
        <f>'Post-DEA characterisation'!I54</f>
        <v>6.64</v>
      </c>
      <c r="G54" s="75">
        <f>DEA!AK75</f>
        <v>925.09537376138985</v>
      </c>
      <c r="H54" s="67">
        <v>2871.8154412141234</v>
      </c>
      <c r="I54" s="196"/>
      <c r="J54" s="78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26">
      <c r="A55" s="3">
        <f>DEA!A76</f>
        <v>104</v>
      </c>
      <c r="B55" s="3" t="str">
        <f>DEA!B76</f>
        <v>b</v>
      </c>
      <c r="C55" s="3">
        <f>DEA!C76</f>
        <v>32</v>
      </c>
      <c r="D55" s="3" t="str">
        <f>DEA!D76</f>
        <v>+</v>
      </c>
      <c r="E55" s="3">
        <v>6</v>
      </c>
      <c r="F55" s="75">
        <f>'Post-DEA characterisation'!I55</f>
        <v>6.62</v>
      </c>
      <c r="G55" s="75">
        <f>DEA!AK76</f>
        <v>715.35580716317111</v>
      </c>
      <c r="H55" s="67">
        <v>2871.7604756634191</v>
      </c>
      <c r="I55" s="196"/>
      <c r="J55" s="78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1:26">
      <c r="A56" s="3">
        <f>DEA!A77</f>
        <v>105</v>
      </c>
      <c r="B56" s="3" t="str">
        <f>DEA!B77</f>
        <v>c</v>
      </c>
      <c r="C56" s="3">
        <f>DEA!C77</f>
        <v>32</v>
      </c>
      <c r="D56" s="3" t="str">
        <f>DEA!D77</f>
        <v>+</v>
      </c>
      <c r="E56" s="3">
        <v>6</v>
      </c>
      <c r="F56" s="75">
        <f>'Post-DEA characterisation'!I56</f>
        <v>6.65</v>
      </c>
      <c r="G56" s="75">
        <f>DEA!AK77</f>
        <v>720.7500917218066</v>
      </c>
      <c r="H56" s="67">
        <v>2848.0170996074398</v>
      </c>
      <c r="I56" s="196"/>
    </row>
    <row r="57" spans="1:26">
      <c r="A57" s="3">
        <f>DEA!A78</f>
        <v>109</v>
      </c>
      <c r="B57" s="3" t="str">
        <f>DEA!B78</f>
        <v>a</v>
      </c>
      <c r="C57" s="3">
        <f>DEA!C78</f>
        <v>32</v>
      </c>
      <c r="D57" s="3" t="str">
        <f>DEA!D78</f>
        <v>+</v>
      </c>
      <c r="E57" s="3">
        <v>16</v>
      </c>
      <c r="F57" s="75">
        <f>'Post-DEA characterisation'!I57</f>
        <v>8.4</v>
      </c>
      <c r="G57" s="75">
        <f>DEA!AK78</f>
        <v>1978.7530161495695</v>
      </c>
      <c r="H57" s="67">
        <v>7222.4120693032064</v>
      </c>
      <c r="I57" s="196"/>
    </row>
    <row r="58" spans="1:26">
      <c r="A58" s="3">
        <f>DEA!A79</f>
        <v>110</v>
      </c>
      <c r="B58" s="3" t="str">
        <f>DEA!B79</f>
        <v>b</v>
      </c>
      <c r="C58" s="3">
        <f>DEA!C79</f>
        <v>32</v>
      </c>
      <c r="D58" s="3" t="str">
        <f>DEA!D79</f>
        <v>+</v>
      </c>
      <c r="E58" s="3">
        <v>16</v>
      </c>
      <c r="F58" s="75">
        <f>'Post-DEA characterisation'!I58</f>
        <v>8.4499999999999993</v>
      </c>
      <c r="G58" s="75">
        <f>DEA!AK79</f>
        <v>1606.6011130167528</v>
      </c>
      <c r="H58" s="67">
        <v>6039.8274958791962</v>
      </c>
      <c r="I58" s="196"/>
      <c r="K58" s="158"/>
      <c r="L58" s="3" t="s">
        <v>32</v>
      </c>
      <c r="P58" s="160"/>
      <c r="Q58" s="3" t="s">
        <v>169</v>
      </c>
      <c r="U58" s="160"/>
      <c r="V58" s="3" t="s">
        <v>33</v>
      </c>
      <c r="Z58" s="160"/>
    </row>
    <row r="59" spans="1:26" ht="13.5" thickBot="1">
      <c r="A59" s="3">
        <f>DEA!A80</f>
        <v>111</v>
      </c>
      <c r="B59" s="3" t="str">
        <f>DEA!B80</f>
        <v>c</v>
      </c>
      <c r="C59" s="3">
        <f>DEA!C80</f>
        <v>32</v>
      </c>
      <c r="D59" s="3" t="str">
        <f>DEA!D80</f>
        <v>+</v>
      </c>
      <c r="E59" s="3">
        <v>16</v>
      </c>
      <c r="F59" s="75">
        <f>'Post-DEA characterisation'!I59</f>
        <v>8.41</v>
      </c>
      <c r="G59" s="75">
        <f>DEA!AK80</f>
        <v>2159.1282120439623</v>
      </c>
      <c r="H59" s="67">
        <v>464.11009718699728</v>
      </c>
      <c r="I59" s="196"/>
      <c r="K59" s="159"/>
      <c r="L59" s="132">
        <v>16</v>
      </c>
      <c r="M59" s="132">
        <v>24</v>
      </c>
      <c r="N59" s="132">
        <v>32</v>
      </c>
      <c r="O59" s="132">
        <v>40</v>
      </c>
      <c r="P59" s="161">
        <v>48</v>
      </c>
      <c r="Q59" s="132">
        <v>16</v>
      </c>
      <c r="R59" s="132">
        <v>24</v>
      </c>
      <c r="S59" s="132">
        <v>32</v>
      </c>
      <c r="T59" s="132">
        <v>40</v>
      </c>
      <c r="U59" s="161">
        <v>48</v>
      </c>
      <c r="V59" s="132">
        <v>16</v>
      </c>
      <c r="W59" s="132">
        <v>24</v>
      </c>
      <c r="X59" s="132">
        <v>32</v>
      </c>
      <c r="Y59" s="132">
        <v>40</v>
      </c>
      <c r="Z59" s="161">
        <v>48</v>
      </c>
    </row>
    <row r="60" spans="1:26">
      <c r="A60" s="3">
        <f>DEA!A81</f>
        <v>115</v>
      </c>
      <c r="B60" s="3" t="str">
        <f>DEA!B81</f>
        <v>a</v>
      </c>
      <c r="C60" s="3">
        <f>DEA!C81</f>
        <v>32</v>
      </c>
      <c r="D60" s="3" t="str">
        <f>DEA!D81</f>
        <v>+</v>
      </c>
      <c r="E60" s="3">
        <v>20</v>
      </c>
      <c r="F60" s="75">
        <f>'Post-DEA characterisation'!I60</f>
        <v>9.01</v>
      </c>
      <c r="G60" s="75">
        <f>DEA!AK81</f>
        <v>29.374312250689407</v>
      </c>
      <c r="H60" s="67">
        <v>98.667014003648731</v>
      </c>
      <c r="I60" s="196"/>
      <c r="K60" s="158">
        <v>0</v>
      </c>
      <c r="L60" s="3">
        <v>79.864936192814596</v>
      </c>
      <c r="M60" s="3">
        <v>121.40933764708491</v>
      </c>
      <c r="N60" s="3">
        <v>115.03000645596956</v>
      </c>
      <c r="O60" s="3">
        <v>90.557543023029723</v>
      </c>
      <c r="P60" s="160">
        <v>84.838225153838039</v>
      </c>
      <c r="Q60" s="3">
        <v>85.827498212717771</v>
      </c>
      <c r="R60" s="3">
        <v>123.85012441536578</v>
      </c>
      <c r="S60" s="75">
        <v>112.70667364871457</v>
      </c>
      <c r="T60" s="3">
        <v>95.108212382905904</v>
      </c>
      <c r="U60" s="160">
        <v>100.33729443518753</v>
      </c>
      <c r="V60" s="3">
        <f>IF(Q60/L60 &gt;1, 1, Q60/L60)</f>
        <v>1</v>
      </c>
      <c r="W60" s="3">
        <f t="shared" ref="W60:Z63" si="0">IF(R60/M60 &gt;1, 1, R60/M60)</f>
        <v>1</v>
      </c>
      <c r="X60" s="3">
        <f t="shared" si="0"/>
        <v>0.97980237610310583</v>
      </c>
      <c r="Y60" s="3">
        <f t="shared" si="0"/>
        <v>1</v>
      </c>
      <c r="Z60" s="160">
        <f t="shared" si="0"/>
        <v>1</v>
      </c>
    </row>
    <row r="61" spans="1:26">
      <c r="A61" s="3">
        <f>DEA!A82</f>
        <v>116</v>
      </c>
      <c r="B61" s="3" t="str">
        <f>DEA!B82</f>
        <v>b</v>
      </c>
      <c r="C61" s="3">
        <f>DEA!C82</f>
        <v>32</v>
      </c>
      <c r="D61" s="3" t="str">
        <f>DEA!D82</f>
        <v>+</v>
      </c>
      <c r="E61" s="3">
        <v>20</v>
      </c>
      <c r="F61" s="75">
        <f>'Post-DEA characterisation'!I61</f>
        <v>9.0399999999999991</v>
      </c>
      <c r="G61" s="75">
        <f>DEA!AK82</f>
        <v>1.2859254445298485</v>
      </c>
      <c r="H61" s="67">
        <v>4.588230818694317</v>
      </c>
      <c r="I61" s="196"/>
      <c r="K61" s="158">
        <v>6</v>
      </c>
      <c r="L61" s="3">
        <v>541.02723107531801</v>
      </c>
      <c r="M61" s="3">
        <v>920.74874802015404</v>
      </c>
      <c r="N61" s="3">
        <v>787.06709088212256</v>
      </c>
      <c r="O61" s="3">
        <v>944.12349887042376</v>
      </c>
      <c r="P61" s="160">
        <v>562.64650880115926</v>
      </c>
      <c r="Q61" s="3">
        <v>53.881904080258153</v>
      </c>
      <c r="R61" s="3">
        <v>56.08233495591935</v>
      </c>
      <c r="S61" s="75">
        <v>63.805201106732689</v>
      </c>
      <c r="T61" s="3">
        <v>82.512357083338472</v>
      </c>
      <c r="U61" s="160">
        <v>50.971618372087427</v>
      </c>
      <c r="V61" s="3">
        <f t="shared" ref="V61:V63" si="1">IF(Q61/L61 &gt;1, 1, Q61/L61)</f>
        <v>9.9591852286557259E-2</v>
      </c>
      <c r="W61" s="3">
        <f t="shared" si="0"/>
        <v>6.0909488149194613E-2</v>
      </c>
      <c r="X61" s="3">
        <f t="shared" si="0"/>
        <v>8.1067042245689142E-2</v>
      </c>
      <c r="Y61" s="3">
        <f t="shared" si="0"/>
        <v>8.7395724375104109E-2</v>
      </c>
      <c r="Z61" s="160">
        <f t="shared" si="0"/>
        <v>9.0592614678607963E-2</v>
      </c>
    </row>
    <row r="62" spans="1:26">
      <c r="A62" s="3">
        <f>DEA!A83</f>
        <v>117</v>
      </c>
      <c r="B62" s="3" t="str">
        <f>DEA!B83</f>
        <v>c</v>
      </c>
      <c r="C62" s="3">
        <f>DEA!C83</f>
        <v>32</v>
      </c>
      <c r="D62" s="3" t="str">
        <f>DEA!D83</f>
        <v>+</v>
      </c>
      <c r="E62" s="3">
        <v>20</v>
      </c>
      <c r="F62" s="75">
        <f>'Post-DEA characterisation'!I62</f>
        <v>9.0399999999999991</v>
      </c>
      <c r="G62" s="75">
        <f>DEA!AK83</f>
        <v>0.72437402001206119</v>
      </c>
      <c r="H62" s="67">
        <v>2.4111888025682378</v>
      </c>
      <c r="I62" s="196"/>
      <c r="K62" s="158">
        <v>16</v>
      </c>
      <c r="L62" s="3">
        <v>34.175251380762411</v>
      </c>
      <c r="M62" s="3">
        <v>3067.1995724174435</v>
      </c>
      <c r="N62" s="3">
        <v>1914.8274470700951</v>
      </c>
      <c r="O62" s="3">
        <v>1754.2157054115244</v>
      </c>
      <c r="P62" s="160">
        <v>664.24578235008323</v>
      </c>
      <c r="Q62" s="3">
        <v>12.704509025199265</v>
      </c>
      <c r="R62" s="3">
        <v>20.191439987688394</v>
      </c>
      <c r="S62" s="75">
        <v>10.41700111420581</v>
      </c>
      <c r="T62" s="3">
        <v>24.709412191489871</v>
      </c>
      <c r="U62" s="160">
        <v>21.222990365110146</v>
      </c>
      <c r="V62" s="3">
        <f t="shared" si="1"/>
        <v>0.37174588369965172</v>
      </c>
      <c r="W62" s="3">
        <f t="shared" si="0"/>
        <v>6.5830212579790865E-3</v>
      </c>
      <c r="X62" s="3">
        <f t="shared" si="0"/>
        <v>5.4401774583631608E-3</v>
      </c>
      <c r="Y62" s="3">
        <f t="shared" si="0"/>
        <v>1.4085731940071332E-2</v>
      </c>
      <c r="Z62" s="160">
        <f t="shared" si="0"/>
        <v>3.1950508274247211E-2</v>
      </c>
    </row>
    <row r="63" spans="1:26">
      <c r="A63" s="3">
        <f>DEA!A84</f>
        <v>121</v>
      </c>
      <c r="B63" s="3" t="str">
        <f>DEA!B84</f>
        <v>a</v>
      </c>
      <c r="C63" s="3">
        <f>DEA!C84</f>
        <v>32</v>
      </c>
      <c r="D63" s="3" t="str">
        <f>DEA!D84</f>
        <v>-</v>
      </c>
      <c r="E63" s="3">
        <v>0</v>
      </c>
      <c r="F63" s="75">
        <f>'Post-DEA characterisation'!I63</f>
        <v>4.78</v>
      </c>
      <c r="G63" s="75">
        <f>DEA!AK84</f>
        <v>109.3682684709222</v>
      </c>
      <c r="H63" s="67">
        <v>699.30579549928439</v>
      </c>
      <c r="I63" s="196"/>
      <c r="K63" s="158">
        <v>20</v>
      </c>
      <c r="L63" s="3">
        <v>0.20412911325077046</v>
      </c>
      <c r="M63" s="3">
        <v>10.415512235905025</v>
      </c>
      <c r="N63" s="3">
        <v>10.461537238410438</v>
      </c>
      <c r="O63" s="3">
        <v>8.3118707394089348</v>
      </c>
      <c r="P63" s="160">
        <v>64.80937309533472</v>
      </c>
      <c r="Q63" s="75">
        <v>6.7466916241708572E-2</v>
      </c>
      <c r="R63" s="3">
        <v>0.29433778750716183</v>
      </c>
      <c r="S63" s="75">
        <v>0.46693909281236107</v>
      </c>
      <c r="T63" s="3">
        <v>0.97182663782036671</v>
      </c>
      <c r="U63" s="160">
        <v>27.897147512526221</v>
      </c>
      <c r="V63" s="3">
        <f t="shared" si="1"/>
        <v>0.3305109945724703</v>
      </c>
      <c r="W63" s="3">
        <f t="shared" si="0"/>
        <v>2.8259559476345449E-2</v>
      </c>
      <c r="X63" s="3">
        <f t="shared" si="0"/>
        <v>4.4633889090214568E-2</v>
      </c>
      <c r="Y63" s="3">
        <f t="shared" si="0"/>
        <v>0.11692032615626001</v>
      </c>
      <c r="Z63" s="160">
        <f t="shared" si="0"/>
        <v>0.43044927269223016</v>
      </c>
    </row>
    <row r="64" spans="1:26">
      <c r="A64" s="3">
        <f>DEA!A85</f>
        <v>122</v>
      </c>
      <c r="B64" s="3" t="str">
        <f>DEA!B85</f>
        <v>b</v>
      </c>
      <c r="C64" s="3">
        <f>DEA!C85</f>
        <v>32</v>
      </c>
      <c r="D64" s="3" t="str">
        <f>DEA!D85</f>
        <v>-</v>
      </c>
      <c r="E64" s="3">
        <v>0</v>
      </c>
      <c r="F64" s="75">
        <f>'Post-DEA characterisation'!I64</f>
        <v>4.79</v>
      </c>
      <c r="G64" s="75">
        <f>DEA!AK85</f>
        <v>112.79755042547259</v>
      </c>
      <c r="H64" s="67">
        <v>682.67865314406674</v>
      </c>
      <c r="I64" s="196"/>
    </row>
    <row r="65" spans="1:9">
      <c r="A65" s="3">
        <f>DEA!A86</f>
        <v>123</v>
      </c>
      <c r="B65" s="3" t="str">
        <f>DEA!B86</f>
        <v>c</v>
      </c>
      <c r="C65" s="3">
        <f>DEA!C86</f>
        <v>32</v>
      </c>
      <c r="D65" s="3" t="str">
        <f>DEA!D86</f>
        <v>-</v>
      </c>
      <c r="E65" s="3">
        <v>0</v>
      </c>
      <c r="F65" s="75">
        <f>'Post-DEA characterisation'!I65</f>
        <v>4.76</v>
      </c>
      <c r="G65" s="75">
        <f>DEA!AK86</f>
        <v>115.9542020497489</v>
      </c>
      <c r="H65" s="67">
        <v>717.48226840848963</v>
      </c>
      <c r="I65" s="196"/>
    </row>
    <row r="66" spans="1:9">
      <c r="A66" s="3">
        <f>DEA!A87</f>
        <v>127</v>
      </c>
      <c r="B66" s="3" t="str">
        <f>DEA!B87</f>
        <v>a</v>
      </c>
      <c r="C66" s="3">
        <f>DEA!C87</f>
        <v>32</v>
      </c>
      <c r="D66" s="3" t="str">
        <f>DEA!D87</f>
        <v>-</v>
      </c>
      <c r="E66" s="3">
        <v>6</v>
      </c>
      <c r="F66" s="75">
        <f>'Post-DEA characterisation'!I66</f>
        <v>6.64</v>
      </c>
      <c r="G66" s="75">
        <f>DEA!AK87</f>
        <v>64.916690709132652</v>
      </c>
      <c r="H66" s="67">
        <v>286.68978242466801</v>
      </c>
      <c r="I66" s="196"/>
    </row>
    <row r="67" spans="1:9">
      <c r="A67" s="3">
        <f>DEA!A88</f>
        <v>128</v>
      </c>
      <c r="B67" s="3" t="str">
        <f>DEA!B88</f>
        <v>b</v>
      </c>
      <c r="C67" s="3">
        <f>DEA!C88</f>
        <v>32</v>
      </c>
      <c r="D67" s="3" t="str">
        <f>DEA!D88</f>
        <v>-</v>
      </c>
      <c r="E67" s="3">
        <v>6</v>
      </c>
      <c r="F67" s="75">
        <f>'Post-DEA characterisation'!I67</f>
        <v>6.66</v>
      </c>
      <c r="G67" s="75">
        <f>DEA!AK88</f>
        <v>90.6702417146183</v>
      </c>
      <c r="H67" s="67">
        <v>354.8054436363829</v>
      </c>
      <c r="I67" s="196"/>
    </row>
    <row r="68" spans="1:9">
      <c r="A68" s="3">
        <f>DEA!A89</f>
        <v>129</v>
      </c>
      <c r="B68" s="3" t="str">
        <f>DEA!B89</f>
        <v>c</v>
      </c>
      <c r="C68" s="3">
        <f>DEA!C89</f>
        <v>32</v>
      </c>
      <c r="D68" s="3" t="str">
        <f>DEA!D89</f>
        <v>-</v>
      </c>
      <c r="E68" s="3">
        <v>6</v>
      </c>
      <c r="F68" s="75">
        <f>'Post-DEA characterisation'!I68</f>
        <v>6.66</v>
      </c>
      <c r="G68" s="75">
        <f>DEA!AK89</f>
        <v>35.8286708964471</v>
      </c>
      <c r="H68" s="67">
        <v>212.69428384872543</v>
      </c>
      <c r="I68" s="196"/>
    </row>
    <row r="69" spans="1:9">
      <c r="A69" s="3">
        <f>DEA!A90</f>
        <v>133</v>
      </c>
      <c r="B69" s="3" t="str">
        <f>DEA!B90</f>
        <v>a</v>
      </c>
      <c r="C69" s="3">
        <f>DEA!C90</f>
        <v>32</v>
      </c>
      <c r="D69" s="3" t="str">
        <f>DEA!D90</f>
        <v>-</v>
      </c>
      <c r="E69" s="3">
        <v>16</v>
      </c>
      <c r="F69" s="75">
        <f>'Post-DEA characterisation'!I69</f>
        <v>8.3699999999999992</v>
      </c>
      <c r="G69" s="75">
        <f>DEA!AK90</f>
        <v>9.8672920762433414</v>
      </c>
      <c r="H69" s="67">
        <v>79.487649777077792</v>
      </c>
      <c r="I69" s="196"/>
    </row>
    <row r="70" spans="1:9">
      <c r="A70" s="3">
        <f>DEA!A91</f>
        <v>134</v>
      </c>
      <c r="B70" s="3" t="str">
        <f>DEA!B91</f>
        <v>b</v>
      </c>
      <c r="C70" s="3">
        <f>DEA!C91</f>
        <v>32</v>
      </c>
      <c r="D70" s="3" t="str">
        <f>DEA!D91</f>
        <v>-</v>
      </c>
      <c r="E70" s="3">
        <v>16</v>
      </c>
      <c r="F70" s="75">
        <f>'Post-DEA characterisation'!I70</f>
        <v>8.36</v>
      </c>
      <c r="G70" s="75">
        <f>DEA!AK91</f>
        <v>6.9379607150136007</v>
      </c>
      <c r="H70" s="67">
        <v>70.457783129891823</v>
      </c>
      <c r="I70" s="196"/>
    </row>
    <row r="71" spans="1:9">
      <c r="A71" s="3">
        <f>DEA!A92</f>
        <v>135</v>
      </c>
      <c r="B71" s="3" t="str">
        <f>DEA!B92</f>
        <v>c</v>
      </c>
      <c r="C71" s="3">
        <f>DEA!C92</f>
        <v>32</v>
      </c>
      <c r="D71" s="3" t="str">
        <f>DEA!D92</f>
        <v>-</v>
      </c>
      <c r="E71" s="3">
        <v>16</v>
      </c>
      <c r="F71" s="75">
        <f>'Post-DEA characterisation'!I71</f>
        <v>8.3800000000000008</v>
      </c>
      <c r="G71" s="75">
        <f>DEA!AK92</f>
        <v>14.445750551360492</v>
      </c>
      <c r="H71" s="67">
        <v>89.867720959079676</v>
      </c>
      <c r="I71" s="196"/>
    </row>
    <row r="72" spans="1:9">
      <c r="A72" s="3">
        <f>DEA!A93</f>
        <v>139</v>
      </c>
      <c r="B72" s="3" t="str">
        <f>DEA!B93</f>
        <v>a</v>
      </c>
      <c r="C72" s="3">
        <f>DEA!C93</f>
        <v>32</v>
      </c>
      <c r="D72" s="3" t="str">
        <f>DEA!D93</f>
        <v>-</v>
      </c>
      <c r="E72" s="3">
        <v>20</v>
      </c>
      <c r="F72" s="75">
        <f>'Post-DEA characterisation'!I72</f>
        <v>8.8800000000000008</v>
      </c>
      <c r="G72" s="75">
        <f>DEA!AK93</f>
        <v>0.58096142156789388</v>
      </c>
      <c r="H72" s="67">
        <v>2.1468101567570161</v>
      </c>
      <c r="I72" s="196"/>
    </row>
    <row r="73" spans="1:9">
      <c r="A73" s="3">
        <f>DEA!A94</f>
        <v>140</v>
      </c>
      <c r="B73" s="3" t="str">
        <f>DEA!B94</f>
        <v>b</v>
      </c>
      <c r="C73" s="3">
        <f>DEA!C94</f>
        <v>32</v>
      </c>
      <c r="D73" s="3" t="str">
        <f>DEA!D94</f>
        <v>-</v>
      </c>
      <c r="E73" s="3">
        <v>20</v>
      </c>
      <c r="F73" s="75">
        <f>'Post-DEA characterisation'!I73</f>
        <v>8.93</v>
      </c>
      <c r="G73" s="75">
        <f>DEA!AK94</f>
        <v>0.22572574642185431</v>
      </c>
      <c r="H73" s="67">
        <v>0.68124436983172254</v>
      </c>
      <c r="I73" s="196"/>
    </row>
    <row r="74" spans="1:9" ht="13.5" thickBot="1">
      <c r="A74" s="3">
        <f>DEA!A95</f>
        <v>141</v>
      </c>
      <c r="B74" s="3" t="str">
        <f>DEA!B95</f>
        <v>c</v>
      </c>
      <c r="C74" s="3">
        <f>DEA!C95</f>
        <v>32</v>
      </c>
      <c r="D74" s="3" t="str">
        <f>DEA!D95</f>
        <v>-</v>
      </c>
      <c r="E74" s="3">
        <v>20</v>
      </c>
      <c r="F74" s="75">
        <f>'Post-DEA characterisation'!I74</f>
        <v>8.9</v>
      </c>
      <c r="G74" s="75">
        <f>DEA!AK95</f>
        <v>0.59413011044733488</v>
      </c>
      <c r="H74" s="141">
        <v>2.3297225221308167</v>
      </c>
      <c r="I74" s="196"/>
    </row>
    <row r="75" spans="1:9">
      <c r="A75" s="3">
        <f>DEA!A96</f>
        <v>145</v>
      </c>
      <c r="B75" s="3" t="str">
        <f>DEA!B96</f>
        <v>a</v>
      </c>
      <c r="C75" s="3">
        <f>DEA!C96</f>
        <v>40</v>
      </c>
      <c r="D75" s="3" t="str">
        <f>DEA!D96</f>
        <v>+</v>
      </c>
      <c r="E75" s="3">
        <v>0</v>
      </c>
      <c r="F75" s="75">
        <f>'Post-DEA characterisation'!I75</f>
        <v>4.5999999999999996</v>
      </c>
      <c r="G75" s="75">
        <f>DEA!AK96</f>
        <v>82.46367442707529</v>
      </c>
      <c r="H75" s="67">
        <v>618.12910581282028</v>
      </c>
      <c r="I75" s="196"/>
    </row>
    <row r="76" spans="1:9">
      <c r="A76" s="3">
        <f>DEA!A97</f>
        <v>146</v>
      </c>
      <c r="B76" s="3" t="str">
        <f>DEA!B97</f>
        <v>b</v>
      </c>
      <c r="C76" s="3">
        <f>DEA!C97</f>
        <v>40</v>
      </c>
      <c r="D76" s="3" t="str">
        <f>DEA!D97</f>
        <v>+</v>
      </c>
      <c r="E76" s="3">
        <v>0</v>
      </c>
      <c r="F76" s="75">
        <f>'Post-DEA characterisation'!I76</f>
        <v>4.72</v>
      </c>
      <c r="G76" s="75">
        <f>DEA!AK97</f>
        <v>89.580017509713855</v>
      </c>
      <c r="H76" s="67">
        <v>604.24578561175485</v>
      </c>
      <c r="I76" s="196"/>
    </row>
    <row r="77" spans="1:9">
      <c r="A77" s="3">
        <f>DEA!A98</f>
        <v>147</v>
      </c>
      <c r="B77" s="3" t="str">
        <f>DEA!B98</f>
        <v>c</v>
      </c>
      <c r="C77" s="3">
        <f>DEA!C98</f>
        <v>40</v>
      </c>
      <c r="D77" s="3" t="str">
        <f>DEA!D98</f>
        <v>+</v>
      </c>
      <c r="E77" s="3">
        <v>0</v>
      </c>
      <c r="F77" s="75">
        <f>'Post-DEA characterisation'!I77</f>
        <v>4.8099999999999996</v>
      </c>
      <c r="G77" s="75">
        <f>DEA!AK98</f>
        <v>99.62893713230001</v>
      </c>
      <c r="H77" s="67">
        <v>695.03143536941491</v>
      </c>
      <c r="I77" s="196"/>
    </row>
    <row r="78" spans="1:9">
      <c r="A78" s="3">
        <f>DEA!A99</f>
        <v>151</v>
      </c>
      <c r="B78" s="3" t="str">
        <f>DEA!B99</f>
        <v>a</v>
      </c>
      <c r="C78" s="3">
        <f>DEA!C99</f>
        <v>40</v>
      </c>
      <c r="D78" s="3" t="str">
        <f>DEA!D99</f>
        <v>+</v>
      </c>
      <c r="E78" s="3">
        <v>6</v>
      </c>
      <c r="F78" s="75">
        <f>'Post-DEA characterisation'!I78</f>
        <v>6.52</v>
      </c>
      <c r="G78" s="75">
        <f>DEA!AK99</f>
        <v>627.30017711887626</v>
      </c>
      <c r="H78" s="67">
        <v>2496.3028622672409</v>
      </c>
      <c r="I78" s="196"/>
    </row>
    <row r="79" spans="1:9">
      <c r="A79" s="3">
        <f>DEA!A100</f>
        <v>152</v>
      </c>
      <c r="B79" s="3" t="str">
        <f>DEA!B100</f>
        <v>b</v>
      </c>
      <c r="C79" s="3">
        <f>DEA!C100</f>
        <v>40</v>
      </c>
      <c r="D79" s="3" t="str">
        <f>DEA!D100</f>
        <v>+</v>
      </c>
      <c r="E79" s="3">
        <v>6</v>
      </c>
      <c r="F79" s="75">
        <f>'Post-DEA characterisation'!I79</f>
        <v>6.57</v>
      </c>
      <c r="G79" s="75">
        <f>DEA!AK100</f>
        <v>658.64511208092699</v>
      </c>
      <c r="H79" s="67">
        <v>2599.7566920212894</v>
      </c>
      <c r="I79" s="196"/>
    </row>
    <row r="80" spans="1:9">
      <c r="A80" s="3">
        <f>DEA!A101</f>
        <v>153</v>
      </c>
      <c r="B80" s="3" t="str">
        <f>DEA!B101</f>
        <v>c</v>
      </c>
      <c r="C80" s="3">
        <f>DEA!C101</f>
        <v>40</v>
      </c>
      <c r="D80" s="3" t="str">
        <f>DEA!D101</f>
        <v>+</v>
      </c>
      <c r="E80" s="3">
        <v>6</v>
      </c>
      <c r="F80" s="75">
        <f>'Post-DEA characterisation'!I80</f>
        <v>6.63</v>
      </c>
      <c r="G80" s="75">
        <f>DEA!AK101</f>
        <v>1546.4252074114681</v>
      </c>
      <c r="H80" s="156">
        <v>5533.1155663982308</v>
      </c>
      <c r="I80" s="337"/>
    </row>
    <row r="81" spans="1:9">
      <c r="A81" s="3">
        <f>DEA!A102</f>
        <v>157</v>
      </c>
      <c r="B81" s="3" t="str">
        <f>DEA!B102</f>
        <v>a</v>
      </c>
      <c r="C81" s="3">
        <f>DEA!C102</f>
        <v>40</v>
      </c>
      <c r="D81" s="3" t="str">
        <f>DEA!D102</f>
        <v>+</v>
      </c>
      <c r="E81" s="3">
        <v>16</v>
      </c>
      <c r="F81" s="75">
        <f>'Post-DEA characterisation'!I81</f>
        <v>8.2899999999999991</v>
      </c>
      <c r="G81" s="75">
        <f>DEA!AK102</f>
        <v>1839.6884869422345</v>
      </c>
      <c r="H81" s="156">
        <v>6310.2613556764973</v>
      </c>
      <c r="I81" s="337"/>
    </row>
    <row r="82" spans="1:9">
      <c r="A82" s="3">
        <f>DEA!A103</f>
        <v>158</v>
      </c>
      <c r="B82" s="3" t="str">
        <f>DEA!B103</f>
        <v>b</v>
      </c>
      <c r="C82" s="3">
        <f>DEA!C103</f>
        <v>40</v>
      </c>
      <c r="D82" s="3" t="str">
        <f>DEA!D103</f>
        <v>+</v>
      </c>
      <c r="E82" s="3">
        <v>16</v>
      </c>
      <c r="F82" s="75">
        <f>'Post-DEA characterisation'!I82</f>
        <v>8.3800000000000008</v>
      </c>
      <c r="G82" s="75">
        <f>DEA!AK103</f>
        <v>1944.6685779055381</v>
      </c>
      <c r="H82" s="156">
        <v>6139.2405357646685</v>
      </c>
      <c r="I82" s="337"/>
    </row>
    <row r="83" spans="1:9">
      <c r="A83" s="3">
        <f>DEA!A104</f>
        <v>159</v>
      </c>
      <c r="B83" s="3" t="str">
        <f>DEA!B104</f>
        <v>c</v>
      </c>
      <c r="C83" s="3">
        <f>DEA!C104</f>
        <v>40</v>
      </c>
      <c r="D83" s="3" t="str">
        <f>DEA!D104</f>
        <v>+</v>
      </c>
      <c r="E83" s="3">
        <v>16</v>
      </c>
      <c r="F83" s="75">
        <f>'Post-DEA characterisation'!I83</f>
        <v>8.3800000000000008</v>
      </c>
      <c r="G83" s="75">
        <f>DEA!AK104</f>
        <v>1478.2900513868003</v>
      </c>
      <c r="H83" s="67">
        <v>77.893093781907282</v>
      </c>
      <c r="I83" s="196"/>
    </row>
    <row r="84" spans="1:9">
      <c r="A84" s="3">
        <f>DEA!A105</f>
        <v>163</v>
      </c>
      <c r="B84" s="3" t="str">
        <f>DEA!B105</f>
        <v>a</v>
      </c>
      <c r="C84" s="3">
        <f>DEA!C105</f>
        <v>40</v>
      </c>
      <c r="D84" s="3" t="str">
        <f>DEA!D105</f>
        <v>+</v>
      </c>
      <c r="E84" s="3">
        <v>20</v>
      </c>
      <c r="F84" s="75">
        <f>'Post-DEA characterisation'!I84</f>
        <v>9.1999999999999993</v>
      </c>
      <c r="G84" s="75">
        <f>DEA!AK105</f>
        <v>9.7583178882582775</v>
      </c>
      <c r="H84" s="67">
        <v>33.710737598557934</v>
      </c>
      <c r="I84" s="196"/>
    </row>
    <row r="85" spans="1:9">
      <c r="A85" s="3">
        <f>DEA!A106</f>
        <v>164</v>
      </c>
      <c r="B85" s="3" t="str">
        <f>DEA!B106</f>
        <v>b</v>
      </c>
      <c r="C85" s="3">
        <f>DEA!C106</f>
        <v>40</v>
      </c>
      <c r="D85" s="3" t="str">
        <f>DEA!D106</f>
        <v>+</v>
      </c>
      <c r="E85" s="3">
        <v>20</v>
      </c>
      <c r="F85" s="75">
        <f>'Post-DEA characterisation'!I85</f>
        <v>8.99</v>
      </c>
      <c r="G85" s="75">
        <f>DEA!AK106</f>
        <v>10.531529081287774</v>
      </c>
      <c r="H85" s="67">
        <v>37.264628250930379</v>
      </c>
      <c r="I85" s="196"/>
    </row>
    <row r="86" spans="1:9">
      <c r="A86" s="3">
        <f>DEA!A107</f>
        <v>165</v>
      </c>
      <c r="B86" s="3" t="str">
        <f>DEA!B107</f>
        <v>c</v>
      </c>
      <c r="C86" s="3">
        <f>DEA!C107</f>
        <v>40</v>
      </c>
      <c r="D86" s="3" t="str">
        <f>DEA!D107</f>
        <v>+</v>
      </c>
      <c r="E86" s="3">
        <v>20</v>
      </c>
      <c r="F86" s="75">
        <f>'Post-DEA characterisation'!I86</f>
        <v>8.8000000000000007</v>
      </c>
      <c r="G86" s="75">
        <f>DEA!AK107</f>
        <v>4.6457652486807532</v>
      </c>
      <c r="H86" s="67">
        <v>19.246305781703498</v>
      </c>
      <c r="I86" s="196"/>
    </row>
    <row r="87" spans="1:9">
      <c r="A87" s="3">
        <f>DEA!A108</f>
        <v>169</v>
      </c>
      <c r="B87" s="3" t="str">
        <f>DEA!B108</f>
        <v>a</v>
      </c>
      <c r="C87" s="3">
        <f>DEA!C108</f>
        <v>40</v>
      </c>
      <c r="D87" s="3" t="str">
        <f>DEA!D108</f>
        <v>-</v>
      </c>
      <c r="E87" s="3">
        <v>0</v>
      </c>
      <c r="F87" s="75">
        <f>'Post-DEA characterisation'!I87</f>
        <v>4.59</v>
      </c>
      <c r="G87" s="75">
        <f>DEA!AK108</f>
        <v>90.489786281933107</v>
      </c>
      <c r="H87" s="67">
        <v>629.88816088015051</v>
      </c>
      <c r="I87" s="196"/>
    </row>
    <row r="88" spans="1:9">
      <c r="A88" s="3">
        <f>DEA!A109</f>
        <v>170</v>
      </c>
      <c r="B88" s="3" t="str">
        <f>DEA!B109</f>
        <v>b</v>
      </c>
      <c r="C88" s="3">
        <f>DEA!C109</f>
        <v>40</v>
      </c>
      <c r="D88" s="3" t="str">
        <f>DEA!D109</f>
        <v>-</v>
      </c>
      <c r="E88" s="3">
        <v>0</v>
      </c>
      <c r="F88" s="75">
        <f>'Post-DEA characterisation'!I88</f>
        <v>4.6100000000000003</v>
      </c>
      <c r="G88" s="75">
        <f>DEA!AK109</f>
        <v>97.678185432666922</v>
      </c>
      <c r="H88" s="67">
        <v>590.70383919002177</v>
      </c>
      <c r="I88" s="196"/>
    </row>
    <row r="89" spans="1:9">
      <c r="A89" s="3">
        <f>DEA!A110</f>
        <v>171</v>
      </c>
      <c r="B89" s="3" t="str">
        <f>DEA!B110</f>
        <v>c</v>
      </c>
      <c r="C89" s="3">
        <f>DEA!C110</f>
        <v>40</v>
      </c>
      <c r="D89" s="3" t="str">
        <f>DEA!D110</f>
        <v>-</v>
      </c>
      <c r="E89" s="3">
        <v>0</v>
      </c>
      <c r="F89" s="75">
        <f>'Post-DEA characterisation'!I89</f>
        <v>4.62</v>
      </c>
      <c r="G89" s="75">
        <f>DEA!AK110</f>
        <v>97.156665434117699</v>
      </c>
      <c r="H89" s="67">
        <v>606.7548058918444</v>
      </c>
      <c r="I89" s="196"/>
    </row>
    <row r="90" spans="1:9">
      <c r="A90" s="3">
        <f>DEA!A111</f>
        <v>175</v>
      </c>
      <c r="B90" s="3" t="str">
        <f>DEA!B111</f>
        <v>a</v>
      </c>
      <c r="C90" s="3">
        <f>DEA!C111</f>
        <v>40</v>
      </c>
      <c r="D90" s="3" t="str">
        <f>DEA!D111</f>
        <v>-</v>
      </c>
      <c r="E90" s="3">
        <v>6</v>
      </c>
      <c r="F90" s="75">
        <f>'Post-DEA characterisation'!I90</f>
        <v>6.64</v>
      </c>
      <c r="G90" s="75">
        <f>DEA!AK111</f>
        <v>50.370002718550872</v>
      </c>
      <c r="H90" s="67">
        <v>223.5266103643547</v>
      </c>
      <c r="I90" s="196"/>
    </row>
    <row r="91" spans="1:9">
      <c r="A91" s="3">
        <f>DEA!A112</f>
        <v>176</v>
      </c>
      <c r="B91" s="3" t="str">
        <f>DEA!B112</f>
        <v>b</v>
      </c>
      <c r="C91" s="3">
        <f>DEA!C112</f>
        <v>40</v>
      </c>
      <c r="D91" s="3" t="str">
        <f>DEA!D112</f>
        <v>-</v>
      </c>
      <c r="E91" s="3">
        <v>6</v>
      </c>
      <c r="F91" s="75">
        <f>'Post-DEA characterisation'!I91</f>
        <v>6.61</v>
      </c>
      <c r="G91" s="75">
        <f>DEA!AK112</f>
        <v>142.69427096173729</v>
      </c>
      <c r="H91" s="67">
        <v>880.71942272890703</v>
      </c>
      <c r="I91" s="196"/>
    </row>
    <row r="92" spans="1:9">
      <c r="A92" s="3">
        <f>DEA!A113</f>
        <v>177</v>
      </c>
      <c r="B92" s="3" t="str">
        <f>DEA!B113</f>
        <v>c</v>
      </c>
      <c r="C92" s="3">
        <f>DEA!C113</f>
        <v>40</v>
      </c>
      <c r="D92" s="3" t="str">
        <f>DEA!D113</f>
        <v>-</v>
      </c>
      <c r="E92" s="3">
        <v>6</v>
      </c>
      <c r="F92" s="75">
        <f>'Post-DEA characterisation'!I92</f>
        <v>6.66</v>
      </c>
      <c r="G92" s="75">
        <f>DEA!AK113</f>
        <v>54.472797569727248</v>
      </c>
      <c r="H92" s="67">
        <v>232.68757715215605</v>
      </c>
      <c r="I92" s="196"/>
    </row>
    <row r="93" spans="1:9">
      <c r="A93" s="3">
        <f>DEA!A114</f>
        <v>181</v>
      </c>
      <c r="B93" s="3" t="str">
        <f>DEA!B114</f>
        <v>a</v>
      </c>
      <c r="C93" s="3">
        <f>DEA!C114</f>
        <v>40</v>
      </c>
      <c r="D93" s="3" t="str">
        <f>DEA!D114</f>
        <v>-</v>
      </c>
      <c r="E93" s="3">
        <v>16</v>
      </c>
      <c r="F93" s="75">
        <f>'Post-DEA characterisation'!I93</f>
        <v>8.2799999999999994</v>
      </c>
      <c r="G93" s="75">
        <f>DEA!AK114</f>
        <v>20.625709922158897</v>
      </c>
      <c r="H93" s="67">
        <v>84.565614110281615</v>
      </c>
      <c r="I93" s="196"/>
    </row>
    <row r="94" spans="1:9">
      <c r="A94" s="3">
        <f>DEA!A115</f>
        <v>182</v>
      </c>
      <c r="B94" s="3" t="str">
        <f>DEA!B115</f>
        <v>b</v>
      </c>
      <c r="C94" s="3">
        <f>DEA!C115</f>
        <v>40</v>
      </c>
      <c r="D94" s="3" t="str">
        <f>DEA!D115</f>
        <v>-</v>
      </c>
      <c r="E94" s="3">
        <v>16</v>
      </c>
      <c r="F94" s="75">
        <f>'Post-DEA characterisation'!I94</f>
        <v>8.41</v>
      </c>
      <c r="G94" s="75">
        <f>DEA!AK115</f>
        <v>15.558270508267057</v>
      </c>
      <c r="H94" s="67">
        <v>75.135906162406641</v>
      </c>
      <c r="I94" s="196"/>
    </row>
    <row r="95" spans="1:9">
      <c r="A95" s="3">
        <f>DEA!A116</f>
        <v>183</v>
      </c>
      <c r="B95" s="3" t="str">
        <f>DEA!B116</f>
        <v>c</v>
      </c>
      <c r="C95" s="3">
        <f>DEA!C116</f>
        <v>40</v>
      </c>
      <c r="D95" s="3" t="str">
        <f>DEA!D116</f>
        <v>-</v>
      </c>
      <c r="E95" s="3">
        <v>16</v>
      </c>
      <c r="F95" s="75">
        <f>'Post-DEA characterisation'!I95</f>
        <v>8.3800000000000008</v>
      </c>
      <c r="G95" s="75">
        <f>DEA!AK116</f>
        <v>37.944256144043649</v>
      </c>
      <c r="H95" s="67">
        <v>148.50052940900324</v>
      </c>
      <c r="I95" s="196"/>
    </row>
    <row r="96" spans="1:9">
      <c r="A96" s="3">
        <f>DEA!A117</f>
        <v>187</v>
      </c>
      <c r="B96" s="3" t="str">
        <f>DEA!B117</f>
        <v>a</v>
      </c>
      <c r="C96" s="3">
        <f>DEA!C117</f>
        <v>40</v>
      </c>
      <c r="D96" s="3" t="str">
        <f>DEA!D117</f>
        <v>-</v>
      </c>
      <c r="E96" s="3">
        <v>20</v>
      </c>
      <c r="F96" s="75">
        <f>'Post-DEA characterisation'!I96</f>
        <v>9</v>
      </c>
      <c r="G96" s="75">
        <f>DEA!AK117</f>
        <v>1.3817361291903276</v>
      </c>
      <c r="H96" s="67">
        <v>4.3141098584440272</v>
      </c>
      <c r="I96" s="196"/>
    </row>
    <row r="97" spans="1:9">
      <c r="A97" s="3">
        <f>DEA!A118</f>
        <v>188</v>
      </c>
      <c r="B97" s="3" t="str">
        <f>DEA!B118</f>
        <v>b</v>
      </c>
      <c r="C97" s="3">
        <f>DEA!C118</f>
        <v>40</v>
      </c>
      <c r="D97" s="3" t="str">
        <f>DEA!D118</f>
        <v>-</v>
      </c>
      <c r="E97" s="3">
        <v>20</v>
      </c>
      <c r="F97" s="75">
        <f>'Post-DEA characterisation'!I97</f>
        <v>8.98</v>
      </c>
      <c r="G97" s="75">
        <f>DEA!AK118</f>
        <v>0.65597439954248871</v>
      </c>
      <c r="H97" s="67">
        <v>2.12556045743225</v>
      </c>
      <c r="I97" s="196"/>
    </row>
    <row r="98" spans="1:9" ht="13.5" thickBot="1">
      <c r="A98" s="3">
        <f>DEA!A119</f>
        <v>189</v>
      </c>
      <c r="B98" s="3" t="str">
        <f>DEA!B119</f>
        <v>c</v>
      </c>
      <c r="C98" s="3">
        <f>DEA!C119</f>
        <v>40</v>
      </c>
      <c r="D98" s="3" t="str">
        <f>DEA!D119</f>
        <v>-</v>
      </c>
      <c r="E98" s="3">
        <v>20</v>
      </c>
      <c r="F98" s="75">
        <f>'Post-DEA characterisation'!I98</f>
        <v>8.94</v>
      </c>
      <c r="G98" s="75">
        <f>DEA!AK119</f>
        <v>0.87776938472828359</v>
      </c>
      <c r="H98" s="141">
        <v>4.8923183552063074</v>
      </c>
      <c r="I98" s="196"/>
    </row>
    <row r="99" spans="1:9">
      <c r="A99" s="3">
        <f>DEA!A120</f>
        <v>193</v>
      </c>
      <c r="B99" s="3" t="str">
        <f>DEA!B120</f>
        <v>a</v>
      </c>
      <c r="C99" s="3">
        <f>DEA!C120</f>
        <v>48</v>
      </c>
      <c r="D99" s="3" t="str">
        <f>DEA!D120</f>
        <v>+</v>
      </c>
      <c r="E99" s="3">
        <v>0</v>
      </c>
      <c r="F99" s="75">
        <f>'Post-DEA characterisation'!I99</f>
        <v>4.46</v>
      </c>
      <c r="G99" s="75">
        <f>DEA!AK120</f>
        <v>70.547376212610345</v>
      </c>
      <c r="H99" s="67">
        <v>500.81108259151029</v>
      </c>
      <c r="I99" s="196"/>
    </row>
    <row r="100" spans="1:9">
      <c r="A100" s="3">
        <f>DEA!A121</f>
        <v>194</v>
      </c>
      <c r="B100" s="3" t="str">
        <f>DEA!B121</f>
        <v>b</v>
      </c>
      <c r="C100" s="3">
        <f>DEA!C121</f>
        <v>48</v>
      </c>
      <c r="D100" s="3" t="str">
        <f>DEA!D121</f>
        <v>+</v>
      </c>
      <c r="E100" s="3">
        <v>0</v>
      </c>
      <c r="F100" s="75">
        <f>'Post-DEA characterisation'!I100</f>
        <v>4.49</v>
      </c>
      <c r="G100" s="75">
        <f>DEA!AK121</f>
        <v>92.487118808074939</v>
      </c>
      <c r="H100" s="67">
        <v>559.17452650385496</v>
      </c>
      <c r="I100" s="196"/>
    </row>
    <row r="101" spans="1:9">
      <c r="A101" s="3">
        <f>DEA!A122</f>
        <v>195</v>
      </c>
      <c r="B101" s="3" t="str">
        <f>DEA!B122</f>
        <v>c</v>
      </c>
      <c r="C101" s="3">
        <f>DEA!C122</f>
        <v>48</v>
      </c>
      <c r="D101" s="3" t="str">
        <f>DEA!D122</f>
        <v>+</v>
      </c>
      <c r="E101" s="3">
        <v>0</v>
      </c>
      <c r="F101" s="75">
        <f>'Post-DEA characterisation'!I101</f>
        <v>4.3499999999999996</v>
      </c>
      <c r="G101" s="75">
        <f>DEA!AK122</f>
        <v>91.480180440828846</v>
      </c>
      <c r="H101" s="67">
        <v>559.73607703738242</v>
      </c>
      <c r="I101" s="196"/>
    </row>
    <row r="102" spans="1:9">
      <c r="A102" s="3">
        <f>DEA!A123</f>
        <v>199</v>
      </c>
      <c r="B102" s="3" t="str">
        <f>DEA!B123</f>
        <v>a</v>
      </c>
      <c r="C102" s="3">
        <f>DEA!C123</f>
        <v>48</v>
      </c>
      <c r="D102" s="3" t="str">
        <f>DEA!D123</f>
        <v>+</v>
      </c>
      <c r="E102" s="3">
        <v>6</v>
      </c>
      <c r="F102" s="75">
        <f>'Post-DEA characterisation'!I102</f>
        <v>6.63</v>
      </c>
      <c r="G102" s="75">
        <f>DEA!AK123</f>
        <v>660.30055760268567</v>
      </c>
      <c r="H102" s="67">
        <v>2592.9655062081965</v>
      </c>
      <c r="I102" s="196"/>
    </row>
    <row r="103" spans="1:9">
      <c r="A103" s="3">
        <f>DEA!A124</f>
        <v>200</v>
      </c>
      <c r="B103" s="3" t="str">
        <f>DEA!B124</f>
        <v>b</v>
      </c>
      <c r="C103" s="3">
        <f>DEA!C124</f>
        <v>48</v>
      </c>
      <c r="D103" s="3" t="str">
        <f>DEA!D124</f>
        <v>+</v>
      </c>
      <c r="E103" s="3">
        <v>6</v>
      </c>
      <c r="F103" s="75">
        <f>'Post-DEA characterisation'!I103</f>
        <v>6.61</v>
      </c>
      <c r="G103" s="75">
        <f>DEA!AK124</f>
        <v>668.36627538329162</v>
      </c>
      <c r="H103" s="67">
        <v>2601.8354986497829</v>
      </c>
      <c r="I103" s="196"/>
    </row>
    <row r="104" spans="1:9">
      <c r="A104" s="3">
        <f>DEA!A125</f>
        <v>201</v>
      </c>
      <c r="B104" s="3" t="str">
        <f>DEA!B125</f>
        <v>c</v>
      </c>
      <c r="C104" s="3">
        <f>DEA!C125</f>
        <v>48</v>
      </c>
      <c r="D104" s="3" t="str">
        <f>DEA!D125</f>
        <v>+</v>
      </c>
      <c r="E104" s="3">
        <v>6</v>
      </c>
      <c r="F104" s="75">
        <f>'Post-DEA characterisation'!I104</f>
        <v>6.6</v>
      </c>
      <c r="G104" s="75">
        <f>DEA!AK125</f>
        <v>359.27269341750059</v>
      </c>
      <c r="H104" s="67">
        <v>1887.3489689683568</v>
      </c>
      <c r="I104" s="196"/>
    </row>
    <row r="105" spans="1:9">
      <c r="A105" s="3">
        <f>DEA!A126</f>
        <v>205</v>
      </c>
      <c r="B105" s="3" t="str">
        <f>DEA!B126</f>
        <v>a</v>
      </c>
      <c r="C105" s="3">
        <f>DEA!C126</f>
        <v>48</v>
      </c>
      <c r="D105" s="3" t="str">
        <f>DEA!D126</f>
        <v>+</v>
      </c>
      <c r="E105" s="3">
        <v>16</v>
      </c>
      <c r="F105" s="75">
        <f>'Post-DEA characterisation'!I105</f>
        <v>8.41</v>
      </c>
      <c r="G105" s="75">
        <f>DEA!AK126</f>
        <v>517.2334263259678</v>
      </c>
      <c r="H105" s="67">
        <v>1756.8613433396458</v>
      </c>
      <c r="I105" s="196"/>
    </row>
    <row r="106" spans="1:9">
      <c r="A106" s="3">
        <f>DEA!A127</f>
        <v>206</v>
      </c>
      <c r="B106" s="3" t="str">
        <f>DEA!B127</f>
        <v>b</v>
      </c>
      <c r="C106" s="3">
        <f>DEA!C127</f>
        <v>48</v>
      </c>
      <c r="D106" s="3" t="str">
        <f>DEA!D127</f>
        <v>+</v>
      </c>
      <c r="E106" s="3">
        <v>16</v>
      </c>
      <c r="F106" s="75">
        <f>'Post-DEA characterisation'!I106</f>
        <v>8.3800000000000008</v>
      </c>
      <c r="G106" s="75">
        <f>DEA!AK127</f>
        <v>715.28508883990867</v>
      </c>
      <c r="H106" s="67">
        <v>2293.6571293557931</v>
      </c>
      <c r="I106" s="196"/>
    </row>
    <row r="107" spans="1:9">
      <c r="A107" s="3">
        <f>DEA!A128</f>
        <v>207</v>
      </c>
      <c r="B107" s="3" t="str">
        <f>DEA!B128</f>
        <v>c</v>
      </c>
      <c r="C107" s="3">
        <f>DEA!C128</f>
        <v>48</v>
      </c>
      <c r="D107" s="3" t="str">
        <f>DEA!D128</f>
        <v>+</v>
      </c>
      <c r="E107" s="3">
        <v>16</v>
      </c>
      <c r="F107" s="75">
        <f>'Post-DEA characterisation'!I107</f>
        <v>8.36</v>
      </c>
      <c r="G107" s="75">
        <f>DEA!AK128</f>
        <v>760.21883188437334</v>
      </c>
      <c r="H107" s="67">
        <v>2465.2188632971511</v>
      </c>
      <c r="I107" s="196"/>
    </row>
    <row r="108" spans="1:9">
      <c r="A108" s="3">
        <f>DEA!A129</f>
        <v>211</v>
      </c>
      <c r="B108" s="3" t="str">
        <f>DEA!B129</f>
        <v>a</v>
      </c>
      <c r="C108" s="3">
        <f>DEA!C129</f>
        <v>48</v>
      </c>
      <c r="D108" s="3" t="str">
        <f>DEA!D129</f>
        <v>+</v>
      </c>
      <c r="E108" s="3">
        <v>20</v>
      </c>
      <c r="F108" s="75">
        <f>'Post-DEA characterisation'!I108</f>
        <v>8.82</v>
      </c>
      <c r="G108" s="75">
        <f>DEA!AK129</f>
        <v>156.29697087902377</v>
      </c>
      <c r="H108" s="67">
        <v>538.49166912661315</v>
      </c>
      <c r="I108" s="196"/>
    </row>
    <row r="109" spans="1:9">
      <c r="A109" s="3">
        <f>DEA!A130</f>
        <v>212</v>
      </c>
      <c r="B109" s="3" t="str">
        <f>DEA!B130</f>
        <v>b</v>
      </c>
      <c r="C109" s="3">
        <f>DEA!C130</f>
        <v>48</v>
      </c>
      <c r="D109" s="3" t="str">
        <f>DEA!D130</f>
        <v>+</v>
      </c>
      <c r="E109" s="3">
        <v>20</v>
      </c>
      <c r="F109" s="75">
        <f>'Post-DEA characterisation'!I109</f>
        <v>8.8800000000000008</v>
      </c>
      <c r="G109" s="75">
        <f>DEA!AK130</f>
        <v>38.131148406980408</v>
      </c>
      <c r="H109" s="67">
        <v>130.37290009216775</v>
      </c>
      <c r="I109" s="196"/>
    </row>
    <row r="110" spans="1:9">
      <c r="A110" s="3">
        <f>DEA!A131</f>
        <v>213</v>
      </c>
      <c r="B110" s="3" t="str">
        <f>DEA!B131</f>
        <v>c</v>
      </c>
      <c r="C110" s="3">
        <f>DEA!C131</f>
        <v>48</v>
      </c>
      <c r="D110" s="3" t="str">
        <f>DEA!D131</f>
        <v>+</v>
      </c>
      <c r="E110" s="3">
        <v>20</v>
      </c>
      <c r="F110" s="75">
        <f>'Post-DEA characterisation'!I110</f>
        <v>8.8800000000000008</v>
      </c>
      <c r="G110" s="75">
        <f>DEA!AK131</f>
        <v>0</v>
      </c>
      <c r="H110" s="67">
        <v>1189.1341192574564</v>
      </c>
      <c r="I110" s="196"/>
    </row>
    <row r="111" spans="1:9">
      <c r="A111" s="3">
        <f>DEA!A132</f>
        <v>217</v>
      </c>
      <c r="B111" s="3" t="str">
        <f>DEA!B132</f>
        <v>a</v>
      </c>
      <c r="C111" s="3">
        <f>DEA!C132</f>
        <v>48</v>
      </c>
      <c r="D111" s="3" t="str">
        <f>DEA!D132</f>
        <v>-</v>
      </c>
      <c r="E111" s="3">
        <v>0</v>
      </c>
      <c r="F111" s="75">
        <f>'Post-DEA characterisation'!I111</f>
        <v>4.54</v>
      </c>
      <c r="G111" s="75">
        <f>DEA!AK132</f>
        <v>91.566024614185068</v>
      </c>
      <c r="H111" s="67">
        <v>574.54527905682073</v>
      </c>
      <c r="I111" s="196"/>
    </row>
    <row r="112" spans="1:9">
      <c r="A112" s="3">
        <f>DEA!A133</f>
        <v>218</v>
      </c>
      <c r="B112" s="3" t="str">
        <f>DEA!B133</f>
        <v>b</v>
      </c>
      <c r="C112" s="3">
        <f>DEA!C133</f>
        <v>48</v>
      </c>
      <c r="D112" s="3" t="str">
        <f>DEA!D133</f>
        <v>-</v>
      </c>
      <c r="E112" s="3">
        <v>0</v>
      </c>
      <c r="F112" s="75">
        <f>'Post-DEA characterisation'!I112</f>
        <v>4.6399999999999997</v>
      </c>
      <c r="G112" s="75">
        <f>DEA!AK133</f>
        <v>115.31100624687012</v>
      </c>
      <c r="H112" s="67">
        <v>749.22247010255091</v>
      </c>
      <c r="I112" s="196"/>
    </row>
    <row r="113" spans="1:9">
      <c r="A113" s="3">
        <f>DEA!A134</f>
        <v>219</v>
      </c>
      <c r="B113" s="3" t="str">
        <f>DEA!B134</f>
        <v>c</v>
      </c>
      <c r="C113" s="3">
        <f>DEA!C134</f>
        <v>48</v>
      </c>
      <c r="D113" s="3" t="str">
        <f>DEA!D134</f>
        <v>-</v>
      </c>
      <c r="E113" s="3">
        <v>0</v>
      </c>
      <c r="F113" s="75">
        <f>'Post-DEA characterisation'!I113</f>
        <v>4.4800000000000004</v>
      </c>
      <c r="G113" s="75">
        <f>DEA!AK134</f>
        <v>94.13485244450743</v>
      </c>
      <c r="H113" s="67">
        <v>575.43860461173085</v>
      </c>
      <c r="I113" s="196"/>
    </row>
    <row r="114" spans="1:9">
      <c r="A114" s="3">
        <f>DEA!A135</f>
        <v>223</v>
      </c>
      <c r="B114" s="3" t="str">
        <f>DEA!B135</f>
        <v>a</v>
      </c>
      <c r="C114" s="3">
        <f>DEA!C135</f>
        <v>48</v>
      </c>
      <c r="D114" s="3" t="str">
        <f>DEA!D135</f>
        <v>-</v>
      </c>
      <c r="E114" s="3">
        <v>6</v>
      </c>
      <c r="F114" s="75">
        <f>'Post-DEA characterisation'!I114</f>
        <v>6.72</v>
      </c>
      <c r="G114" s="75">
        <f>DEA!AK135</f>
        <v>51.956881627835344</v>
      </c>
      <c r="H114" s="67">
        <v>222.88017910411327</v>
      </c>
      <c r="I114" s="196"/>
    </row>
    <row r="115" spans="1:9">
      <c r="A115" s="3">
        <f>DEA!A136</f>
        <v>224</v>
      </c>
      <c r="B115" s="3" t="str">
        <f>DEA!B136</f>
        <v>b</v>
      </c>
      <c r="C115" s="3">
        <f>DEA!C136</f>
        <v>48</v>
      </c>
      <c r="D115" s="3" t="str">
        <f>DEA!D136</f>
        <v>-</v>
      </c>
      <c r="E115" s="3">
        <v>6</v>
      </c>
      <c r="F115" s="75">
        <f>'Post-DEA characterisation'!I115</f>
        <v>6.68</v>
      </c>
      <c r="G115" s="75">
        <f>DEA!AK136</f>
        <v>50.104080099929647</v>
      </c>
      <c r="H115" s="67">
        <v>219.11188785909178</v>
      </c>
      <c r="I115" s="196"/>
    </row>
    <row r="116" spans="1:9">
      <c r="A116" s="3">
        <f>DEA!A137</f>
        <v>225</v>
      </c>
      <c r="B116" s="3" t="str">
        <f>DEA!B137</f>
        <v>c</v>
      </c>
      <c r="C116" s="3">
        <f>DEA!C137</f>
        <v>48</v>
      </c>
      <c r="D116" s="3" t="str">
        <f>DEA!D137</f>
        <v>-</v>
      </c>
      <c r="E116" s="3">
        <v>6</v>
      </c>
      <c r="F116" s="75">
        <f>'Post-DEA characterisation'!I116</f>
        <v>6.62</v>
      </c>
      <c r="G116" s="75">
        <f>DEA!AK137</f>
        <v>50.853893388497305</v>
      </c>
      <c r="H116" s="67">
        <v>224.01624089249862</v>
      </c>
      <c r="I116" s="196"/>
    </row>
    <row r="117" spans="1:9">
      <c r="A117" s="3">
        <f>DEA!A138</f>
        <v>229</v>
      </c>
      <c r="B117" s="3" t="str">
        <f>DEA!B138</f>
        <v>a</v>
      </c>
      <c r="C117" s="3">
        <f>DEA!C138</f>
        <v>48</v>
      </c>
      <c r="D117" s="3" t="str">
        <f>DEA!D138</f>
        <v>-</v>
      </c>
      <c r="E117" s="3">
        <v>16</v>
      </c>
      <c r="F117" s="75">
        <f>'Post-DEA characterisation'!I117</f>
        <v>8.4</v>
      </c>
      <c r="G117" s="75">
        <f>DEA!AK138</f>
        <v>12.056730027284663</v>
      </c>
      <c r="H117" s="67">
        <v>45.052489924739653</v>
      </c>
      <c r="I117" s="196"/>
    </row>
    <row r="118" spans="1:9">
      <c r="A118" s="3">
        <f>DEA!A139</f>
        <v>230</v>
      </c>
      <c r="B118" s="3" t="str">
        <f>DEA!B139</f>
        <v>b</v>
      </c>
      <c r="C118" s="3">
        <f>DEA!C139</f>
        <v>48</v>
      </c>
      <c r="D118" s="3" t="str">
        <f>DEA!D139</f>
        <v>-</v>
      </c>
      <c r="E118" s="3">
        <v>16</v>
      </c>
      <c r="F118" s="75">
        <f>'Post-DEA characterisation'!I118</f>
        <v>8.3699999999999992</v>
      </c>
      <c r="G118" s="75">
        <f>DEA!AK139</f>
        <v>38.566812290192729</v>
      </c>
      <c r="H118" s="67">
        <v>138.10923204583895</v>
      </c>
      <c r="I118" s="196"/>
    </row>
    <row r="119" spans="1:9">
      <c r="A119" s="3">
        <f>DEA!A140</f>
        <v>231</v>
      </c>
      <c r="B119" s="3" t="str">
        <f>DEA!B140</f>
        <v>c</v>
      </c>
      <c r="C119" s="3">
        <f>DEA!C140</f>
        <v>48</v>
      </c>
      <c r="D119" s="3" t="str">
        <f>DEA!D140</f>
        <v>-</v>
      </c>
      <c r="E119" s="3">
        <v>16</v>
      </c>
      <c r="F119" s="75">
        <f>'Post-DEA characterisation'!I119</f>
        <v>8.42</v>
      </c>
      <c r="G119" s="75">
        <f>DEA!AK140</f>
        <v>13.045428777853042</v>
      </c>
      <c r="H119" s="67">
        <v>48.100122640325338</v>
      </c>
      <c r="I119" s="196"/>
    </row>
    <row r="120" spans="1:9">
      <c r="A120" s="3">
        <f>DEA!A141</f>
        <v>235</v>
      </c>
      <c r="B120" s="3" t="str">
        <f>DEA!B141</f>
        <v>a</v>
      </c>
      <c r="C120" s="3">
        <f>DEA!C141</f>
        <v>48</v>
      </c>
      <c r="D120" s="3" t="str">
        <f>DEA!D141</f>
        <v>-</v>
      </c>
      <c r="E120" s="3">
        <v>20</v>
      </c>
      <c r="F120" s="75">
        <f>'Post-DEA characterisation'!I120</f>
        <v>8.8000000000000007</v>
      </c>
      <c r="G120" s="75">
        <f>DEA!AK141</f>
        <v>67.391084470492018</v>
      </c>
      <c r="H120" s="67">
        <v>215.37073769197769</v>
      </c>
      <c r="I120" s="196"/>
    </row>
    <row r="121" spans="1:9">
      <c r="A121" s="3">
        <f>DEA!A142</f>
        <v>236</v>
      </c>
      <c r="B121" s="3" t="str">
        <f>DEA!B142</f>
        <v>b</v>
      </c>
      <c r="C121" s="3">
        <f>DEA!C142</f>
        <v>48</v>
      </c>
      <c r="D121" s="3" t="str">
        <f>DEA!D142</f>
        <v>-</v>
      </c>
      <c r="E121" s="3">
        <v>20</v>
      </c>
      <c r="F121" s="75">
        <f>'Post-DEA characterisation'!I121</f>
        <v>8.86</v>
      </c>
      <c r="G121" s="75">
        <f>DEA!AK142</f>
        <v>5.3215170393138367</v>
      </c>
      <c r="H121" s="67">
        <v>30.344748414508871</v>
      </c>
      <c r="I121" s="196"/>
    </row>
    <row r="122" spans="1:9">
      <c r="A122" s="3">
        <f>DEA!A143</f>
        <v>237</v>
      </c>
      <c r="B122" s="3" t="str">
        <f>DEA!B143</f>
        <v>c</v>
      </c>
      <c r="C122" s="3">
        <f>DEA!C143</f>
        <v>48</v>
      </c>
      <c r="D122" s="3" t="str">
        <f>DEA!D143</f>
        <v>-</v>
      </c>
      <c r="E122" s="3">
        <v>20</v>
      </c>
      <c r="F122" s="75">
        <f>'Post-DEA characterisation'!I122</f>
        <v>8.75</v>
      </c>
      <c r="G122" s="75">
        <f>DEA!AK143</f>
        <v>10.978841027772813</v>
      </c>
      <c r="H122" s="67">
        <v>40.102475288621598</v>
      </c>
      <c r="I122" s="196"/>
    </row>
  </sheetData>
  <phoneticPr fontId="46" type="noConversion"/>
  <pageMargins left="0.7" right="0.7" top="0.75" bottom="0.75" header="0.3" footer="0.3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Exptl Setup</vt:lpstr>
      <vt:lpstr>Pre-DEA characterisation</vt:lpstr>
      <vt:lpstr>pre-DEA dissolv CO2 plus totals</vt:lpstr>
      <vt:lpstr>Pre DEA CO2</vt:lpstr>
      <vt:lpstr>CO2 - predicted from measured</vt:lpstr>
      <vt:lpstr>post-DEA dissolved CO2</vt:lpstr>
      <vt:lpstr>DEA</vt:lpstr>
      <vt:lpstr>Post-DEA characterisation</vt:lpstr>
      <vt:lpstr>DEA summary</vt:lpstr>
      <vt:lpstr>Dilution Checks</vt:lpstr>
      <vt:lpstr>Workings</vt:lpstr>
    </vt:vector>
  </TitlesOfParts>
  <Company>Plant &amp; Food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cflmep</dc:creator>
  <cp:lastModifiedBy>cflcra</cp:lastModifiedBy>
  <cp:lastPrinted>2014-02-12T01:55:43Z</cp:lastPrinted>
  <dcterms:created xsi:type="dcterms:W3CDTF">2013-09-06T02:48:23Z</dcterms:created>
  <dcterms:modified xsi:type="dcterms:W3CDTF">2015-05-13T01:15:44Z</dcterms:modified>
</cp:coreProperties>
</file>