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 drive Data\Research Students\M.Phil\Khadeeja\Azo Dye Exp\"/>
    </mc:Choice>
  </mc:AlternateContent>
  <bookViews>
    <workbookView xWindow="240" yWindow="60" windowWidth="20055" windowHeight="7950" activeTab="3"/>
  </bookViews>
  <sheets>
    <sheet name="moisture" sheetId="1" r:id="rId1"/>
    <sheet name="DOC" sheetId="2" r:id="rId2"/>
    <sheet name="nitrate" sheetId="3" r:id="rId3"/>
    <sheet name="ammonium" sheetId="4" r:id="rId4"/>
    <sheet name="MBC" sheetId="5" r:id="rId5"/>
    <sheet name="Sheet1" sheetId="6" r:id="rId6"/>
    <sheet name="MBC (2)" sheetId="7" r:id="rId7"/>
  </sheets>
  <calcPr calcId="152511"/>
</workbook>
</file>

<file path=xl/calcChain.xml><?xml version="1.0" encoding="utf-8"?>
<calcChain xmlns="http://schemas.openxmlformats.org/spreadsheetml/2006/main">
  <c r="H3" i="4" l="1"/>
  <c r="S10" i="3" l="1"/>
  <c r="S11" i="3"/>
  <c r="S9" i="3"/>
  <c r="S16" i="3"/>
  <c r="S17" i="3"/>
  <c r="S15" i="3"/>
  <c r="S13" i="3"/>
  <c r="S14" i="3"/>
  <c r="S12" i="3"/>
  <c r="W16" i="3"/>
  <c r="W17" i="3"/>
  <c r="W15" i="3"/>
  <c r="W13" i="3"/>
  <c r="W14" i="3"/>
  <c r="W12" i="3"/>
  <c r="W10" i="3"/>
  <c r="W11" i="3"/>
  <c r="W9" i="3"/>
  <c r="W7" i="3"/>
  <c r="W8" i="3"/>
  <c r="W6" i="3"/>
  <c r="S7" i="3"/>
  <c r="S8" i="3"/>
  <c r="S6" i="3"/>
  <c r="W4" i="3"/>
  <c r="W5" i="3"/>
  <c r="W3" i="3"/>
  <c r="S4" i="3"/>
  <c r="S5" i="3"/>
  <c r="S3" i="3"/>
  <c r="N7" i="2"/>
  <c r="N10" i="2"/>
  <c r="N13" i="2"/>
  <c r="N16" i="2"/>
  <c r="N19" i="2"/>
  <c r="N22" i="2"/>
  <c r="N25" i="2"/>
  <c r="N28" i="2"/>
  <c r="N4" i="2"/>
  <c r="V17" i="2"/>
  <c r="V18" i="2"/>
  <c r="V16" i="2"/>
  <c r="T17" i="2"/>
  <c r="T18" i="2"/>
  <c r="T16" i="2"/>
  <c r="V14" i="2"/>
  <c r="V15" i="2"/>
  <c r="V13" i="2"/>
  <c r="T14" i="2"/>
  <c r="T15" i="2"/>
  <c r="T13" i="2"/>
  <c r="V11" i="2"/>
  <c r="V12" i="2"/>
  <c r="V10" i="2"/>
  <c r="T11" i="2"/>
  <c r="T12" i="2"/>
  <c r="T10" i="2"/>
  <c r="V8" i="2"/>
  <c r="V9" i="2"/>
  <c r="V7" i="2"/>
  <c r="T8" i="2"/>
  <c r="T9" i="2"/>
  <c r="T7" i="2"/>
  <c r="V5" i="2"/>
  <c r="V6" i="2"/>
  <c r="V4" i="2"/>
  <c r="T5" i="2"/>
  <c r="T6" i="2"/>
  <c r="T4" i="2"/>
  <c r="J4" i="2"/>
  <c r="K4" i="2"/>
  <c r="L4" i="2"/>
  <c r="AB3" i="7"/>
  <c r="Z3" i="7"/>
  <c r="Y3" i="7"/>
  <c r="X3" i="7"/>
  <c r="M3" i="7"/>
  <c r="L3" i="7"/>
  <c r="K3" i="7"/>
  <c r="J3" i="7"/>
  <c r="AJ16" i="7"/>
  <c r="AJ17" i="7"/>
  <c r="AJ15" i="7"/>
  <c r="AJ13" i="7"/>
  <c r="AJ14" i="7"/>
  <c r="AJ12" i="7"/>
  <c r="AJ10" i="7"/>
  <c r="AJ11" i="7"/>
  <c r="AJ9" i="7"/>
  <c r="AJ7" i="7"/>
  <c r="AJ8" i="7"/>
  <c r="AJ6" i="7"/>
  <c r="AJ4" i="7"/>
  <c r="AJ5" i="7"/>
  <c r="AJ3" i="7"/>
  <c r="AH16" i="7"/>
  <c r="AH17" i="7"/>
  <c r="AH15" i="7"/>
  <c r="AH13" i="7"/>
  <c r="AH14" i="7"/>
  <c r="AH12" i="7"/>
  <c r="AH10" i="7"/>
  <c r="AH11" i="7"/>
  <c r="AH9" i="7"/>
  <c r="AH7" i="7"/>
  <c r="AH8" i="7"/>
  <c r="AH6" i="7"/>
  <c r="AH4" i="7"/>
  <c r="AH5" i="7"/>
  <c r="AH3" i="7"/>
  <c r="AD3" i="7"/>
  <c r="AE3" i="7"/>
  <c r="I30" i="3"/>
  <c r="I32" i="3"/>
  <c r="I31" i="3"/>
  <c r="N25" i="3"/>
  <c r="N24" i="3"/>
  <c r="S3" i="5"/>
  <c r="R5" i="7"/>
  <c r="R9" i="7"/>
  <c r="R13" i="7"/>
  <c r="R17" i="7"/>
  <c r="R21" i="7"/>
  <c r="R25" i="7"/>
  <c r="R29" i="7"/>
  <c r="R33" i="7"/>
  <c r="J29" i="7"/>
  <c r="K29" i="7" s="1"/>
  <c r="L29" i="7" s="1"/>
  <c r="J28" i="7"/>
  <c r="K28" i="7" s="1"/>
  <c r="L28" i="7" s="1"/>
  <c r="J27" i="7"/>
  <c r="K27" i="7" s="1"/>
  <c r="L27" i="7" s="1"/>
  <c r="J26" i="7"/>
  <c r="K26" i="7" s="1"/>
  <c r="L26" i="7" s="1"/>
  <c r="J25" i="7"/>
  <c r="K25" i="7" s="1"/>
  <c r="L25" i="7" s="1"/>
  <c r="J24" i="7"/>
  <c r="K24" i="7" s="1"/>
  <c r="L24" i="7" s="1"/>
  <c r="J23" i="7"/>
  <c r="K23" i="7" s="1"/>
  <c r="L23" i="7" s="1"/>
  <c r="J22" i="7"/>
  <c r="K22" i="7" s="1"/>
  <c r="L22" i="7" s="1"/>
  <c r="J21" i="7"/>
  <c r="K21" i="7" s="1"/>
  <c r="L21" i="7" s="1"/>
  <c r="J20" i="7"/>
  <c r="K20" i="7" s="1"/>
  <c r="L20" i="7" s="1"/>
  <c r="J19" i="7"/>
  <c r="K19" i="7" s="1"/>
  <c r="L19" i="7" s="1"/>
  <c r="J18" i="7"/>
  <c r="K18" i="7" s="1"/>
  <c r="L18" i="7" s="1"/>
  <c r="J17" i="7"/>
  <c r="K17" i="7" s="1"/>
  <c r="L17" i="7" s="1"/>
  <c r="J16" i="7"/>
  <c r="K16" i="7" s="1"/>
  <c r="L16" i="7" s="1"/>
  <c r="J15" i="7"/>
  <c r="K15" i="7" s="1"/>
  <c r="L15" i="7" s="1"/>
  <c r="J14" i="7"/>
  <c r="K14" i="7" s="1"/>
  <c r="L14" i="7" s="1"/>
  <c r="J13" i="7"/>
  <c r="K13" i="7" s="1"/>
  <c r="L13" i="7" s="1"/>
  <c r="J12" i="7"/>
  <c r="K12" i="7" s="1"/>
  <c r="L12" i="7" s="1"/>
  <c r="J11" i="7"/>
  <c r="K11" i="7" s="1"/>
  <c r="L11" i="7" s="1"/>
  <c r="J10" i="7"/>
  <c r="K10" i="7" s="1"/>
  <c r="L10" i="7" s="1"/>
  <c r="J9" i="7"/>
  <c r="K9" i="7" s="1"/>
  <c r="L9" i="7" s="1"/>
  <c r="J8" i="7"/>
  <c r="K8" i="7" s="1"/>
  <c r="L8" i="7" s="1"/>
  <c r="J7" i="7"/>
  <c r="K7" i="7" s="1"/>
  <c r="L7" i="7" s="1"/>
  <c r="J6" i="7"/>
  <c r="K6" i="7" s="1"/>
  <c r="L6" i="7" s="1"/>
  <c r="J5" i="7"/>
  <c r="K5" i="7" s="1"/>
  <c r="L5" i="7" s="1"/>
  <c r="J4" i="7"/>
  <c r="K4" i="7" s="1"/>
  <c r="L4" i="7" s="1"/>
  <c r="E3" i="6"/>
  <c r="R4" i="7" s="1"/>
  <c r="E4" i="6"/>
  <c r="E5" i="6"/>
  <c r="R6" i="7" s="1"/>
  <c r="E6" i="6"/>
  <c r="R7" i="7" s="1"/>
  <c r="E7" i="6"/>
  <c r="R8" i="7" s="1"/>
  <c r="E8" i="6"/>
  <c r="E9" i="6"/>
  <c r="R10" i="7" s="1"/>
  <c r="E10" i="6"/>
  <c r="R11" i="7" s="1"/>
  <c r="E11" i="6"/>
  <c r="R12" i="7" s="1"/>
  <c r="E12" i="6"/>
  <c r="E13" i="6"/>
  <c r="R14" i="7" s="1"/>
  <c r="E14" i="6"/>
  <c r="R15" i="7" s="1"/>
  <c r="E15" i="6"/>
  <c r="R16" i="7" s="1"/>
  <c r="E16" i="6"/>
  <c r="E17" i="6"/>
  <c r="R18" i="7" s="1"/>
  <c r="E18" i="6"/>
  <c r="R19" i="7" s="1"/>
  <c r="E19" i="6"/>
  <c r="R20" i="7" s="1"/>
  <c r="E20" i="6"/>
  <c r="E21" i="6"/>
  <c r="R22" i="7" s="1"/>
  <c r="E22" i="6"/>
  <c r="R23" i="7" s="1"/>
  <c r="E23" i="6"/>
  <c r="R24" i="7" s="1"/>
  <c r="E24" i="6"/>
  <c r="E25" i="6"/>
  <c r="R26" i="7" s="1"/>
  <c r="E26" i="6"/>
  <c r="R27" i="7" s="1"/>
  <c r="E27" i="6"/>
  <c r="R28" i="7" s="1"/>
  <c r="E28" i="6"/>
  <c r="E30" i="6"/>
  <c r="R31" i="7" s="1"/>
  <c r="E31" i="6"/>
  <c r="R32" i="7" s="1"/>
  <c r="E32" i="6"/>
  <c r="E33" i="6"/>
  <c r="R34" i="7" s="1"/>
  <c r="E2" i="6"/>
  <c r="R3" i="7" s="1"/>
  <c r="M27" i="7" l="1"/>
  <c r="J30" i="3"/>
  <c r="M15" i="7"/>
  <c r="M9" i="7"/>
  <c r="M21" i="7"/>
  <c r="M24" i="7"/>
  <c r="M6" i="7"/>
  <c r="M12" i="7"/>
  <c r="M18" i="7"/>
  <c r="C29" i="6" l="1"/>
  <c r="E29" i="6" s="1"/>
  <c r="R30" i="7" s="1"/>
  <c r="F22" i="4"/>
  <c r="F9" i="4"/>
  <c r="F4" i="4"/>
  <c r="P3" i="4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5" i="4"/>
  <c r="F3" i="4"/>
  <c r="Z4" i="5"/>
  <c r="AA4" i="5" s="1"/>
  <c r="Z5" i="5"/>
  <c r="AA5" i="5" s="1"/>
  <c r="Z8" i="5"/>
  <c r="AA8" i="5" s="1"/>
  <c r="Z9" i="5"/>
  <c r="AA9" i="5" s="1"/>
  <c r="Z12" i="5"/>
  <c r="AA12" i="5" s="1"/>
  <c r="Z13" i="5"/>
  <c r="AA13" i="5" s="1"/>
  <c r="Z16" i="5"/>
  <c r="AA16" i="5" s="1"/>
  <c r="Z17" i="5"/>
  <c r="AA17" i="5" s="1"/>
  <c r="Z20" i="5"/>
  <c r="AA20" i="5" s="1"/>
  <c r="Z21" i="5"/>
  <c r="AA21" i="5" s="1"/>
  <c r="Z24" i="5"/>
  <c r="AA24" i="5" s="1"/>
  <c r="Z25" i="5"/>
  <c r="AA25" i="5" s="1"/>
  <c r="Z28" i="5"/>
  <c r="AA28" i="5" s="1"/>
  <c r="Z29" i="5"/>
  <c r="AA29" i="5" s="1"/>
  <c r="K9" i="5"/>
  <c r="L9" i="5" s="1"/>
  <c r="K25" i="5"/>
  <c r="L25" i="5" s="1"/>
  <c r="J4" i="5"/>
  <c r="K4" i="5" s="1"/>
  <c r="L4" i="5" s="1"/>
  <c r="J5" i="5"/>
  <c r="K5" i="5" s="1"/>
  <c r="L5" i="5" s="1"/>
  <c r="J6" i="5"/>
  <c r="K6" i="5" s="1"/>
  <c r="L6" i="5" s="1"/>
  <c r="M6" i="5" s="1"/>
  <c r="J7" i="5"/>
  <c r="K7" i="5" s="1"/>
  <c r="L7" i="5" s="1"/>
  <c r="J8" i="5"/>
  <c r="K8" i="5" s="1"/>
  <c r="L8" i="5" s="1"/>
  <c r="J9" i="5"/>
  <c r="J10" i="5"/>
  <c r="K10" i="5" s="1"/>
  <c r="L10" i="5" s="1"/>
  <c r="J11" i="5"/>
  <c r="K11" i="5" s="1"/>
  <c r="L11" i="5" s="1"/>
  <c r="J12" i="5"/>
  <c r="K12" i="5" s="1"/>
  <c r="L12" i="5" s="1"/>
  <c r="J13" i="5"/>
  <c r="K13" i="5" s="1"/>
  <c r="L13" i="5" s="1"/>
  <c r="J14" i="5"/>
  <c r="K14" i="5" s="1"/>
  <c r="L14" i="5" s="1"/>
  <c r="J15" i="5"/>
  <c r="K15" i="5" s="1"/>
  <c r="L15" i="5" s="1"/>
  <c r="J16" i="5"/>
  <c r="K16" i="5" s="1"/>
  <c r="L16" i="5" s="1"/>
  <c r="J17" i="5"/>
  <c r="K17" i="5" s="1"/>
  <c r="L17" i="5" s="1"/>
  <c r="J18" i="5"/>
  <c r="K18" i="5" s="1"/>
  <c r="L18" i="5" s="1"/>
  <c r="M18" i="5" s="1"/>
  <c r="J19" i="5"/>
  <c r="K19" i="5" s="1"/>
  <c r="L19" i="5" s="1"/>
  <c r="J20" i="5"/>
  <c r="K20" i="5" s="1"/>
  <c r="L20" i="5" s="1"/>
  <c r="J21" i="5"/>
  <c r="K21" i="5" s="1"/>
  <c r="L21" i="5" s="1"/>
  <c r="J22" i="5"/>
  <c r="K22" i="5" s="1"/>
  <c r="L22" i="5" s="1"/>
  <c r="J23" i="5"/>
  <c r="K23" i="5" s="1"/>
  <c r="L23" i="5" s="1"/>
  <c r="J24" i="5"/>
  <c r="K24" i="5" s="1"/>
  <c r="L24" i="5" s="1"/>
  <c r="J25" i="5"/>
  <c r="J26" i="5"/>
  <c r="K26" i="5" s="1"/>
  <c r="L26" i="5" s="1"/>
  <c r="J27" i="5"/>
  <c r="K27" i="5" s="1"/>
  <c r="L27" i="5" s="1"/>
  <c r="J28" i="5"/>
  <c r="K28" i="5" s="1"/>
  <c r="L28" i="5" s="1"/>
  <c r="J29" i="5"/>
  <c r="K29" i="5" s="1"/>
  <c r="L29" i="5" s="1"/>
  <c r="J3" i="5"/>
  <c r="K3" i="5" s="1"/>
  <c r="L3" i="5" s="1"/>
  <c r="Y4" i="5"/>
  <c r="Y5" i="5"/>
  <c r="Y6" i="5"/>
  <c r="Z6" i="5" s="1"/>
  <c r="AA6" i="5" s="1"/>
  <c r="AB6" i="5" s="1"/>
  <c r="Y7" i="5"/>
  <c r="Z7" i="5" s="1"/>
  <c r="AA7" i="5" s="1"/>
  <c r="Y8" i="5"/>
  <c r="Y9" i="5"/>
  <c r="Y10" i="5"/>
  <c r="Z10" i="5" s="1"/>
  <c r="AA10" i="5" s="1"/>
  <c r="Y11" i="5"/>
  <c r="Z11" i="5" s="1"/>
  <c r="AA11" i="5" s="1"/>
  <c r="Y12" i="5"/>
  <c r="Y13" i="5"/>
  <c r="Y14" i="5"/>
  <c r="Z14" i="5" s="1"/>
  <c r="AA14" i="5" s="1"/>
  <c r="Y15" i="5"/>
  <c r="Z15" i="5" s="1"/>
  <c r="AA15" i="5" s="1"/>
  <c r="AB15" i="5" s="1"/>
  <c r="Y16" i="5"/>
  <c r="Y17" i="5"/>
  <c r="Y18" i="5"/>
  <c r="Z18" i="5" s="1"/>
  <c r="AA18" i="5" s="1"/>
  <c r="AB18" i="5" s="1"/>
  <c r="Y19" i="5"/>
  <c r="Z19" i="5" s="1"/>
  <c r="AA19" i="5" s="1"/>
  <c r="Y20" i="5"/>
  <c r="Y21" i="5"/>
  <c r="Y22" i="5"/>
  <c r="Z22" i="5" s="1"/>
  <c r="AA22" i="5" s="1"/>
  <c r="Y23" i="5"/>
  <c r="Z23" i="5" s="1"/>
  <c r="AA23" i="5" s="1"/>
  <c r="Y24" i="5"/>
  <c r="Y25" i="5"/>
  <c r="Y26" i="5"/>
  <c r="Z26" i="5" s="1"/>
  <c r="AA26" i="5" s="1"/>
  <c r="Y27" i="5"/>
  <c r="Z27" i="5" s="1"/>
  <c r="AA27" i="5" s="1"/>
  <c r="Y28" i="5"/>
  <c r="Y29" i="5"/>
  <c r="Y3" i="5"/>
  <c r="Z3" i="5" s="1"/>
  <c r="AA3" i="5" s="1"/>
  <c r="AB3" i="5" s="1"/>
  <c r="S24" i="5"/>
  <c r="S25" i="5"/>
  <c r="S26" i="5"/>
  <c r="S27" i="5"/>
  <c r="S28" i="5"/>
  <c r="S29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P25" i="3"/>
  <c r="V16" i="3" s="1"/>
  <c r="P24" i="3"/>
  <c r="V15" i="3" s="1"/>
  <c r="AB9" i="5" l="1"/>
  <c r="AB21" i="5"/>
  <c r="AB12" i="5"/>
  <c r="AB27" i="5"/>
  <c r="AB24" i="5"/>
  <c r="M9" i="5"/>
  <c r="X7" i="7"/>
  <c r="Y7" i="7" s="1"/>
  <c r="Z7" i="7" s="1"/>
  <c r="AB7" i="7" s="1"/>
  <c r="AD7" i="7" s="1"/>
  <c r="X28" i="7"/>
  <c r="Y28" i="7" s="1"/>
  <c r="Z28" i="7" s="1"/>
  <c r="AB28" i="7" s="1"/>
  <c r="AD28" i="7" s="1"/>
  <c r="X12" i="7"/>
  <c r="Y12" i="7" s="1"/>
  <c r="Z12" i="7" s="1"/>
  <c r="X25" i="7"/>
  <c r="Y25" i="7" s="1"/>
  <c r="Z25" i="7" s="1"/>
  <c r="AB25" i="7" s="1"/>
  <c r="AD25" i="7" s="1"/>
  <c r="X9" i="7"/>
  <c r="Y9" i="7" s="1"/>
  <c r="Z9" i="7" s="1"/>
  <c r="X4" i="7"/>
  <c r="Y4" i="7" s="1"/>
  <c r="Z4" i="7" s="1"/>
  <c r="AB4" i="7" s="1"/>
  <c r="AD4" i="7" s="1"/>
  <c r="X14" i="7"/>
  <c r="Y14" i="7" s="1"/>
  <c r="Z14" i="7" s="1"/>
  <c r="AB14" i="7" s="1"/>
  <c r="AD14" i="7" s="1"/>
  <c r="X15" i="7"/>
  <c r="Y15" i="7" s="1"/>
  <c r="Z15" i="7" s="1"/>
  <c r="X22" i="7"/>
  <c r="Y22" i="7" s="1"/>
  <c r="Z22" i="7" s="1"/>
  <c r="AB22" i="7" s="1"/>
  <c r="AD22" i="7" s="1"/>
  <c r="X6" i="7"/>
  <c r="Y6" i="7" s="1"/>
  <c r="Z6" i="7" s="1"/>
  <c r="X23" i="7"/>
  <c r="Y23" i="7" s="1"/>
  <c r="Z23" i="7" s="1"/>
  <c r="AB23" i="7" s="1"/>
  <c r="AD23" i="7" s="1"/>
  <c r="X16" i="7"/>
  <c r="Y16" i="7" s="1"/>
  <c r="Z16" i="7" s="1"/>
  <c r="AB16" i="7" s="1"/>
  <c r="AD16" i="7" s="1"/>
  <c r="X29" i="7"/>
  <c r="Y29" i="7" s="1"/>
  <c r="Z29" i="7" s="1"/>
  <c r="AB29" i="7" s="1"/>
  <c r="AD29" i="7" s="1"/>
  <c r="X13" i="7"/>
  <c r="Y13" i="7" s="1"/>
  <c r="Z13" i="7" s="1"/>
  <c r="AB13" i="7" s="1"/>
  <c r="AD13" i="7" s="1"/>
  <c r="X18" i="7"/>
  <c r="Y18" i="7" s="1"/>
  <c r="Z18" i="7" s="1"/>
  <c r="X19" i="7"/>
  <c r="Y19" i="7" s="1"/>
  <c r="Z19" i="7" s="1"/>
  <c r="AB19" i="7" s="1"/>
  <c r="AD19" i="7" s="1"/>
  <c r="X24" i="7"/>
  <c r="Y24" i="7" s="1"/>
  <c r="Z24" i="7" s="1"/>
  <c r="X21" i="7"/>
  <c r="Y21" i="7" s="1"/>
  <c r="Z21" i="7" s="1"/>
  <c r="X5" i="7"/>
  <c r="Y5" i="7" s="1"/>
  <c r="Z5" i="7" s="1"/>
  <c r="AB5" i="7" s="1"/>
  <c r="AD5" i="7" s="1"/>
  <c r="X26" i="7"/>
  <c r="Y26" i="7" s="1"/>
  <c r="Z26" i="7" s="1"/>
  <c r="AB26" i="7" s="1"/>
  <c r="AD26" i="7" s="1"/>
  <c r="X10" i="7"/>
  <c r="Y10" i="7" s="1"/>
  <c r="Z10" i="7" s="1"/>
  <c r="AB10" i="7" s="1"/>
  <c r="AD10" i="7" s="1"/>
  <c r="X27" i="7"/>
  <c r="Y27" i="7" s="1"/>
  <c r="Z27" i="7" s="1"/>
  <c r="X11" i="7"/>
  <c r="Y11" i="7" s="1"/>
  <c r="Z11" i="7" s="1"/>
  <c r="AB11" i="7" s="1"/>
  <c r="AD11" i="7" s="1"/>
  <c r="X20" i="7"/>
  <c r="Y20" i="7" s="1"/>
  <c r="Z20" i="7" s="1"/>
  <c r="AB20" i="7" s="1"/>
  <c r="AD20" i="7" s="1"/>
  <c r="X8" i="7"/>
  <c r="Y8" i="7" s="1"/>
  <c r="Z8" i="7" s="1"/>
  <c r="AB8" i="7" s="1"/>
  <c r="AD8" i="7" s="1"/>
  <c r="X17" i="7"/>
  <c r="Y17" i="7" s="1"/>
  <c r="Z17" i="7" s="1"/>
  <c r="AB17" i="7" s="1"/>
  <c r="AD17" i="7" s="1"/>
  <c r="M3" i="5"/>
  <c r="M12" i="5"/>
  <c r="M21" i="5"/>
  <c r="M27" i="5"/>
  <c r="M15" i="5"/>
  <c r="M24" i="5"/>
  <c r="G25" i="1"/>
  <c r="G26" i="1"/>
  <c r="H26" i="1" s="1"/>
  <c r="I26" i="1" s="1"/>
  <c r="G27" i="1"/>
  <c r="G28" i="1"/>
  <c r="G3" i="1"/>
  <c r="G4" i="1"/>
  <c r="G5" i="1"/>
  <c r="H5" i="1" s="1"/>
  <c r="I5" i="1" s="1"/>
  <c r="G6" i="1"/>
  <c r="G7" i="1"/>
  <c r="G8" i="1"/>
  <c r="H8" i="1" s="1"/>
  <c r="I8" i="1" s="1"/>
  <c r="G9" i="1"/>
  <c r="G10" i="1"/>
  <c r="G11" i="1"/>
  <c r="H11" i="1" s="1"/>
  <c r="I11" i="1" s="1"/>
  <c r="G12" i="1"/>
  <c r="G13" i="1"/>
  <c r="G14" i="1"/>
  <c r="H14" i="1" s="1"/>
  <c r="I14" i="1" s="1"/>
  <c r="G15" i="1"/>
  <c r="G16" i="1"/>
  <c r="G17" i="1"/>
  <c r="H17" i="1" s="1"/>
  <c r="I17" i="1" s="1"/>
  <c r="G18" i="1"/>
  <c r="G19" i="1"/>
  <c r="G20" i="1"/>
  <c r="H20" i="1" s="1"/>
  <c r="I20" i="1" s="1"/>
  <c r="G21" i="1"/>
  <c r="G22" i="1"/>
  <c r="G23" i="1"/>
  <c r="H23" i="1" s="1"/>
  <c r="I23" i="1" s="1"/>
  <c r="G24" i="1"/>
  <c r="G2" i="1"/>
  <c r="H2" i="1" s="1"/>
  <c r="I2" i="1" s="1"/>
  <c r="I24" i="4" l="1"/>
  <c r="J23" i="1"/>
  <c r="I3" i="4"/>
  <c r="J2" i="1"/>
  <c r="I6" i="4"/>
  <c r="J5" i="1"/>
  <c r="I12" i="4"/>
  <c r="J11" i="1"/>
  <c r="I15" i="4"/>
  <c r="J14" i="1"/>
  <c r="I18" i="4"/>
  <c r="J17" i="1"/>
  <c r="I21" i="4"/>
  <c r="J20" i="1"/>
  <c r="I9" i="4"/>
  <c r="J8" i="1"/>
  <c r="I27" i="4"/>
  <c r="J26" i="1"/>
  <c r="AA3" i="7"/>
  <c r="AB6" i="7"/>
  <c r="AD6" i="7" s="1"/>
  <c r="AA6" i="7"/>
  <c r="AB24" i="7"/>
  <c r="AD24" i="7" s="1"/>
  <c r="AA24" i="7"/>
  <c r="AA9" i="7"/>
  <c r="AB9" i="7"/>
  <c r="AD9" i="7" s="1"/>
  <c r="AB15" i="7"/>
  <c r="AD15" i="7" s="1"/>
  <c r="AA15" i="7"/>
  <c r="AB27" i="7"/>
  <c r="AD27" i="7" s="1"/>
  <c r="AF27" i="7" s="1"/>
  <c r="AA27" i="7"/>
  <c r="AB21" i="7"/>
  <c r="AD21" i="7" s="1"/>
  <c r="AA21" i="7"/>
  <c r="AB18" i="7"/>
  <c r="AD18" i="7" s="1"/>
  <c r="AA18" i="7"/>
  <c r="AB12" i="7"/>
  <c r="AD12" i="7" s="1"/>
  <c r="AE12" i="7" s="1"/>
  <c r="AA12" i="7"/>
  <c r="F30" i="4"/>
  <c r="AE9" i="7" l="1"/>
  <c r="AF9" i="7"/>
  <c r="AF24" i="7"/>
  <c r="AE24" i="7"/>
  <c r="AE18" i="7"/>
  <c r="AF18" i="7"/>
  <c r="AE27" i="7"/>
  <c r="AF6" i="7"/>
  <c r="AE6" i="7"/>
  <c r="AF3" i="7"/>
  <c r="AF21" i="7"/>
  <c r="AE21" i="7"/>
  <c r="AE15" i="7"/>
  <c r="AF15" i="7"/>
  <c r="AF12" i="7"/>
  <c r="P4" i="4"/>
  <c r="P5" i="4"/>
  <c r="P6" i="4"/>
  <c r="G6" i="4" l="1"/>
  <c r="H6" i="4" s="1"/>
  <c r="G10" i="4"/>
  <c r="H10" i="4" s="1"/>
  <c r="G14" i="4"/>
  <c r="H14" i="4" s="1"/>
  <c r="G18" i="4"/>
  <c r="H18" i="4" s="1"/>
  <c r="G22" i="4"/>
  <c r="H22" i="4" s="1"/>
  <c r="G27" i="4"/>
  <c r="H27" i="4" s="1"/>
  <c r="G5" i="4"/>
  <c r="H5" i="4" s="1"/>
  <c r="G9" i="4"/>
  <c r="H9" i="4" s="1"/>
  <c r="G13" i="4"/>
  <c r="H13" i="4" s="1"/>
  <c r="G17" i="4"/>
  <c r="H17" i="4" s="1"/>
  <c r="G21" i="4"/>
  <c r="H21" i="4" s="1"/>
  <c r="G26" i="4"/>
  <c r="H26" i="4" s="1"/>
  <c r="G30" i="4"/>
  <c r="G3" i="4"/>
  <c r="G4" i="4"/>
  <c r="H4" i="4" s="1"/>
  <c r="G8" i="4"/>
  <c r="H8" i="4" s="1"/>
  <c r="G12" i="4"/>
  <c r="H12" i="4" s="1"/>
  <c r="G16" i="4"/>
  <c r="H16" i="4" s="1"/>
  <c r="G20" i="4"/>
  <c r="H20" i="4" s="1"/>
  <c r="G24" i="4"/>
  <c r="H24" i="4" s="1"/>
  <c r="G29" i="4"/>
  <c r="H29" i="4" s="1"/>
  <c r="G25" i="4"/>
  <c r="H25" i="4" s="1"/>
  <c r="G7" i="4"/>
  <c r="H7" i="4" s="1"/>
  <c r="G11" i="4"/>
  <c r="H11" i="4" s="1"/>
  <c r="G15" i="4"/>
  <c r="H15" i="4" s="1"/>
  <c r="G19" i="4"/>
  <c r="H19" i="4" s="1"/>
  <c r="G23" i="4"/>
  <c r="H23" i="4" s="1"/>
  <c r="G28" i="4"/>
  <c r="H28" i="4" s="1"/>
  <c r="K3" i="4" l="1"/>
  <c r="J3" i="4"/>
  <c r="K12" i="4"/>
  <c r="J12" i="4"/>
  <c r="J21" i="4"/>
  <c r="K21" i="4"/>
  <c r="K24" i="4"/>
  <c r="J24" i="4"/>
  <c r="J18" i="4"/>
  <c r="K18" i="4"/>
  <c r="K27" i="4"/>
  <c r="J27" i="4"/>
  <c r="J6" i="4"/>
  <c r="K6" i="4"/>
  <c r="J9" i="4"/>
  <c r="K9" i="4"/>
  <c r="J15" i="4"/>
  <c r="K15" i="4"/>
  <c r="I3" i="3"/>
  <c r="I29" i="3"/>
  <c r="I28" i="3"/>
  <c r="I37" i="3"/>
  <c r="I36" i="3"/>
  <c r="I35" i="3"/>
  <c r="I34" i="3"/>
  <c r="I33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L21" i="3" l="1"/>
  <c r="K30" i="3"/>
  <c r="J12" i="3"/>
  <c r="K12" i="3" s="1"/>
  <c r="L26" i="3"/>
  <c r="L3" i="3"/>
  <c r="J6" i="3"/>
  <c r="K6" i="3" s="1"/>
  <c r="J18" i="3"/>
  <c r="K18" i="3" s="1"/>
  <c r="J9" i="3"/>
  <c r="K9" i="3" s="1"/>
  <c r="J21" i="3"/>
  <c r="K21" i="3" s="1"/>
  <c r="J3" i="3"/>
  <c r="K3" i="3" s="1"/>
  <c r="J24" i="3"/>
  <c r="K24" i="3" s="1"/>
  <c r="J15" i="3"/>
  <c r="K15" i="3" s="1"/>
  <c r="J27" i="3"/>
  <c r="K27" i="3" s="1"/>
  <c r="L24" i="3"/>
  <c r="L19" i="3"/>
  <c r="L11" i="3"/>
  <c r="L29" i="3"/>
  <c r="L6" i="3"/>
  <c r="L17" i="3"/>
  <c r="L13" i="3"/>
  <c r="L9" i="3"/>
  <c r="L27" i="3"/>
  <c r="L23" i="3"/>
  <c r="L5" i="3"/>
  <c r="L20" i="3"/>
  <c r="L16" i="3"/>
  <c r="L12" i="3"/>
  <c r="L8" i="3"/>
  <c r="L4" i="3"/>
  <c r="L15" i="3"/>
  <c r="L25" i="3"/>
  <c r="L7" i="3"/>
  <c r="L22" i="3"/>
  <c r="L18" i="3"/>
  <c r="L14" i="3"/>
  <c r="L10" i="3"/>
  <c r="L28" i="3"/>
  <c r="M21" i="3" l="1"/>
  <c r="N21" i="3" s="1"/>
  <c r="M26" i="3"/>
  <c r="M14" i="3"/>
  <c r="M7" i="3"/>
  <c r="M29" i="3"/>
  <c r="M10" i="3"/>
  <c r="M15" i="3"/>
  <c r="M27" i="3"/>
  <c r="M18" i="3"/>
  <c r="M12" i="3"/>
  <c r="M23" i="3"/>
  <c r="M17" i="3"/>
  <c r="M8" i="3"/>
  <c r="M5" i="3"/>
  <c r="M11" i="3"/>
  <c r="M3" i="3"/>
  <c r="M4" i="3"/>
  <c r="M16" i="3"/>
  <c r="M9" i="3"/>
  <c r="M6" i="3"/>
  <c r="M28" i="3"/>
  <c r="M22" i="3"/>
  <c r="M20" i="3"/>
  <c r="M13" i="3"/>
  <c r="M19" i="3"/>
  <c r="K28" i="2"/>
  <c r="L28" i="2" s="1"/>
  <c r="J25" i="2"/>
  <c r="K25" i="2" s="1"/>
  <c r="L25" i="2" s="1"/>
  <c r="J26" i="2"/>
  <c r="K26" i="2" s="1"/>
  <c r="L26" i="2" s="1"/>
  <c r="J27" i="2"/>
  <c r="K27" i="2" s="1"/>
  <c r="L27" i="2" s="1"/>
  <c r="J28" i="2"/>
  <c r="J29" i="2"/>
  <c r="K29" i="2" s="1"/>
  <c r="L29" i="2" s="1"/>
  <c r="J30" i="2"/>
  <c r="K30" i="2" s="1"/>
  <c r="L30" i="2" s="1"/>
  <c r="J13" i="2"/>
  <c r="K13" i="2" s="1"/>
  <c r="L13" i="2" s="1"/>
  <c r="O13" i="2" s="1"/>
  <c r="J14" i="2"/>
  <c r="K14" i="2" s="1"/>
  <c r="L14" i="2" s="1"/>
  <c r="J15" i="2"/>
  <c r="K15" i="2" s="1"/>
  <c r="L15" i="2" s="1"/>
  <c r="J16" i="2"/>
  <c r="K16" i="2" s="1"/>
  <c r="L16" i="2" s="1"/>
  <c r="O16" i="2" s="1"/>
  <c r="J17" i="2"/>
  <c r="K17" i="2" s="1"/>
  <c r="L17" i="2" s="1"/>
  <c r="J18" i="2"/>
  <c r="K18" i="2" s="1"/>
  <c r="L18" i="2" s="1"/>
  <c r="J19" i="2"/>
  <c r="K19" i="2" s="1"/>
  <c r="L19" i="2" s="1"/>
  <c r="J20" i="2"/>
  <c r="K20" i="2" s="1"/>
  <c r="L20" i="2" s="1"/>
  <c r="J21" i="2"/>
  <c r="K21" i="2" s="1"/>
  <c r="L21" i="2" s="1"/>
  <c r="J22" i="2"/>
  <c r="K22" i="2" s="1"/>
  <c r="L22" i="2" s="1"/>
  <c r="J23" i="2"/>
  <c r="K23" i="2" s="1"/>
  <c r="L23" i="2" s="1"/>
  <c r="J24" i="2"/>
  <c r="K24" i="2" s="1"/>
  <c r="L24" i="2" s="1"/>
  <c r="J5" i="2"/>
  <c r="K5" i="2" s="1"/>
  <c r="L5" i="2" s="1"/>
  <c r="J6" i="2"/>
  <c r="K6" i="2" s="1"/>
  <c r="L6" i="2" s="1"/>
  <c r="J7" i="2"/>
  <c r="K7" i="2" s="1"/>
  <c r="L7" i="2" s="1"/>
  <c r="J8" i="2"/>
  <c r="K8" i="2" s="1"/>
  <c r="L8" i="2" s="1"/>
  <c r="J9" i="2"/>
  <c r="K9" i="2" s="1"/>
  <c r="L9" i="2" s="1"/>
  <c r="J10" i="2"/>
  <c r="K10" i="2" s="1"/>
  <c r="L10" i="2" s="1"/>
  <c r="O10" i="2" s="1"/>
  <c r="J11" i="2"/>
  <c r="K11" i="2" s="1"/>
  <c r="L11" i="2" s="1"/>
  <c r="J12" i="2"/>
  <c r="K12" i="2" s="1"/>
  <c r="L12" i="2" s="1"/>
  <c r="F4" i="1"/>
  <c r="F12" i="1"/>
  <c r="F20" i="1"/>
  <c r="E3" i="1"/>
  <c r="F3" i="1" s="1"/>
  <c r="E4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" i="1"/>
  <c r="F2" i="1" s="1"/>
  <c r="O22" i="2" l="1"/>
  <c r="O4" i="2"/>
  <c r="O28" i="2"/>
  <c r="O7" i="2"/>
  <c r="O19" i="2"/>
  <c r="O25" i="2"/>
  <c r="N19" i="3"/>
  <c r="P19" i="3"/>
  <c r="V10" i="3" s="1"/>
  <c r="N28" i="3"/>
  <c r="P28" i="3"/>
  <c r="T16" i="3" s="1"/>
  <c r="N4" i="3"/>
  <c r="P4" i="3"/>
  <c r="N8" i="3"/>
  <c r="P8" i="3"/>
  <c r="V8" i="3" s="1"/>
  <c r="N18" i="3"/>
  <c r="P18" i="3"/>
  <c r="V9" i="3" s="1"/>
  <c r="P21" i="3"/>
  <c r="N26" i="3"/>
  <c r="P26" i="3"/>
  <c r="V17" i="3" s="1"/>
  <c r="N22" i="3"/>
  <c r="P22" i="3"/>
  <c r="N16" i="3"/>
  <c r="P16" i="3"/>
  <c r="T13" i="3" s="1"/>
  <c r="N5" i="3"/>
  <c r="P5" i="3"/>
  <c r="N12" i="3"/>
  <c r="P12" i="3"/>
  <c r="N10" i="3"/>
  <c r="P10" i="3"/>
  <c r="T7" i="3" s="1"/>
  <c r="N14" i="3"/>
  <c r="P14" i="3"/>
  <c r="T11" i="3" s="1"/>
  <c r="N20" i="3"/>
  <c r="P20" i="3"/>
  <c r="V11" i="3" s="1"/>
  <c r="N9" i="3"/>
  <c r="P9" i="3"/>
  <c r="N11" i="3"/>
  <c r="P11" i="3"/>
  <c r="T8" i="3" s="1"/>
  <c r="N23" i="3"/>
  <c r="P23" i="3"/>
  <c r="N15" i="3"/>
  <c r="P15" i="3"/>
  <c r="T12" i="3" s="1"/>
  <c r="N7" i="3"/>
  <c r="P7" i="3"/>
  <c r="V7" i="3" s="1"/>
  <c r="N13" i="3"/>
  <c r="P13" i="3"/>
  <c r="T10" i="3" s="1"/>
  <c r="N6" i="3"/>
  <c r="P6" i="3"/>
  <c r="V6" i="3" s="1"/>
  <c r="N3" i="3"/>
  <c r="P3" i="3"/>
  <c r="N17" i="3"/>
  <c r="P17" i="3"/>
  <c r="T14" i="3" s="1"/>
  <c r="N27" i="3"/>
  <c r="P27" i="3"/>
  <c r="T15" i="3" s="1"/>
  <c r="N29" i="3"/>
  <c r="P29" i="3"/>
  <c r="T17" i="3" s="1"/>
  <c r="T6" i="3" l="1"/>
  <c r="Q9" i="3"/>
  <c r="T9" i="3"/>
  <c r="Q12" i="3"/>
  <c r="T3" i="3"/>
  <c r="V3" i="3"/>
  <c r="T5" i="3"/>
  <c r="V5" i="3"/>
  <c r="R21" i="3"/>
  <c r="Q21" i="3"/>
  <c r="V4" i="3"/>
  <c r="T4" i="3"/>
  <c r="R6" i="3"/>
  <c r="Q6" i="3"/>
  <c r="R18" i="3"/>
  <c r="Q18" i="3"/>
  <c r="R9" i="3"/>
  <c r="R12" i="3"/>
  <c r="Q24" i="3"/>
  <c r="R24" i="3"/>
  <c r="R27" i="3"/>
  <c r="Q27" i="3"/>
  <c r="Q3" i="3"/>
  <c r="R3" i="3"/>
  <c r="R15" i="3"/>
  <c r="Q15" i="3"/>
</calcChain>
</file>

<file path=xl/sharedStrings.xml><?xml version="1.0" encoding="utf-8"?>
<sst xmlns="http://schemas.openxmlformats.org/spreadsheetml/2006/main" count="469" uniqueCount="93">
  <si>
    <t>Fresh soil (g)</t>
  </si>
  <si>
    <t>Dry soil (g)</t>
  </si>
  <si>
    <t>Moisture (g)</t>
  </si>
  <si>
    <t>%age</t>
  </si>
  <si>
    <t>Treatment</t>
  </si>
  <si>
    <t>DW</t>
  </si>
  <si>
    <t>T1</t>
  </si>
  <si>
    <t>DW+litter</t>
  </si>
  <si>
    <t>T2</t>
  </si>
  <si>
    <t>dye</t>
  </si>
  <si>
    <t>T3</t>
  </si>
  <si>
    <t>dye +bacteria</t>
  </si>
  <si>
    <t>T4</t>
  </si>
  <si>
    <t>supernatant</t>
  </si>
  <si>
    <t>T5</t>
  </si>
  <si>
    <t>dye+litter</t>
  </si>
  <si>
    <t>T6</t>
  </si>
  <si>
    <t>dye+bacteria+litter</t>
  </si>
  <si>
    <t>T7</t>
  </si>
  <si>
    <t>supernatant+litter</t>
  </si>
  <si>
    <t>T8</t>
  </si>
  <si>
    <t>bacteria</t>
  </si>
  <si>
    <t>T10</t>
  </si>
  <si>
    <t>Sample ID</t>
  </si>
  <si>
    <t>Ferrous ammonium sulphate for blank (mL)</t>
  </si>
  <si>
    <t>Ferrous ammonium sulphate for sample (mL)</t>
  </si>
  <si>
    <t>Wt of moist soil sample (g)</t>
  </si>
  <si>
    <t>Moisture content (%)</t>
  </si>
  <si>
    <t>Wt of soil on oven dry basis (g)</t>
  </si>
  <si>
    <t>Total volume (mL)</t>
  </si>
  <si>
    <t>Volume of sample for analysis (mL)</t>
  </si>
  <si>
    <t>WEOC (mg/mL)</t>
  </si>
  <si>
    <t>WEOC (mg/L)</t>
  </si>
  <si>
    <t>WEOC (mg C/kg soil)</t>
  </si>
  <si>
    <t>mean</t>
  </si>
  <si>
    <t>MEAN</t>
  </si>
  <si>
    <t>means treatments</t>
  </si>
  <si>
    <t xml:space="preserve">corrected </t>
  </si>
  <si>
    <t>NO3-N ug/g soil</t>
  </si>
  <si>
    <t>B</t>
  </si>
  <si>
    <t>S0</t>
  </si>
  <si>
    <t>S2</t>
  </si>
  <si>
    <t>S4</t>
  </si>
  <si>
    <t>S8</t>
  </si>
  <si>
    <t>S10</t>
  </si>
  <si>
    <t xml:space="preserve">ammonium results </t>
  </si>
  <si>
    <t>ABSORBANCE</t>
  </si>
  <si>
    <t>CONC.ugN</t>
  </si>
  <si>
    <t>Dry soil in 1 g moist soi</t>
  </si>
  <si>
    <t>S.CONCENTRATION</t>
  </si>
  <si>
    <t>Gravitational moisture</t>
  </si>
  <si>
    <t>average</t>
  </si>
  <si>
    <t>Dry soil in 1 g moist soil</t>
  </si>
  <si>
    <t>blank</t>
  </si>
  <si>
    <t>SE</t>
  </si>
  <si>
    <t>dry soil in 10 g moist soil</t>
  </si>
  <si>
    <t>non fumigated</t>
  </si>
  <si>
    <t>fumigated</t>
  </si>
  <si>
    <t>sample ID</t>
  </si>
  <si>
    <t>Dilution (20)</t>
  </si>
  <si>
    <t xml:space="preserve">Actual Fe NH4 SO4 </t>
  </si>
  <si>
    <t>Difference Between Fumigated and non-fumigated C</t>
  </si>
  <si>
    <t>Net Biomass C extracted</t>
  </si>
  <si>
    <t>Extraction Factor</t>
  </si>
  <si>
    <t>Biomass C (mg C/kg of soil)</t>
  </si>
  <si>
    <t>Mean MBC</t>
  </si>
  <si>
    <t>T Code</t>
  </si>
  <si>
    <t>ugN.g/g dry soil</t>
  </si>
  <si>
    <t>Trtmnt w/o Litter</t>
  </si>
  <si>
    <t>MBC w/o litter</t>
  </si>
  <si>
    <t>Trtment with litter</t>
  </si>
  <si>
    <t>MBC with litter</t>
  </si>
  <si>
    <t>Control</t>
  </si>
  <si>
    <t>Litter</t>
  </si>
  <si>
    <t>Bacteria</t>
  </si>
  <si>
    <t>Liter</t>
  </si>
  <si>
    <t>Dye</t>
  </si>
  <si>
    <t>Supernatant</t>
  </si>
  <si>
    <t>Dye + Bacteria</t>
  </si>
  <si>
    <t>Dye + Litter</t>
  </si>
  <si>
    <t>Trt w/o litter</t>
  </si>
  <si>
    <t>WEOC w/o litter</t>
  </si>
  <si>
    <t>Trt with litter</t>
  </si>
  <si>
    <t>WEOC with litter</t>
  </si>
  <si>
    <t>Supernatant + Litter</t>
  </si>
  <si>
    <t>Dye + Litter + Bacteria</t>
  </si>
  <si>
    <t>Mean</t>
  </si>
  <si>
    <t>NO3 w/o litter</t>
  </si>
  <si>
    <t>Trtment w/o litter</t>
  </si>
  <si>
    <t>NO3 w litter</t>
  </si>
  <si>
    <t>trtment w litter</t>
  </si>
  <si>
    <t>NH4 w/o litter</t>
  </si>
  <si>
    <t>NH4 w litter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</si>
</sst>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0" fontId="0" fillId="2" borderId="0" xfId="0" applyFill="1"/>
    <xf numFmtId="9" fontId="0" fillId="0" borderId="0" xfId="1" applyFont="1"/>
    <xf numFmtId="9" fontId="0" fillId="0" borderId="0" xfId="0" applyNumberFormat="1"/>
    <xf numFmtId="2" fontId="0" fillId="2" borderId="0" xfId="0" applyNumberFormat="1" applyFill="1"/>
    <xf numFmtId="2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165" fontId="1" fillId="0" borderId="0" xfId="0" applyNumberFormat="1" applyFont="1"/>
    <xf numFmtId="1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ABSORBANCE VS. CONCENTRAION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ammonium!$L$3:$L$6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xVal>
          <c:yVal>
            <c:numRef>
              <c:f>ammonium!$P$3:$P$6</c:f>
              <c:numCache>
                <c:formatCode>General</c:formatCode>
                <c:ptCount val="4"/>
                <c:pt idx="0">
                  <c:v>0.76633333333333331</c:v>
                </c:pt>
                <c:pt idx="1">
                  <c:v>0.63500000000000001</c:v>
                </c:pt>
                <c:pt idx="2">
                  <c:v>0.59666666666666668</c:v>
                </c:pt>
                <c:pt idx="3">
                  <c:v>0.56999999999999995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091408"/>
        <c:axId val="380849520"/>
      </c:scatterChart>
      <c:valAx>
        <c:axId val="38109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617497812773577"/>
              <c:y val="0.878680373286674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0849520"/>
        <c:crosses val="autoZero"/>
        <c:crossBetween val="midCat"/>
      </c:valAx>
      <c:valAx>
        <c:axId val="38084952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1091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13</xdr:row>
      <xdr:rowOff>171450</xdr:rowOff>
    </xdr:from>
    <xdr:to>
      <xdr:col>26</xdr:col>
      <xdr:colOff>342900</xdr:colOff>
      <xdr:row>30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8" sqref="J8:J11"/>
    </sheetView>
  </sheetViews>
  <sheetFormatPr defaultRowHeight="15" x14ac:dyDescent="0.25"/>
  <cols>
    <col min="1" max="1" width="21.85546875" customWidth="1"/>
    <col min="2" max="2" width="20.85546875" customWidth="1"/>
    <col min="3" max="3" width="15.42578125" customWidth="1"/>
    <col min="4" max="4" width="14.140625" customWidth="1"/>
    <col min="5" max="5" width="13.85546875" customWidth="1"/>
    <col min="7" max="7" width="26.5703125" customWidth="1"/>
    <col min="9" max="9" width="27.28515625" customWidth="1"/>
  </cols>
  <sheetData>
    <row r="1" spans="1:10" x14ac:dyDescent="0.25">
      <c r="A1" t="s">
        <v>4</v>
      </c>
      <c r="C1" t="s">
        <v>0</v>
      </c>
      <c r="D1" t="s">
        <v>1</v>
      </c>
      <c r="E1" t="s">
        <v>2</v>
      </c>
      <c r="F1" t="s">
        <v>3</v>
      </c>
      <c r="G1" t="s">
        <v>50</v>
      </c>
      <c r="H1" t="s">
        <v>51</v>
      </c>
      <c r="I1" s="5" t="s">
        <v>48</v>
      </c>
    </row>
    <row r="2" spans="1:10" x14ac:dyDescent="0.25">
      <c r="A2" t="s">
        <v>5</v>
      </c>
      <c r="B2" s="1" t="s">
        <v>6</v>
      </c>
      <c r="C2">
        <v>5</v>
      </c>
      <c r="D2">
        <v>4.5599999999999996</v>
      </c>
      <c r="E2">
        <f>C2-D2</f>
        <v>0.44000000000000039</v>
      </c>
      <c r="F2">
        <f>(E2/C2)*100</f>
        <v>8.8000000000000078</v>
      </c>
      <c r="G2" s="8">
        <f>(C2-D2)/D2</f>
        <v>9.649122807017553E-2</v>
      </c>
      <c r="H2" s="9">
        <f>AVERAGE(G2:G4)</f>
        <v>0.10629634905237191</v>
      </c>
      <c r="I2" s="2">
        <f>1/(H2+1)</f>
        <v>0.90391693044687094</v>
      </c>
      <c r="J2" s="2">
        <f>(I2*10)</f>
        <v>9.0391693044687091</v>
      </c>
    </row>
    <row r="3" spans="1:10" x14ac:dyDescent="0.25">
      <c r="B3" s="1"/>
      <c r="C3">
        <v>5</v>
      </c>
      <c r="D3">
        <v>4.54</v>
      </c>
      <c r="E3">
        <f t="shared" ref="E3:E28" si="0">C3-D3</f>
        <v>0.45999999999999996</v>
      </c>
      <c r="F3">
        <f t="shared" ref="F3:F28" si="1">(E3/C3)*100</f>
        <v>9.1999999999999993</v>
      </c>
      <c r="G3" s="8">
        <f t="shared" ref="G3:G28" si="2">(C3-D3)/D3</f>
        <v>0.1013215859030837</v>
      </c>
      <c r="I3" s="2"/>
      <c r="J3" s="2"/>
    </row>
    <row r="4" spans="1:10" x14ac:dyDescent="0.25">
      <c r="B4" s="1"/>
      <c r="C4">
        <v>5</v>
      </c>
      <c r="D4">
        <v>4.46</v>
      </c>
      <c r="E4">
        <f t="shared" si="0"/>
        <v>0.54</v>
      </c>
      <c r="F4">
        <f t="shared" si="1"/>
        <v>10.8</v>
      </c>
      <c r="G4" s="8">
        <f t="shared" si="2"/>
        <v>0.1210762331838565</v>
      </c>
      <c r="I4" s="2"/>
      <c r="J4" s="2"/>
    </row>
    <row r="5" spans="1:10" x14ac:dyDescent="0.25">
      <c r="A5" t="s">
        <v>7</v>
      </c>
      <c r="B5" s="1" t="s">
        <v>8</v>
      </c>
      <c r="C5">
        <v>5</v>
      </c>
      <c r="D5">
        <v>4.4000000000000004</v>
      </c>
      <c r="E5">
        <f t="shared" si="0"/>
        <v>0.59999999999999964</v>
      </c>
      <c r="F5">
        <f t="shared" si="1"/>
        <v>11.999999999999993</v>
      </c>
      <c r="G5" s="8">
        <f t="shared" si="2"/>
        <v>0.13636363636363627</v>
      </c>
      <c r="H5" s="9">
        <f>AVERAGE(G5:G7)</f>
        <v>9.4904266546057534E-2</v>
      </c>
      <c r="I5" s="2">
        <f t="shared" ref="I5" si="3">1/(H5+1)</f>
        <v>0.91332185886402761</v>
      </c>
      <c r="J5" s="2">
        <f>(I5*10)</f>
        <v>9.1332185886402755</v>
      </c>
    </row>
    <row r="6" spans="1:10" x14ac:dyDescent="0.25">
      <c r="B6" s="1"/>
      <c r="C6">
        <v>5</v>
      </c>
      <c r="D6">
        <v>4.6900000000000004</v>
      </c>
      <c r="E6">
        <f t="shared" si="0"/>
        <v>0.30999999999999961</v>
      </c>
      <c r="F6">
        <f t="shared" si="1"/>
        <v>6.1999999999999922</v>
      </c>
      <c r="G6" s="8">
        <f t="shared" si="2"/>
        <v>6.6098081023454075E-2</v>
      </c>
      <c r="I6" s="2"/>
      <c r="J6" s="2"/>
    </row>
    <row r="7" spans="1:10" x14ac:dyDescent="0.25">
      <c r="B7" s="1"/>
      <c r="C7">
        <v>5</v>
      </c>
      <c r="D7">
        <v>4.62</v>
      </c>
      <c r="E7">
        <f t="shared" si="0"/>
        <v>0.37999999999999989</v>
      </c>
      <c r="F7">
        <f t="shared" si="1"/>
        <v>7.5999999999999988</v>
      </c>
      <c r="G7" s="8">
        <f t="shared" si="2"/>
        <v>8.2251082251082228E-2</v>
      </c>
      <c r="I7" s="2"/>
      <c r="J7" s="2"/>
    </row>
    <row r="8" spans="1:10" x14ac:dyDescent="0.25">
      <c r="A8" t="s">
        <v>9</v>
      </c>
      <c r="B8" s="1" t="s">
        <v>10</v>
      </c>
      <c r="C8">
        <v>5</v>
      </c>
      <c r="D8">
        <v>4.4400000000000004</v>
      </c>
      <c r="E8">
        <f t="shared" si="0"/>
        <v>0.55999999999999961</v>
      </c>
      <c r="F8">
        <f t="shared" si="1"/>
        <v>11.199999999999992</v>
      </c>
      <c r="G8" s="8">
        <f t="shared" si="2"/>
        <v>0.12612612612612603</v>
      </c>
      <c r="H8" s="9">
        <f>AVERAGE(G8:G10)</f>
        <v>0.10885395199120688</v>
      </c>
      <c r="I8" s="2">
        <f t="shared" ref="I8" si="4">1/(H8+1)</f>
        <v>0.90183202053279055</v>
      </c>
      <c r="J8" s="2">
        <f>(I8*10)</f>
        <v>9.018320205327905</v>
      </c>
    </row>
    <row r="9" spans="1:10" x14ac:dyDescent="0.25">
      <c r="B9" s="1"/>
      <c r="C9">
        <v>5</v>
      </c>
      <c r="D9">
        <v>4.59</v>
      </c>
      <c r="E9">
        <f t="shared" si="0"/>
        <v>0.41000000000000014</v>
      </c>
      <c r="F9">
        <f t="shared" si="1"/>
        <v>8.2000000000000028</v>
      </c>
      <c r="G9" s="8">
        <f t="shared" si="2"/>
        <v>8.9324618736383476E-2</v>
      </c>
      <c r="I9" s="2"/>
      <c r="J9" s="2"/>
    </row>
    <row r="10" spans="1:10" x14ac:dyDescent="0.25">
      <c r="B10" s="1"/>
      <c r="C10">
        <v>5</v>
      </c>
      <c r="D10">
        <v>4.5</v>
      </c>
      <c r="E10">
        <f t="shared" si="0"/>
        <v>0.5</v>
      </c>
      <c r="F10">
        <f t="shared" si="1"/>
        <v>10</v>
      </c>
      <c r="G10" s="8">
        <f t="shared" si="2"/>
        <v>0.1111111111111111</v>
      </c>
      <c r="I10" s="2"/>
      <c r="J10" s="2"/>
    </row>
    <row r="11" spans="1:10" x14ac:dyDescent="0.25">
      <c r="A11" t="s">
        <v>11</v>
      </c>
      <c r="B11" s="1" t="s">
        <v>12</v>
      </c>
      <c r="C11">
        <v>5</v>
      </c>
      <c r="D11">
        <v>4.21</v>
      </c>
      <c r="E11">
        <f t="shared" si="0"/>
        <v>0.79</v>
      </c>
      <c r="F11">
        <f t="shared" si="1"/>
        <v>15.8</v>
      </c>
      <c r="G11" s="8">
        <f t="shared" si="2"/>
        <v>0.18764845605700714</v>
      </c>
      <c r="H11" s="9">
        <f>AVERAGE(G11:G13)</f>
        <v>0.16893093936358658</v>
      </c>
      <c r="I11" s="2">
        <f t="shared" ref="I11" si="5">1/(H11+1)</f>
        <v>0.85548253222251147</v>
      </c>
      <c r="J11" s="2">
        <f>(I11*10)</f>
        <v>8.5548253222251152</v>
      </c>
    </row>
    <row r="12" spans="1:10" x14ac:dyDescent="0.25">
      <c r="B12" s="1"/>
      <c r="C12">
        <v>5</v>
      </c>
      <c r="D12">
        <v>4.2</v>
      </c>
      <c r="E12">
        <f t="shared" si="0"/>
        <v>0.79999999999999982</v>
      </c>
      <c r="F12">
        <f t="shared" si="1"/>
        <v>15.999999999999998</v>
      </c>
      <c r="G12" s="8">
        <f t="shared" si="2"/>
        <v>0.19047619047619044</v>
      </c>
      <c r="I12" s="2"/>
      <c r="J12" s="2"/>
    </row>
    <row r="13" spans="1:10" x14ac:dyDescent="0.25">
      <c r="B13" s="1"/>
      <c r="C13">
        <v>5</v>
      </c>
      <c r="D13">
        <v>4.43</v>
      </c>
      <c r="E13">
        <f t="shared" si="0"/>
        <v>0.57000000000000028</v>
      </c>
      <c r="F13">
        <f t="shared" si="1"/>
        <v>11.400000000000006</v>
      </c>
      <c r="G13" s="8">
        <f t="shared" si="2"/>
        <v>0.12866817155756216</v>
      </c>
      <c r="I13" s="2"/>
      <c r="J13" s="2"/>
    </row>
    <row r="14" spans="1:10" x14ac:dyDescent="0.25">
      <c r="A14" t="s">
        <v>13</v>
      </c>
      <c r="B14" s="1" t="s">
        <v>14</v>
      </c>
      <c r="C14">
        <v>5</v>
      </c>
      <c r="D14">
        <v>4.3600000000000003</v>
      </c>
      <c r="E14">
        <f t="shared" si="0"/>
        <v>0.63999999999999968</v>
      </c>
      <c r="F14">
        <f t="shared" si="1"/>
        <v>12.799999999999995</v>
      </c>
      <c r="G14" s="8">
        <f t="shared" si="2"/>
        <v>0.146788990825688</v>
      </c>
      <c r="H14" s="9">
        <f>AVERAGE(G14:G16)</f>
        <v>0.17231212227139511</v>
      </c>
      <c r="I14" s="2">
        <f>1/(H14+1)</f>
        <v>0.85301514929527955</v>
      </c>
      <c r="J14" s="2">
        <f t="shared" ref="J14" si="6">I14*10</f>
        <v>8.5301514929527951</v>
      </c>
    </row>
    <row r="15" spans="1:10" x14ac:dyDescent="0.25">
      <c r="B15" s="1"/>
      <c r="C15">
        <v>5</v>
      </c>
      <c r="D15">
        <v>4.28</v>
      </c>
      <c r="E15">
        <f t="shared" si="0"/>
        <v>0.71999999999999975</v>
      </c>
      <c r="F15">
        <f t="shared" si="1"/>
        <v>14.399999999999997</v>
      </c>
      <c r="G15" s="8">
        <f t="shared" si="2"/>
        <v>0.1682242990654205</v>
      </c>
      <c r="I15" s="2"/>
      <c r="J15" s="2"/>
    </row>
    <row r="16" spans="1:10" x14ac:dyDescent="0.25">
      <c r="B16" s="1"/>
      <c r="C16">
        <v>5</v>
      </c>
      <c r="D16">
        <v>4.16</v>
      </c>
      <c r="E16">
        <f t="shared" si="0"/>
        <v>0.83999999999999986</v>
      </c>
      <c r="F16">
        <f t="shared" si="1"/>
        <v>16.799999999999997</v>
      </c>
      <c r="G16" s="8">
        <f t="shared" si="2"/>
        <v>0.20192307692307687</v>
      </c>
      <c r="I16" s="2"/>
      <c r="J16" s="2"/>
    </row>
    <row r="17" spans="1:10" x14ac:dyDescent="0.25">
      <c r="A17" t="s">
        <v>15</v>
      </c>
      <c r="B17" s="1" t="s">
        <v>16</v>
      </c>
      <c r="C17">
        <v>5</v>
      </c>
      <c r="D17">
        <v>4.49</v>
      </c>
      <c r="E17">
        <f t="shared" si="0"/>
        <v>0.50999999999999979</v>
      </c>
      <c r="F17">
        <f t="shared" si="1"/>
        <v>10.199999999999996</v>
      </c>
      <c r="G17" s="8">
        <f t="shared" si="2"/>
        <v>0.11358574610244984</v>
      </c>
      <c r="H17" s="9">
        <f>AVERAGE(G17:G19)</f>
        <v>0.12460731146642624</v>
      </c>
      <c r="I17" s="2">
        <f>1/(H17+1)</f>
        <v>0.88919926965089247</v>
      </c>
      <c r="J17" s="2">
        <f t="shared" ref="J17:J26" si="7">I17*10</f>
        <v>8.8919926965089253</v>
      </c>
    </row>
    <row r="18" spans="1:10" x14ac:dyDescent="0.25">
      <c r="B18" s="1"/>
      <c r="C18">
        <v>5</v>
      </c>
      <c r="D18">
        <v>4.4800000000000004</v>
      </c>
      <c r="E18">
        <f t="shared" si="0"/>
        <v>0.51999999999999957</v>
      </c>
      <c r="F18">
        <f t="shared" si="1"/>
        <v>10.399999999999991</v>
      </c>
      <c r="G18" s="8">
        <f t="shared" si="2"/>
        <v>0.11607142857142846</v>
      </c>
      <c r="I18" s="2"/>
      <c r="J18" s="2"/>
    </row>
    <row r="19" spans="1:10" x14ac:dyDescent="0.25">
      <c r="B19" s="1"/>
      <c r="C19">
        <v>5</v>
      </c>
      <c r="D19">
        <v>4.37</v>
      </c>
      <c r="E19">
        <f t="shared" si="0"/>
        <v>0.62999999999999989</v>
      </c>
      <c r="F19">
        <f t="shared" si="1"/>
        <v>12.599999999999998</v>
      </c>
      <c r="G19" s="8">
        <f t="shared" si="2"/>
        <v>0.14416475972540044</v>
      </c>
      <c r="I19" s="2"/>
      <c r="J19" s="2"/>
    </row>
    <row r="20" spans="1:10" x14ac:dyDescent="0.25">
      <c r="A20" t="s">
        <v>17</v>
      </c>
      <c r="B20" s="1" t="s">
        <v>18</v>
      </c>
      <c r="C20">
        <v>5</v>
      </c>
      <c r="D20">
        <v>4.46</v>
      </c>
      <c r="E20">
        <f t="shared" si="0"/>
        <v>0.54</v>
      </c>
      <c r="F20">
        <f t="shared" si="1"/>
        <v>10.8</v>
      </c>
      <c r="G20" s="8">
        <f t="shared" si="2"/>
        <v>0.1210762331838565</v>
      </c>
      <c r="H20" s="9">
        <f>AVERAGE(G20:G22)</f>
        <v>0.12968991773412364</v>
      </c>
      <c r="I20" s="2">
        <f t="shared" ref="I20" si="8">1/(H20+1)</f>
        <v>0.88519865876624859</v>
      </c>
      <c r="J20" s="2">
        <f t="shared" si="7"/>
        <v>8.8519865876624859</v>
      </c>
    </row>
    <row r="21" spans="1:10" x14ac:dyDescent="0.25">
      <c r="B21" s="1"/>
      <c r="C21">
        <v>5</v>
      </c>
      <c r="D21">
        <v>4.3499999999999996</v>
      </c>
      <c r="E21">
        <f t="shared" si="0"/>
        <v>0.65000000000000036</v>
      </c>
      <c r="F21">
        <f t="shared" si="1"/>
        <v>13.000000000000005</v>
      </c>
      <c r="G21" s="8">
        <f t="shared" si="2"/>
        <v>0.14942528735632193</v>
      </c>
      <c r="I21" s="2"/>
      <c r="J21" s="2"/>
    </row>
    <row r="22" spans="1:10" x14ac:dyDescent="0.25">
      <c r="B22" s="1"/>
      <c r="C22">
        <v>5</v>
      </c>
      <c r="D22">
        <v>4.47</v>
      </c>
      <c r="E22">
        <f t="shared" si="0"/>
        <v>0.53000000000000025</v>
      </c>
      <c r="F22">
        <f t="shared" si="1"/>
        <v>10.600000000000005</v>
      </c>
      <c r="G22" s="8">
        <f t="shared" si="2"/>
        <v>0.11856823266219245</v>
      </c>
      <c r="I22" s="2"/>
      <c r="J22" s="2"/>
    </row>
    <row r="23" spans="1:10" x14ac:dyDescent="0.25">
      <c r="A23" t="s">
        <v>19</v>
      </c>
      <c r="B23" s="1" t="s">
        <v>20</v>
      </c>
      <c r="C23">
        <v>5</v>
      </c>
      <c r="D23">
        <v>4.49</v>
      </c>
      <c r="E23">
        <f t="shared" si="0"/>
        <v>0.50999999999999979</v>
      </c>
      <c r="F23">
        <f t="shared" si="1"/>
        <v>10.199999999999996</v>
      </c>
      <c r="G23" s="8">
        <f t="shared" si="2"/>
        <v>0.11358574610244984</v>
      </c>
      <c r="H23" s="9">
        <f>AVERAGE(G23:G25)</f>
        <v>0.11858316146087326</v>
      </c>
      <c r="I23" s="2">
        <f>1/(H23+1)</f>
        <v>0.89398806852589907</v>
      </c>
      <c r="J23" s="2">
        <f t="shared" si="7"/>
        <v>8.9398806852589914</v>
      </c>
    </row>
    <row r="24" spans="1:10" x14ac:dyDescent="0.25">
      <c r="B24" s="1"/>
      <c r="C24">
        <v>5</v>
      </c>
      <c r="D24">
        <v>4.45</v>
      </c>
      <c r="E24">
        <f t="shared" si="0"/>
        <v>0.54999999999999982</v>
      </c>
      <c r="F24">
        <f t="shared" si="1"/>
        <v>10.999999999999996</v>
      </c>
      <c r="G24" s="8">
        <f t="shared" si="2"/>
        <v>0.12359550561797748</v>
      </c>
      <c r="I24" s="2"/>
    </row>
    <row r="25" spans="1:10" x14ac:dyDescent="0.25">
      <c r="B25" s="1"/>
      <c r="C25">
        <v>5</v>
      </c>
      <c r="D25">
        <v>4.47</v>
      </c>
      <c r="E25">
        <f t="shared" si="0"/>
        <v>0.53000000000000025</v>
      </c>
      <c r="F25">
        <f t="shared" si="1"/>
        <v>10.600000000000005</v>
      </c>
      <c r="G25" s="8">
        <f>(C25-D25)/D25</f>
        <v>0.11856823266219245</v>
      </c>
      <c r="I25" s="2"/>
    </row>
    <row r="26" spans="1:10" x14ac:dyDescent="0.25">
      <c r="A26" t="s">
        <v>21</v>
      </c>
      <c r="B26" s="1" t="s">
        <v>22</v>
      </c>
      <c r="C26">
        <v>5</v>
      </c>
      <c r="D26">
        <v>4.51</v>
      </c>
      <c r="E26">
        <f t="shared" si="0"/>
        <v>0.49000000000000021</v>
      </c>
      <c r="F26">
        <f t="shared" si="1"/>
        <v>9.8000000000000043</v>
      </c>
      <c r="G26" s="8">
        <f t="shared" si="2"/>
        <v>0.1086474501108648</v>
      </c>
      <c r="H26" s="9">
        <f>AVERAGE(G26:G28)</f>
        <v>0.12296121280256456</v>
      </c>
      <c r="I26" s="2">
        <f t="shared" ref="I26" si="9">1/(H26+1)</f>
        <v>0.89050270712762081</v>
      </c>
      <c r="J26" s="2">
        <f t="shared" si="7"/>
        <v>8.9050270712762085</v>
      </c>
    </row>
    <row r="27" spans="1:10" x14ac:dyDescent="0.25">
      <c r="C27">
        <v>5</v>
      </c>
      <c r="D27">
        <v>4.4800000000000004</v>
      </c>
      <c r="E27">
        <f t="shared" si="0"/>
        <v>0.51999999999999957</v>
      </c>
      <c r="F27">
        <f t="shared" si="1"/>
        <v>10.399999999999991</v>
      </c>
      <c r="G27" s="8">
        <f t="shared" si="2"/>
        <v>0.11607142857142846</v>
      </c>
      <c r="I27" s="2"/>
    </row>
    <row r="28" spans="1:10" x14ac:dyDescent="0.25">
      <c r="C28">
        <v>5</v>
      </c>
      <c r="D28">
        <v>4.37</v>
      </c>
      <c r="E28">
        <f t="shared" si="0"/>
        <v>0.62999999999999989</v>
      </c>
      <c r="F28">
        <f t="shared" si="1"/>
        <v>12.599999999999998</v>
      </c>
      <c r="G28" s="8">
        <f t="shared" si="2"/>
        <v>0.14416475972540044</v>
      </c>
      <c r="I28" s="2"/>
    </row>
    <row r="29" spans="1:10" x14ac:dyDescent="0.25">
      <c r="I29" s="2"/>
    </row>
    <row r="30" spans="1:10" x14ac:dyDescent="0.25">
      <c r="I3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6"/>
  <sheetViews>
    <sheetView topLeftCell="K1" zoomScale="90" zoomScaleNormal="90" workbookViewId="0">
      <selection activeCell="Y4" sqref="Y4"/>
    </sheetView>
  </sheetViews>
  <sheetFormatPr defaultRowHeight="15" x14ac:dyDescent="0.25"/>
  <cols>
    <col min="1" max="1" width="25.28515625" customWidth="1"/>
    <col min="2" max="2" width="20.140625" customWidth="1"/>
    <col min="3" max="3" width="39.85546875" customWidth="1"/>
    <col min="4" max="4" width="40" customWidth="1"/>
    <col min="5" max="5" width="30.85546875" customWidth="1"/>
    <col min="6" max="6" width="21.140625" customWidth="1"/>
    <col min="7" max="7" width="36.7109375" customWidth="1"/>
    <col min="8" max="8" width="24.28515625" customWidth="1"/>
    <col min="9" max="9" width="35.140625" customWidth="1"/>
    <col min="10" max="10" width="19.42578125" customWidth="1"/>
    <col min="11" max="11" width="18" customWidth="1"/>
    <col min="12" max="13" width="26.85546875" customWidth="1"/>
  </cols>
  <sheetData>
    <row r="3" spans="1:22" x14ac:dyDescent="0.25"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4</v>
      </c>
      <c r="N3" t="s">
        <v>86</v>
      </c>
      <c r="O3" t="s">
        <v>54</v>
      </c>
      <c r="Q3" t="s">
        <v>4</v>
      </c>
      <c r="R3" t="s">
        <v>66</v>
      </c>
      <c r="S3" t="s">
        <v>80</v>
      </c>
      <c r="T3" t="s">
        <v>81</v>
      </c>
      <c r="U3" t="s">
        <v>82</v>
      </c>
      <c r="V3" t="s">
        <v>83</v>
      </c>
    </row>
    <row r="4" spans="1:22" x14ac:dyDescent="0.25">
      <c r="A4" t="s">
        <v>5</v>
      </c>
      <c r="B4" s="1" t="s">
        <v>6</v>
      </c>
      <c r="C4" s="2">
        <v>11.6</v>
      </c>
      <c r="D4" s="2">
        <v>10.9</v>
      </c>
      <c r="E4">
        <v>5</v>
      </c>
      <c r="F4">
        <v>8.8000000000000078</v>
      </c>
      <c r="G4">
        <v>4.5599999999999996</v>
      </c>
      <c r="H4">
        <v>25</v>
      </c>
      <c r="I4">
        <v>4</v>
      </c>
      <c r="J4" s="3">
        <f>($C$4-D4)*0.003*(0.033)*(H4/I4)</f>
        <v>4.3312499999999954E-4</v>
      </c>
      <c r="K4" s="3">
        <f>J4*1000</f>
        <v>0.43312499999999954</v>
      </c>
      <c r="L4" s="2">
        <f>((K4*(H4+E4-G4))/G4)</f>
        <v>2.4163815789473659</v>
      </c>
      <c r="M4" t="s">
        <v>5</v>
      </c>
      <c r="N4" s="2">
        <f>AVERAGE(L4:L6)</f>
        <v>4.0782647478839147</v>
      </c>
      <c r="O4">
        <f>STDEV(L4:L6)/SQRT(3)</f>
        <v>0.83147003914132378</v>
      </c>
      <c r="Q4" t="s">
        <v>5</v>
      </c>
      <c r="R4" t="s">
        <v>6</v>
      </c>
      <c r="S4" t="s">
        <v>72</v>
      </c>
      <c r="T4" s="2">
        <f>L4</f>
        <v>2.4163815789473659</v>
      </c>
      <c r="U4" t="s">
        <v>72</v>
      </c>
      <c r="V4" s="2">
        <f>L4</f>
        <v>2.4163815789473659</v>
      </c>
    </row>
    <row r="5" spans="1:22" x14ac:dyDescent="0.25">
      <c r="B5" s="1"/>
      <c r="C5" s="2"/>
      <c r="D5" s="2">
        <v>10.199999999999999</v>
      </c>
      <c r="E5">
        <v>5</v>
      </c>
      <c r="F5">
        <v>9.1999999999999993</v>
      </c>
      <c r="G5">
        <v>4.54</v>
      </c>
      <c r="H5">
        <v>25</v>
      </c>
      <c r="I5">
        <v>4</v>
      </c>
      <c r="J5" s="3">
        <f t="shared" ref="J5:J30" si="0">($C$4-D5)*0.003*(0.033)*(H5/I5)</f>
        <v>8.6625000000000037E-4</v>
      </c>
      <c r="K5" s="3">
        <f t="shared" ref="K5:K30" si="1">J5*1000</f>
        <v>0.86625000000000041</v>
      </c>
      <c r="L5" s="2">
        <f t="shared" ref="L5:L30" si="2">((K5*(H5+E5-G5))/G5)</f>
        <v>4.8578689427312804</v>
      </c>
      <c r="M5" t="s">
        <v>5</v>
      </c>
      <c r="Q5" t="s">
        <v>5</v>
      </c>
      <c r="R5" t="s">
        <v>6</v>
      </c>
      <c r="S5" t="s">
        <v>72</v>
      </c>
      <c r="T5" s="2">
        <f t="shared" ref="T5:T6" si="3">L5</f>
        <v>4.8578689427312804</v>
      </c>
      <c r="U5" t="s">
        <v>72</v>
      </c>
      <c r="V5" s="2">
        <f t="shared" ref="V5:V6" si="4">L5</f>
        <v>4.8578689427312804</v>
      </c>
    </row>
    <row r="6" spans="1:22" x14ac:dyDescent="0.25">
      <c r="B6" s="1"/>
      <c r="C6" s="2"/>
      <c r="D6" s="2">
        <v>10.199999999999999</v>
      </c>
      <c r="E6">
        <v>5</v>
      </c>
      <c r="F6">
        <v>10.8</v>
      </c>
      <c r="G6">
        <v>4.46</v>
      </c>
      <c r="H6">
        <v>25</v>
      </c>
      <c r="I6">
        <v>4</v>
      </c>
      <c r="J6" s="3">
        <f t="shared" si="0"/>
        <v>8.6625000000000037E-4</v>
      </c>
      <c r="K6" s="3">
        <f t="shared" si="1"/>
        <v>0.86625000000000041</v>
      </c>
      <c r="L6" s="2">
        <f t="shared" si="2"/>
        <v>4.9605437219730968</v>
      </c>
      <c r="M6" t="s">
        <v>5</v>
      </c>
      <c r="Q6" t="s">
        <v>5</v>
      </c>
      <c r="R6" t="s">
        <v>6</v>
      </c>
      <c r="S6" t="s">
        <v>72</v>
      </c>
      <c r="T6" s="2">
        <f t="shared" si="3"/>
        <v>4.9605437219730968</v>
      </c>
      <c r="U6" t="s">
        <v>72</v>
      </c>
      <c r="V6" s="2">
        <f t="shared" si="4"/>
        <v>4.9605437219730968</v>
      </c>
    </row>
    <row r="7" spans="1:22" x14ac:dyDescent="0.25">
      <c r="A7" t="s">
        <v>7</v>
      </c>
      <c r="B7" s="1" t="s">
        <v>8</v>
      </c>
      <c r="C7" s="2"/>
      <c r="D7" s="2">
        <v>10</v>
      </c>
      <c r="E7">
        <v>5</v>
      </c>
      <c r="F7">
        <v>11.999999999999993</v>
      </c>
      <c r="G7">
        <v>4.4000000000000004</v>
      </c>
      <c r="H7">
        <v>25</v>
      </c>
      <c r="I7">
        <v>4</v>
      </c>
      <c r="J7" s="3">
        <f t="shared" si="0"/>
        <v>9.8999999999999978E-4</v>
      </c>
      <c r="K7" s="3">
        <f t="shared" si="1"/>
        <v>0.98999999999999977</v>
      </c>
      <c r="L7" s="2">
        <f t="shared" si="2"/>
        <v>5.759999999999998</v>
      </c>
      <c r="M7" t="s">
        <v>7</v>
      </c>
      <c r="N7" s="2">
        <f t="shared" ref="N7" si="5">AVERAGE(L7:L9)</f>
        <v>6.0562619936034103</v>
      </c>
      <c r="O7">
        <f t="shared" ref="O7" si="6">STDEV(L7:L9)/SQRT(3)</f>
        <v>1.8219119800556434</v>
      </c>
      <c r="Q7" t="s">
        <v>7</v>
      </c>
      <c r="R7" t="s">
        <v>8</v>
      </c>
      <c r="S7" t="s">
        <v>76</v>
      </c>
      <c r="T7" s="2">
        <f>L10</f>
        <v>2.1371959459459449</v>
      </c>
      <c r="U7" t="s">
        <v>73</v>
      </c>
      <c r="V7" s="2">
        <f>L7</f>
        <v>5.759999999999998</v>
      </c>
    </row>
    <row r="8" spans="1:22" x14ac:dyDescent="0.25">
      <c r="B8" s="1"/>
      <c r="D8" s="2">
        <v>8.8000000000000007</v>
      </c>
      <c r="E8">
        <v>5</v>
      </c>
      <c r="F8">
        <v>6.1999999999999922</v>
      </c>
      <c r="G8">
        <v>4.6900000000000004</v>
      </c>
      <c r="H8">
        <v>25</v>
      </c>
      <c r="I8">
        <v>4</v>
      </c>
      <c r="J8" s="3">
        <f t="shared" si="0"/>
        <v>1.7324999999999997E-3</v>
      </c>
      <c r="K8" s="3">
        <f t="shared" si="1"/>
        <v>1.7324999999999997</v>
      </c>
      <c r="L8" s="2">
        <f t="shared" si="2"/>
        <v>9.3495895522388022</v>
      </c>
      <c r="M8" t="s">
        <v>7</v>
      </c>
      <c r="Q8" t="s">
        <v>7</v>
      </c>
      <c r="R8" t="s">
        <v>8</v>
      </c>
      <c r="S8" t="s">
        <v>76</v>
      </c>
      <c r="T8" s="2">
        <f t="shared" ref="T8:T9" si="7">L11</f>
        <v>2.397757352941174</v>
      </c>
      <c r="U8" t="s">
        <v>73</v>
      </c>
      <c r="V8" s="2">
        <f t="shared" ref="V8:V9" si="8">L8</f>
        <v>9.3495895522388022</v>
      </c>
    </row>
    <row r="9" spans="1:22" x14ac:dyDescent="0.25">
      <c r="B9" s="1"/>
      <c r="D9" s="2">
        <v>10.7</v>
      </c>
      <c r="E9">
        <v>5</v>
      </c>
      <c r="F9">
        <v>7.5999999999999988</v>
      </c>
      <c r="G9">
        <v>4.62</v>
      </c>
      <c r="H9">
        <v>25</v>
      </c>
      <c r="I9">
        <v>4</v>
      </c>
      <c r="J9" s="3">
        <f t="shared" si="0"/>
        <v>5.5687500000000019E-4</v>
      </c>
      <c r="K9" s="3">
        <f t="shared" si="1"/>
        <v>0.55687500000000023</v>
      </c>
      <c r="L9" s="2">
        <f t="shared" si="2"/>
        <v>3.0591964285714295</v>
      </c>
      <c r="M9" t="s">
        <v>7</v>
      </c>
      <c r="Q9" t="s">
        <v>7</v>
      </c>
      <c r="R9" t="s">
        <v>8</v>
      </c>
      <c r="S9" t="s">
        <v>76</v>
      </c>
      <c r="T9" s="2">
        <f t="shared" si="7"/>
        <v>2.1037499999999989</v>
      </c>
      <c r="U9" t="s">
        <v>73</v>
      </c>
      <c r="V9" s="2">
        <f t="shared" si="8"/>
        <v>3.0591964285714295</v>
      </c>
    </row>
    <row r="10" spans="1:22" x14ac:dyDescent="0.25">
      <c r="A10" t="s">
        <v>9</v>
      </c>
      <c r="B10" s="1" t="s">
        <v>10</v>
      </c>
      <c r="D10" s="2">
        <v>11</v>
      </c>
      <c r="E10">
        <v>5</v>
      </c>
      <c r="F10">
        <v>11.199999999999992</v>
      </c>
      <c r="G10">
        <v>4.4400000000000004</v>
      </c>
      <c r="H10">
        <v>25</v>
      </c>
      <c r="I10">
        <v>4</v>
      </c>
      <c r="J10" s="3">
        <f t="shared" si="0"/>
        <v>3.7124999999999978E-4</v>
      </c>
      <c r="K10" s="3">
        <f t="shared" si="1"/>
        <v>0.3712499999999998</v>
      </c>
      <c r="L10" s="2">
        <f t="shared" si="2"/>
        <v>2.1371959459459449</v>
      </c>
      <c r="M10" t="s">
        <v>9</v>
      </c>
      <c r="N10" s="2">
        <f t="shared" ref="N10" si="9">AVERAGE(L10:L12)</f>
        <v>2.2129010996290392</v>
      </c>
      <c r="O10">
        <f t="shared" ref="O10" si="10">STDEV(L10:L12)/SQRT(3)</f>
        <v>9.2931038260466531E-2</v>
      </c>
      <c r="Q10" t="s">
        <v>9</v>
      </c>
      <c r="R10" t="s">
        <v>10</v>
      </c>
      <c r="S10" t="s">
        <v>78</v>
      </c>
      <c r="T10" s="2">
        <f>L13</f>
        <v>1.8951974465558195</v>
      </c>
      <c r="U10" t="s">
        <v>79</v>
      </c>
      <c r="V10" s="2">
        <f>L19</f>
        <v>2.8123496659242719</v>
      </c>
    </row>
    <row r="11" spans="1:22" x14ac:dyDescent="0.25">
      <c r="B11" s="1"/>
      <c r="D11" s="2">
        <v>10.9</v>
      </c>
      <c r="E11">
        <v>5</v>
      </c>
      <c r="F11">
        <v>8.2000000000000028</v>
      </c>
      <c r="G11">
        <v>4.59</v>
      </c>
      <c r="H11">
        <v>25</v>
      </c>
      <c r="I11">
        <v>4</v>
      </c>
      <c r="J11" s="3">
        <f t="shared" si="0"/>
        <v>4.3312499999999954E-4</v>
      </c>
      <c r="K11" s="3">
        <f t="shared" si="1"/>
        <v>0.43312499999999954</v>
      </c>
      <c r="L11" s="2">
        <f t="shared" si="2"/>
        <v>2.397757352941174</v>
      </c>
      <c r="M11" t="s">
        <v>9</v>
      </c>
      <c r="Q11" t="s">
        <v>9</v>
      </c>
      <c r="R11" t="s">
        <v>10</v>
      </c>
      <c r="S11" t="s">
        <v>78</v>
      </c>
      <c r="T11" s="2">
        <f t="shared" ref="T11:T12" si="11">L14</f>
        <v>2.2805357142857132</v>
      </c>
      <c r="U11" t="s">
        <v>79</v>
      </c>
      <c r="V11" s="2">
        <f t="shared" ref="V11:V12" si="12">L20</f>
        <v>5.9919308035714263</v>
      </c>
    </row>
    <row r="12" spans="1:22" x14ac:dyDescent="0.25">
      <c r="B12" s="1"/>
      <c r="D12" s="2">
        <v>11</v>
      </c>
      <c r="E12">
        <v>5</v>
      </c>
      <c r="F12">
        <v>10</v>
      </c>
      <c r="G12">
        <v>4.5</v>
      </c>
      <c r="H12">
        <v>25</v>
      </c>
      <c r="I12">
        <v>4</v>
      </c>
      <c r="J12" s="3">
        <f t="shared" si="0"/>
        <v>3.7124999999999978E-4</v>
      </c>
      <c r="K12" s="3">
        <f t="shared" si="1"/>
        <v>0.3712499999999998</v>
      </c>
      <c r="L12" s="2">
        <f t="shared" si="2"/>
        <v>2.1037499999999989</v>
      </c>
      <c r="M12" t="s">
        <v>9</v>
      </c>
      <c r="Q12" t="s">
        <v>9</v>
      </c>
      <c r="R12" t="s">
        <v>10</v>
      </c>
      <c r="S12" t="s">
        <v>78</v>
      </c>
      <c r="T12" s="2">
        <f t="shared" si="11"/>
        <v>2.1428583521444686</v>
      </c>
      <c r="U12" t="s">
        <v>79</v>
      </c>
      <c r="V12" s="2">
        <f t="shared" si="12"/>
        <v>2.5402731693363818</v>
      </c>
    </row>
    <row r="13" spans="1:22" x14ac:dyDescent="0.25">
      <c r="A13" t="s">
        <v>11</v>
      </c>
      <c r="B13" s="1" t="s">
        <v>12</v>
      </c>
      <c r="D13" s="2">
        <v>11.1</v>
      </c>
      <c r="E13">
        <v>5</v>
      </c>
      <c r="F13">
        <v>15.8</v>
      </c>
      <c r="G13">
        <v>4.21</v>
      </c>
      <c r="H13">
        <v>25</v>
      </c>
      <c r="I13">
        <v>4</v>
      </c>
      <c r="J13" s="3">
        <f t="shared" si="0"/>
        <v>3.0937500000000003E-4</v>
      </c>
      <c r="K13" s="3">
        <f t="shared" si="1"/>
        <v>0.30937500000000001</v>
      </c>
      <c r="L13" s="2">
        <f t="shared" si="2"/>
        <v>1.8951974465558195</v>
      </c>
      <c r="M13" t="s">
        <v>11</v>
      </c>
      <c r="N13" s="2">
        <f t="shared" ref="N13" si="13">AVERAGE(L13:L15)</f>
        <v>2.1061971709953338</v>
      </c>
      <c r="O13">
        <f t="shared" ref="O13" si="14">STDEV(L13:L15)/SQRT(3)</f>
        <v>0.11273778839517548</v>
      </c>
      <c r="Q13" t="s">
        <v>11</v>
      </c>
      <c r="R13" t="s">
        <v>12</v>
      </c>
      <c r="S13" t="s">
        <v>77</v>
      </c>
      <c r="T13" s="2">
        <f>L16</f>
        <v>1.8193520642201835</v>
      </c>
      <c r="U13" t="s">
        <v>85</v>
      </c>
      <c r="V13" s="2">
        <f>L22</f>
        <v>3.5432455156950673</v>
      </c>
    </row>
    <row r="14" spans="1:22" x14ac:dyDescent="0.25">
      <c r="B14" s="1"/>
      <c r="D14" s="2">
        <v>11</v>
      </c>
      <c r="E14">
        <v>5</v>
      </c>
      <c r="F14">
        <v>15.999999999999998</v>
      </c>
      <c r="G14">
        <v>4.2</v>
      </c>
      <c r="H14">
        <v>25</v>
      </c>
      <c r="I14">
        <v>4</v>
      </c>
      <c r="J14" s="3">
        <f t="shared" si="0"/>
        <v>3.7124999999999978E-4</v>
      </c>
      <c r="K14" s="3">
        <f t="shared" si="1"/>
        <v>0.3712499999999998</v>
      </c>
      <c r="L14" s="2">
        <f t="shared" si="2"/>
        <v>2.2805357142857132</v>
      </c>
      <c r="M14" t="s">
        <v>11</v>
      </c>
      <c r="Q14" t="s">
        <v>11</v>
      </c>
      <c r="R14" t="s">
        <v>12</v>
      </c>
      <c r="S14" t="s">
        <v>77</v>
      </c>
      <c r="T14" s="2">
        <f t="shared" ref="T14:T15" si="15">L17</f>
        <v>5.2055957943925257</v>
      </c>
      <c r="U14" t="s">
        <v>85</v>
      </c>
      <c r="V14" s="2">
        <f t="shared" ref="V14:V15" si="16">L23</f>
        <v>2.1890948275862057</v>
      </c>
    </row>
    <row r="15" spans="1:22" x14ac:dyDescent="0.25">
      <c r="B15" s="1"/>
      <c r="D15" s="2">
        <v>11</v>
      </c>
      <c r="E15">
        <v>5</v>
      </c>
      <c r="F15">
        <v>11.400000000000006</v>
      </c>
      <c r="G15">
        <v>4.43</v>
      </c>
      <c r="H15">
        <v>25</v>
      </c>
      <c r="I15">
        <v>4</v>
      </c>
      <c r="J15" s="3">
        <f t="shared" si="0"/>
        <v>3.7124999999999978E-4</v>
      </c>
      <c r="K15" s="3">
        <f t="shared" si="1"/>
        <v>0.3712499999999998</v>
      </c>
      <c r="L15" s="2">
        <f t="shared" si="2"/>
        <v>2.1428583521444686</v>
      </c>
      <c r="M15" t="s">
        <v>11</v>
      </c>
      <c r="Q15" t="s">
        <v>11</v>
      </c>
      <c r="R15" t="s">
        <v>12</v>
      </c>
      <c r="S15" t="s">
        <v>77</v>
      </c>
      <c r="T15" s="2">
        <f t="shared" si="15"/>
        <v>2.3060336538461526</v>
      </c>
      <c r="U15" t="s">
        <v>85</v>
      </c>
      <c r="V15" s="2">
        <f t="shared" si="16"/>
        <v>2.4737541946308701</v>
      </c>
    </row>
    <row r="16" spans="1:22" x14ac:dyDescent="0.25">
      <c r="A16" t="s">
        <v>13</v>
      </c>
      <c r="B16" s="1" t="s">
        <v>14</v>
      </c>
      <c r="D16" s="2">
        <v>11.1</v>
      </c>
      <c r="E16">
        <v>5</v>
      </c>
      <c r="F16">
        <v>12.799999999999995</v>
      </c>
      <c r="G16">
        <v>4.3600000000000003</v>
      </c>
      <c r="H16">
        <v>25</v>
      </c>
      <c r="I16">
        <v>4</v>
      </c>
      <c r="J16" s="3">
        <f t="shared" si="0"/>
        <v>3.0937500000000003E-4</v>
      </c>
      <c r="K16" s="3">
        <f t="shared" si="1"/>
        <v>0.30937500000000001</v>
      </c>
      <c r="L16" s="2">
        <f t="shared" si="2"/>
        <v>1.8193520642201835</v>
      </c>
      <c r="M16" t="s">
        <v>13</v>
      </c>
      <c r="N16" s="2">
        <f t="shared" ref="N16" si="17">AVERAGE(L16:L18)</f>
        <v>3.110327170819621</v>
      </c>
      <c r="O16">
        <f t="shared" ref="O16" si="18">STDEV(L16:L18)/SQRT(3)</f>
        <v>1.0570127240036797</v>
      </c>
      <c r="Q16" t="s">
        <v>13</v>
      </c>
      <c r="R16" t="s">
        <v>14</v>
      </c>
      <c r="S16" t="s">
        <v>74</v>
      </c>
      <c r="T16" s="2">
        <f>L28</f>
        <v>1.7485518292682929</v>
      </c>
      <c r="U16" t="s">
        <v>84</v>
      </c>
      <c r="V16" s="2">
        <f>L25</f>
        <v>3.1638933741648114</v>
      </c>
    </row>
    <row r="17" spans="1:22" x14ac:dyDescent="0.25">
      <c r="B17" s="1"/>
      <c r="D17" s="2">
        <v>10.199999999999999</v>
      </c>
      <c r="E17">
        <v>5</v>
      </c>
      <c r="F17">
        <v>14.399999999999997</v>
      </c>
      <c r="G17">
        <v>4.28</v>
      </c>
      <c r="H17">
        <v>25</v>
      </c>
      <c r="I17">
        <v>4</v>
      </c>
      <c r="J17" s="3">
        <f t="shared" si="0"/>
        <v>8.6625000000000037E-4</v>
      </c>
      <c r="K17" s="3">
        <f t="shared" si="1"/>
        <v>0.86625000000000041</v>
      </c>
      <c r="L17" s="2">
        <f t="shared" si="2"/>
        <v>5.2055957943925257</v>
      </c>
      <c r="M17" t="s">
        <v>13</v>
      </c>
      <c r="Q17" t="s">
        <v>13</v>
      </c>
      <c r="R17" t="s">
        <v>14</v>
      </c>
      <c r="S17" t="s">
        <v>74</v>
      </c>
      <c r="T17" s="2">
        <f t="shared" ref="T17:T18" si="19">L29</f>
        <v>3.8771316964285703</v>
      </c>
      <c r="U17" t="s">
        <v>84</v>
      </c>
      <c r="V17" s="2">
        <f t="shared" ref="V17:V18" si="20">L26</f>
        <v>2.8420786516853895</v>
      </c>
    </row>
    <row r="18" spans="1:22" x14ac:dyDescent="0.25">
      <c r="B18" s="1"/>
      <c r="D18" s="2">
        <v>11</v>
      </c>
      <c r="E18">
        <v>5</v>
      </c>
      <c r="F18">
        <v>16.799999999999997</v>
      </c>
      <c r="G18">
        <v>4.16</v>
      </c>
      <c r="H18">
        <v>25</v>
      </c>
      <c r="I18">
        <v>4</v>
      </c>
      <c r="J18" s="3">
        <f t="shared" si="0"/>
        <v>3.7124999999999978E-4</v>
      </c>
      <c r="K18" s="3">
        <f t="shared" si="1"/>
        <v>0.3712499999999998</v>
      </c>
      <c r="L18" s="2">
        <f t="shared" si="2"/>
        <v>2.3060336538461526</v>
      </c>
      <c r="M18" t="s">
        <v>13</v>
      </c>
      <c r="Q18" t="s">
        <v>13</v>
      </c>
      <c r="R18" t="s">
        <v>14</v>
      </c>
      <c r="S18" t="s">
        <v>74</v>
      </c>
      <c r="T18" s="2">
        <f t="shared" si="19"/>
        <v>2.1773770022883281</v>
      </c>
      <c r="U18" t="s">
        <v>84</v>
      </c>
      <c r="V18" s="2">
        <f t="shared" si="20"/>
        <v>3.5339345637583897</v>
      </c>
    </row>
    <row r="19" spans="1:22" x14ac:dyDescent="0.25">
      <c r="A19" t="s">
        <v>15</v>
      </c>
      <c r="B19" s="1" t="s">
        <v>16</v>
      </c>
      <c r="D19" s="2">
        <v>10.8</v>
      </c>
      <c r="E19">
        <v>5</v>
      </c>
      <c r="F19">
        <v>10.199999999999996</v>
      </c>
      <c r="G19">
        <v>4.49</v>
      </c>
      <c r="H19">
        <v>25</v>
      </c>
      <c r="I19">
        <v>4</v>
      </c>
      <c r="J19" s="3">
        <f t="shared" si="0"/>
        <v>4.9499999999999935E-4</v>
      </c>
      <c r="K19" s="3">
        <f t="shared" si="1"/>
        <v>0.49499999999999933</v>
      </c>
      <c r="L19" s="2">
        <f>((K19*(H19+E19-G19))/G19)</f>
        <v>2.8123496659242719</v>
      </c>
      <c r="M19" t="s">
        <v>15</v>
      </c>
      <c r="N19" s="2">
        <f t="shared" ref="N19" si="21">AVERAGE(L19:L21)</f>
        <v>3.7815178796106932</v>
      </c>
      <c r="O19">
        <f t="shared" ref="O19" si="22">STDEV(L19:L21)/SQRT(3)</f>
        <v>1.1079937388223156</v>
      </c>
      <c r="Q19" t="s">
        <v>15</v>
      </c>
      <c r="R19" t="s">
        <v>16</v>
      </c>
    </row>
    <row r="20" spans="1:22" x14ac:dyDescent="0.25">
      <c r="B20" s="1"/>
      <c r="D20" s="2">
        <v>9.9</v>
      </c>
      <c r="E20">
        <v>5</v>
      </c>
      <c r="F20">
        <v>10.399999999999991</v>
      </c>
      <c r="G20">
        <v>4.4800000000000004</v>
      </c>
      <c r="H20">
        <v>25</v>
      </c>
      <c r="I20">
        <v>4</v>
      </c>
      <c r="J20" s="3">
        <f t="shared" si="0"/>
        <v>1.0518749999999996E-3</v>
      </c>
      <c r="K20" s="3">
        <f t="shared" si="1"/>
        <v>1.0518749999999997</v>
      </c>
      <c r="L20" s="2">
        <f t="shared" si="2"/>
        <v>5.9919308035714263</v>
      </c>
      <c r="M20" t="s">
        <v>15</v>
      </c>
      <c r="Q20" t="s">
        <v>15</v>
      </c>
      <c r="R20" t="s">
        <v>16</v>
      </c>
    </row>
    <row r="21" spans="1:22" x14ac:dyDescent="0.25">
      <c r="B21" s="1"/>
      <c r="D21" s="2">
        <v>10.9</v>
      </c>
      <c r="E21">
        <v>5</v>
      </c>
      <c r="F21">
        <v>12.599999999999998</v>
      </c>
      <c r="G21">
        <v>4.37</v>
      </c>
      <c r="H21">
        <v>25</v>
      </c>
      <c r="I21">
        <v>4</v>
      </c>
      <c r="J21" s="3">
        <f t="shared" si="0"/>
        <v>4.3312499999999954E-4</v>
      </c>
      <c r="K21" s="3">
        <f t="shared" si="1"/>
        <v>0.43312499999999954</v>
      </c>
      <c r="L21" s="2">
        <f t="shared" si="2"/>
        <v>2.5402731693363818</v>
      </c>
      <c r="M21" t="s">
        <v>15</v>
      </c>
      <c r="Q21" t="s">
        <v>15</v>
      </c>
      <c r="R21" t="s">
        <v>16</v>
      </c>
    </row>
    <row r="22" spans="1:22" x14ac:dyDescent="0.25">
      <c r="A22" t="s">
        <v>17</v>
      </c>
      <c r="B22" s="1" t="s">
        <v>18</v>
      </c>
      <c r="D22" s="2">
        <v>10.6</v>
      </c>
      <c r="E22">
        <v>5</v>
      </c>
      <c r="F22">
        <v>10.8</v>
      </c>
      <c r="G22">
        <v>4.46</v>
      </c>
      <c r="H22">
        <v>25</v>
      </c>
      <c r="I22">
        <v>4</v>
      </c>
      <c r="J22" s="3">
        <f t="shared" si="0"/>
        <v>6.1875000000000005E-4</v>
      </c>
      <c r="K22" s="3">
        <f t="shared" si="1"/>
        <v>0.61875000000000002</v>
      </c>
      <c r="L22" s="2">
        <f t="shared" si="2"/>
        <v>3.5432455156950673</v>
      </c>
      <c r="M22" t="s">
        <v>17</v>
      </c>
      <c r="N22" s="2">
        <f t="shared" ref="N22" si="23">AVERAGE(L22:L24)</f>
        <v>2.7353648459707145</v>
      </c>
      <c r="O22">
        <f t="shared" ref="O22" si="24">STDEV(L22:L24)/SQRT(3)</f>
        <v>0.41221399021918553</v>
      </c>
      <c r="Q22" t="s">
        <v>17</v>
      </c>
      <c r="R22" t="s">
        <v>18</v>
      </c>
    </row>
    <row r="23" spans="1:22" x14ac:dyDescent="0.25">
      <c r="B23" s="1"/>
      <c r="D23" s="2">
        <v>11</v>
      </c>
      <c r="E23">
        <v>5</v>
      </c>
      <c r="F23">
        <v>13.000000000000005</v>
      </c>
      <c r="G23">
        <v>4.3499999999999996</v>
      </c>
      <c r="H23">
        <v>25</v>
      </c>
      <c r="I23">
        <v>4</v>
      </c>
      <c r="J23" s="3">
        <f t="shared" si="0"/>
        <v>3.7124999999999978E-4</v>
      </c>
      <c r="K23" s="3">
        <f t="shared" si="1"/>
        <v>0.3712499999999998</v>
      </c>
      <c r="L23" s="2">
        <f t="shared" si="2"/>
        <v>2.1890948275862057</v>
      </c>
      <c r="M23" t="s">
        <v>17</v>
      </c>
      <c r="Q23" t="s">
        <v>17</v>
      </c>
      <c r="R23" t="s">
        <v>18</v>
      </c>
    </row>
    <row r="24" spans="1:22" x14ac:dyDescent="0.25">
      <c r="B24" s="1"/>
      <c r="D24" s="2">
        <v>10.9</v>
      </c>
      <c r="E24">
        <v>5</v>
      </c>
      <c r="F24">
        <v>10.600000000000005</v>
      </c>
      <c r="G24">
        <v>4.47</v>
      </c>
      <c r="H24">
        <v>25</v>
      </c>
      <c r="I24">
        <v>4</v>
      </c>
      <c r="J24" s="3">
        <f t="shared" si="0"/>
        <v>4.3312499999999954E-4</v>
      </c>
      <c r="K24" s="3">
        <f t="shared" si="1"/>
        <v>0.43312499999999954</v>
      </c>
      <c r="L24" s="2">
        <f t="shared" si="2"/>
        <v>2.4737541946308701</v>
      </c>
      <c r="M24" t="s">
        <v>17</v>
      </c>
      <c r="Q24" t="s">
        <v>17</v>
      </c>
      <c r="R24" t="s">
        <v>18</v>
      </c>
    </row>
    <row r="25" spans="1:22" x14ac:dyDescent="0.25">
      <c r="A25" t="s">
        <v>19</v>
      </c>
      <c r="B25" s="1" t="s">
        <v>20</v>
      </c>
      <c r="D25" s="2">
        <v>10.7</v>
      </c>
      <c r="E25">
        <v>5</v>
      </c>
      <c r="F25">
        <v>10.199999999999996</v>
      </c>
      <c r="G25">
        <v>4.49</v>
      </c>
      <c r="H25">
        <v>25</v>
      </c>
      <c r="I25">
        <v>4</v>
      </c>
      <c r="J25" s="3">
        <f>($C$4-D25)*0.003*(0.033)*(H25/I25)</f>
        <v>5.5687500000000019E-4</v>
      </c>
      <c r="K25" s="3">
        <f t="shared" si="1"/>
        <v>0.55687500000000023</v>
      </c>
      <c r="L25" s="2">
        <f t="shared" si="2"/>
        <v>3.1638933741648114</v>
      </c>
      <c r="M25" t="s">
        <v>19</v>
      </c>
      <c r="N25" s="2">
        <f t="shared" ref="N25" si="25">AVERAGE(L25:L27)</f>
        <v>3.179968863202864</v>
      </c>
      <c r="O25">
        <f t="shared" ref="O25" si="26">STDEV(L25:L27)/SQRT(3)</f>
        <v>0.19988327158490121</v>
      </c>
      <c r="Q25" t="s">
        <v>19</v>
      </c>
      <c r="R25" t="s">
        <v>20</v>
      </c>
    </row>
    <row r="26" spans="1:22" x14ac:dyDescent="0.25">
      <c r="B26" s="1"/>
      <c r="D26" s="2">
        <v>10.8</v>
      </c>
      <c r="E26">
        <v>5</v>
      </c>
      <c r="F26">
        <v>10.999999999999996</v>
      </c>
      <c r="G26">
        <v>4.45</v>
      </c>
      <c r="H26">
        <v>25</v>
      </c>
      <c r="I26">
        <v>4</v>
      </c>
      <c r="J26" s="3">
        <f t="shared" si="0"/>
        <v>4.9499999999999935E-4</v>
      </c>
      <c r="K26" s="3">
        <f t="shared" si="1"/>
        <v>0.49499999999999933</v>
      </c>
      <c r="L26" s="2">
        <f t="shared" si="2"/>
        <v>2.8420786516853895</v>
      </c>
      <c r="M26" t="s">
        <v>19</v>
      </c>
      <c r="Q26" t="s">
        <v>19</v>
      </c>
      <c r="R26" t="s">
        <v>20</v>
      </c>
    </row>
    <row r="27" spans="1:22" x14ac:dyDescent="0.25">
      <c r="B27" s="1"/>
      <c r="D27" s="2">
        <v>10.6</v>
      </c>
      <c r="E27">
        <v>5</v>
      </c>
      <c r="F27">
        <v>10.600000000000005</v>
      </c>
      <c r="G27">
        <v>4.47</v>
      </c>
      <c r="H27">
        <v>25</v>
      </c>
      <c r="I27">
        <v>4</v>
      </c>
      <c r="J27" s="3">
        <f t="shared" si="0"/>
        <v>6.1875000000000005E-4</v>
      </c>
      <c r="K27" s="3">
        <f t="shared" si="1"/>
        <v>0.61875000000000002</v>
      </c>
      <c r="L27" s="2">
        <f t="shared" si="2"/>
        <v>3.5339345637583897</v>
      </c>
      <c r="M27" t="s">
        <v>19</v>
      </c>
      <c r="Q27" t="s">
        <v>19</v>
      </c>
      <c r="R27" t="s">
        <v>20</v>
      </c>
    </row>
    <row r="28" spans="1:22" x14ac:dyDescent="0.25">
      <c r="A28" t="s">
        <v>21</v>
      </c>
      <c r="B28" s="1" t="s">
        <v>22</v>
      </c>
      <c r="D28" s="2">
        <v>11.1</v>
      </c>
      <c r="E28">
        <v>5</v>
      </c>
      <c r="F28">
        <v>9.8000000000000043</v>
      </c>
      <c r="G28">
        <v>4.51</v>
      </c>
      <c r="H28">
        <v>25</v>
      </c>
      <c r="I28">
        <v>4</v>
      </c>
      <c r="J28" s="3">
        <f t="shared" si="0"/>
        <v>3.0937500000000003E-4</v>
      </c>
      <c r="K28" s="3">
        <f t="shared" si="1"/>
        <v>0.30937500000000001</v>
      </c>
      <c r="L28" s="2">
        <f t="shared" si="2"/>
        <v>1.7485518292682929</v>
      </c>
      <c r="M28" t="s">
        <v>21</v>
      </c>
      <c r="N28" s="2">
        <f t="shared" ref="N28" si="27">AVERAGE(L28:L30)</f>
        <v>2.601020175995064</v>
      </c>
      <c r="O28">
        <f t="shared" ref="O28" si="28">STDEV(L28:L30)/SQRT(3)</f>
        <v>0.64995338722384532</v>
      </c>
      <c r="Q28" t="s">
        <v>21</v>
      </c>
      <c r="R28" t="s">
        <v>22</v>
      </c>
    </row>
    <row r="29" spans="1:22" x14ac:dyDescent="0.25">
      <c r="D29" s="2">
        <v>10.5</v>
      </c>
      <c r="E29">
        <v>5</v>
      </c>
      <c r="F29">
        <v>10.399999999999991</v>
      </c>
      <c r="G29">
        <v>4.4800000000000004</v>
      </c>
      <c r="H29">
        <v>25</v>
      </c>
      <c r="I29">
        <v>4</v>
      </c>
      <c r="J29" s="3">
        <f t="shared" si="0"/>
        <v>6.8062499999999981E-4</v>
      </c>
      <c r="K29" s="3">
        <f t="shared" si="1"/>
        <v>0.68062499999999981</v>
      </c>
      <c r="L29" s="2">
        <f t="shared" si="2"/>
        <v>3.8771316964285703</v>
      </c>
      <c r="M29" t="s">
        <v>21</v>
      </c>
      <c r="Q29" t="s">
        <v>21</v>
      </c>
      <c r="R29" t="s">
        <v>22</v>
      </c>
    </row>
    <row r="30" spans="1:22" x14ac:dyDescent="0.25">
      <c r="D30" s="2">
        <v>11</v>
      </c>
      <c r="E30">
        <v>5</v>
      </c>
      <c r="F30">
        <v>12.599999999999998</v>
      </c>
      <c r="G30">
        <v>4.37</v>
      </c>
      <c r="H30">
        <v>25</v>
      </c>
      <c r="I30">
        <v>4</v>
      </c>
      <c r="J30" s="3">
        <f t="shared" si="0"/>
        <v>3.7124999999999978E-4</v>
      </c>
      <c r="K30" s="3">
        <f t="shared" si="1"/>
        <v>0.3712499999999998</v>
      </c>
      <c r="L30" s="2">
        <f t="shared" si="2"/>
        <v>2.1773770022883281</v>
      </c>
      <c r="M30" t="s">
        <v>21</v>
      </c>
      <c r="Q30" t="s">
        <v>21</v>
      </c>
      <c r="R30" t="s">
        <v>22</v>
      </c>
    </row>
    <row r="31" spans="1:22" x14ac:dyDescent="0.25">
      <c r="J31" s="3"/>
    </row>
    <row r="32" spans="1:22" x14ac:dyDescent="0.25">
      <c r="J32" s="3"/>
    </row>
    <row r="33" spans="10:10" x14ac:dyDescent="0.25">
      <c r="J33" s="3"/>
    </row>
    <row r="34" spans="10:10" x14ac:dyDescent="0.25">
      <c r="J34" s="3"/>
    </row>
    <row r="35" spans="10:10" x14ac:dyDescent="0.25">
      <c r="J35" s="3"/>
    </row>
    <row r="36" spans="10:10" x14ac:dyDescent="0.25">
      <c r="J3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zoomScale="90" zoomScaleNormal="90" workbookViewId="0">
      <selection activeCell="AA8" sqref="AA8"/>
    </sheetView>
  </sheetViews>
  <sheetFormatPr defaultRowHeight="15" x14ac:dyDescent="0.25"/>
  <cols>
    <col min="1" max="1" width="19.5703125" customWidth="1"/>
    <col min="3" max="9" width="0" hidden="1" customWidth="1"/>
    <col min="10" max="10" width="19.42578125" hidden="1" customWidth="1"/>
    <col min="11" max="13" width="0" hidden="1" customWidth="1"/>
    <col min="14" max="15" width="17.7109375" hidden="1" customWidth="1"/>
    <col min="16" max="16" width="17.7109375" customWidth="1"/>
  </cols>
  <sheetData>
    <row r="2" spans="1:24" x14ac:dyDescent="0.25">
      <c r="I2" t="s">
        <v>35</v>
      </c>
      <c r="J2" t="s">
        <v>36</v>
      </c>
      <c r="M2" t="s">
        <v>37</v>
      </c>
      <c r="N2" t="s">
        <v>38</v>
      </c>
      <c r="O2" t="s">
        <v>55</v>
      </c>
      <c r="P2" t="s">
        <v>38</v>
      </c>
      <c r="Q2" t="s">
        <v>34</v>
      </c>
      <c r="R2" t="s">
        <v>54</v>
      </c>
      <c r="S2" t="s">
        <v>91</v>
      </c>
      <c r="T2" t="s">
        <v>87</v>
      </c>
      <c r="U2" t="s">
        <v>88</v>
      </c>
      <c r="V2" t="s">
        <v>89</v>
      </c>
      <c r="W2" t="s">
        <v>92</v>
      </c>
      <c r="X2" t="s">
        <v>90</v>
      </c>
    </row>
    <row r="3" spans="1:24" x14ac:dyDescent="0.25">
      <c r="A3" t="s">
        <v>5</v>
      </c>
      <c r="B3" s="1" t="s">
        <v>6</v>
      </c>
      <c r="C3">
        <v>0.85799999999999998</v>
      </c>
      <c r="D3">
        <v>0.85899999999999999</v>
      </c>
      <c r="E3">
        <v>0.86</v>
      </c>
      <c r="F3">
        <v>0.878</v>
      </c>
      <c r="G3">
        <v>0.86699999999999999</v>
      </c>
      <c r="H3">
        <v>0.87</v>
      </c>
      <c r="I3">
        <f>AVERAGE(C3:H3)</f>
        <v>0.8653333333333334</v>
      </c>
      <c r="J3">
        <f>AVERAGE(I3:I5)</f>
        <v>0.91761111111111104</v>
      </c>
      <c r="K3">
        <f>TREND($J$33:$J$37,$I$33:$I$37,J3)</f>
        <v>15.338442783608293</v>
      </c>
      <c r="L3">
        <f>TREND($J$33:$J$37,$I$33:$I$37,I3)</f>
        <v>14.478531001001734</v>
      </c>
      <c r="M3">
        <f t="shared" ref="M3:M29" si="0">L3-K$30</f>
        <v>12.310171757165794</v>
      </c>
      <c r="N3">
        <f>(M3*0.5)/10</f>
        <v>0.61550858785828966</v>
      </c>
      <c r="O3" s="2">
        <v>9.0391693044687091</v>
      </c>
      <c r="P3" s="2">
        <f>(M3*0.5)/$O$3</f>
        <v>0.6809349035580069</v>
      </c>
      <c r="Q3" s="2">
        <f>AVERAGE(P3:P5)</f>
        <v>0.72850076683824472</v>
      </c>
      <c r="R3">
        <f>STDEV(P3:P5)/SQRT(3)</f>
        <v>2.5419718062277479E-2</v>
      </c>
      <c r="S3">
        <f>ammonium!H3</f>
        <v>24.317911590762026</v>
      </c>
      <c r="T3" s="2">
        <f>P3</f>
        <v>0.6809349035580069</v>
      </c>
      <c r="U3" t="s">
        <v>72</v>
      </c>
      <c r="V3" s="2">
        <f t="shared" ref="V3:V8" si="1">P3</f>
        <v>0.6809349035580069</v>
      </c>
      <c r="W3">
        <f>ammonium!H3</f>
        <v>24.317911590762026</v>
      </c>
      <c r="X3" t="s">
        <v>72</v>
      </c>
    </row>
    <row r="4" spans="1:24" x14ac:dyDescent="0.25">
      <c r="B4" s="1"/>
      <c r="C4">
        <v>0.91700000000000004</v>
      </c>
      <c r="D4">
        <v>0.92600000000000005</v>
      </c>
      <c r="E4">
        <v>0.92400000000000004</v>
      </c>
      <c r="F4">
        <v>0.92900000000000005</v>
      </c>
      <c r="G4">
        <v>0.93100000000000005</v>
      </c>
      <c r="H4">
        <v>0.93300000000000005</v>
      </c>
      <c r="I4">
        <f t="shared" ref="I4:I37" si="2">AVERAGE(C4:H4)</f>
        <v>0.92666666666666664</v>
      </c>
      <c r="L4">
        <f t="shared" ref="L4:L29" si="3">TREND($J$33:$J$37,$I$33:$I$37,I4)</f>
        <v>15.487396684314852</v>
      </c>
      <c r="M4">
        <f t="shared" si="0"/>
        <v>13.319037440478912</v>
      </c>
      <c r="N4">
        <f t="shared" ref="N4:N29" si="4">(M4*0.5)/10</f>
        <v>0.66595187202394557</v>
      </c>
      <c r="O4" s="2"/>
      <c r="P4" s="2">
        <f t="shared" ref="P4:P5" si="5">(M4*0.5)/$O$3</f>
        <v>0.7367401246646833</v>
      </c>
      <c r="S4">
        <f>ammonium!H4</f>
        <v>24.307640145432707</v>
      </c>
      <c r="T4" s="2">
        <f t="shared" ref="T4:T5" si="6">P4</f>
        <v>0.7367401246646833</v>
      </c>
      <c r="U4" t="s">
        <v>72</v>
      </c>
      <c r="V4" s="2">
        <f t="shared" si="1"/>
        <v>0.7367401246646833</v>
      </c>
      <c r="W4">
        <f>ammonium!H4</f>
        <v>24.307640145432707</v>
      </c>
      <c r="X4" t="s">
        <v>72</v>
      </c>
    </row>
    <row r="5" spans="1:24" x14ac:dyDescent="0.25">
      <c r="B5" s="1"/>
      <c r="C5">
        <v>0.95</v>
      </c>
      <c r="D5">
        <v>0.95</v>
      </c>
      <c r="E5">
        <v>0.94899999999999995</v>
      </c>
      <c r="F5">
        <v>0.97199999999999998</v>
      </c>
      <c r="G5">
        <v>0.97199999999999998</v>
      </c>
      <c r="H5">
        <v>0.97199999999999998</v>
      </c>
      <c r="I5">
        <f t="shared" si="2"/>
        <v>0.9608333333333331</v>
      </c>
      <c r="L5">
        <f t="shared" si="3"/>
        <v>16.049400665508298</v>
      </c>
      <c r="M5">
        <f t="shared" si="0"/>
        <v>13.881041421672357</v>
      </c>
      <c r="N5">
        <f t="shared" si="4"/>
        <v>0.69405207108361788</v>
      </c>
      <c r="O5" s="2"/>
      <c r="P5" s="2">
        <f t="shared" si="5"/>
        <v>0.76782727229204373</v>
      </c>
      <c r="S5">
        <f>ammonium!H5</f>
        <v>24.342479777563245</v>
      </c>
      <c r="T5" s="2">
        <f t="shared" si="6"/>
        <v>0.76782727229204373</v>
      </c>
      <c r="U5" t="s">
        <v>72</v>
      </c>
      <c r="V5" s="2">
        <f t="shared" si="1"/>
        <v>0.76782727229204373</v>
      </c>
      <c r="W5">
        <f>ammonium!H5</f>
        <v>24.342479777563245</v>
      </c>
      <c r="X5" t="s">
        <v>72</v>
      </c>
    </row>
    <row r="6" spans="1:24" x14ac:dyDescent="0.25">
      <c r="A6" t="s">
        <v>7</v>
      </c>
      <c r="B6" s="1" t="s">
        <v>8</v>
      </c>
      <c r="C6">
        <v>0.13800000000000001</v>
      </c>
      <c r="D6">
        <v>0.13700000000000001</v>
      </c>
      <c r="E6">
        <v>0.13800000000000001</v>
      </c>
      <c r="F6">
        <v>0.13</v>
      </c>
      <c r="G6">
        <v>0.13100000000000001</v>
      </c>
      <c r="H6">
        <v>0.13100000000000001</v>
      </c>
      <c r="I6">
        <f t="shared" si="2"/>
        <v>0.13416666666666668</v>
      </c>
      <c r="J6">
        <f t="shared" ref="J6" si="7">AVERAGE(I6:I8)</f>
        <v>0.14772222222222223</v>
      </c>
      <c r="K6">
        <f t="shared" ref="K6" si="8">TREND($J$33:$J$37,$I$33:$I$37,J6)</f>
        <v>2.6746197407158938</v>
      </c>
      <c r="L6">
        <f t="shared" si="3"/>
        <v>2.4516458034619077</v>
      </c>
      <c r="M6">
        <f t="shared" si="0"/>
        <v>0.28328655962596683</v>
      </c>
      <c r="N6">
        <f t="shared" si="4"/>
        <v>1.4164327981298342E-2</v>
      </c>
      <c r="O6" s="2">
        <v>9.1332185886402808</v>
      </c>
      <c r="P6" s="2">
        <f>(M6*0.5)/$O$6</f>
        <v>1.5508583139481252E-2</v>
      </c>
      <c r="Q6" s="2">
        <f t="shared" ref="Q6" si="9">AVERAGE(P6:P8)</f>
        <v>2.7715338900879388E-2</v>
      </c>
      <c r="R6">
        <f t="shared" ref="R6" si="10">STDEV(P6:P8)/SQRT(3)</f>
        <v>1.052806505434668E-2</v>
      </c>
      <c r="S6">
        <f>ammonium!H9</f>
        <v>24.383591658612861</v>
      </c>
      <c r="T6" s="2">
        <f>P9</f>
        <v>0.6698935282157682</v>
      </c>
      <c r="U6" t="s">
        <v>76</v>
      </c>
      <c r="V6" s="2">
        <f t="shared" si="1"/>
        <v>1.5508583139481252E-2</v>
      </c>
      <c r="W6">
        <f>ammonium!H6</f>
        <v>24.034528230061813</v>
      </c>
      <c r="X6" t="s">
        <v>73</v>
      </c>
    </row>
    <row r="7" spans="1:24" x14ac:dyDescent="0.25">
      <c r="B7" s="1"/>
      <c r="C7">
        <v>0.13800000000000001</v>
      </c>
      <c r="D7">
        <v>0.13800000000000001</v>
      </c>
      <c r="E7">
        <v>0.13800000000000001</v>
      </c>
      <c r="F7">
        <v>0.13800000000000001</v>
      </c>
      <c r="G7">
        <v>0.13800000000000001</v>
      </c>
      <c r="H7">
        <v>0.13800000000000001</v>
      </c>
      <c r="I7">
        <f t="shared" si="2"/>
        <v>0.13800000000000001</v>
      </c>
      <c r="L7">
        <f t="shared" si="3"/>
        <v>2.5146999086689776</v>
      </c>
      <c r="M7">
        <f t="shared" si="0"/>
        <v>0.34634066483303672</v>
      </c>
      <c r="N7">
        <f t="shared" si="4"/>
        <v>1.7317033241651836E-2</v>
      </c>
      <c r="O7" s="2"/>
      <c r="P7" s="2">
        <f t="shared" ref="P7:P8" si="11">(M7*0.5)/$O$6</f>
        <v>1.896049358020449E-2</v>
      </c>
      <c r="S7">
        <f>ammonium!H10</f>
        <v>24.292465301602252</v>
      </c>
      <c r="T7" s="2">
        <f t="shared" ref="T7:T8" si="12">P10</f>
        <v>0.74269923083610245</v>
      </c>
      <c r="U7" t="s">
        <v>76</v>
      </c>
      <c r="V7" s="2">
        <f t="shared" si="1"/>
        <v>1.896049358020449E-2</v>
      </c>
      <c r="W7">
        <f>ammonium!H7</f>
        <v>24.077663662495599</v>
      </c>
      <c r="X7" t="s">
        <v>73</v>
      </c>
    </row>
    <row r="8" spans="1:24" x14ac:dyDescent="0.25">
      <c r="B8" s="1"/>
      <c r="C8">
        <v>0.17100000000000001</v>
      </c>
      <c r="D8">
        <v>0.17100000000000001</v>
      </c>
      <c r="E8">
        <v>0.17100000000000001</v>
      </c>
      <c r="F8">
        <v>0.17100000000000001</v>
      </c>
      <c r="G8">
        <v>0.17100000000000001</v>
      </c>
      <c r="H8">
        <v>0.17100000000000001</v>
      </c>
      <c r="I8">
        <f t="shared" si="2"/>
        <v>0.17100000000000001</v>
      </c>
      <c r="L8">
        <f t="shared" si="3"/>
        <v>3.0575135100167974</v>
      </c>
      <c r="M8">
        <f t="shared" si="0"/>
        <v>0.88915426618085647</v>
      </c>
      <c r="N8">
        <f t="shared" si="4"/>
        <v>4.4457713309042822E-2</v>
      </c>
      <c r="O8" s="2"/>
      <c r="P8" s="2">
        <f t="shared" si="11"/>
        <v>4.8676939982952409E-2</v>
      </c>
      <c r="S8">
        <f>ammonium!H11</f>
        <v>24.403903793152629</v>
      </c>
      <c r="T8" s="2">
        <f t="shared" si="12"/>
        <v>0.71138821885324477</v>
      </c>
      <c r="U8" t="s">
        <v>76</v>
      </c>
      <c r="V8" s="2">
        <f t="shared" si="1"/>
        <v>4.8676939982952409E-2</v>
      </c>
      <c r="W8">
        <f>ammonium!H8</f>
        <v>24.084532361927728</v>
      </c>
      <c r="X8" t="s">
        <v>73</v>
      </c>
    </row>
    <row r="9" spans="1:24" x14ac:dyDescent="0.25">
      <c r="A9" t="s">
        <v>9</v>
      </c>
      <c r="B9" s="1" t="s">
        <v>10</v>
      </c>
      <c r="C9">
        <v>0.8</v>
      </c>
      <c r="D9">
        <v>0.8</v>
      </c>
      <c r="E9">
        <v>0.8</v>
      </c>
      <c r="F9">
        <v>0.90300000000000002</v>
      </c>
      <c r="G9">
        <v>0.90300000000000002</v>
      </c>
      <c r="H9">
        <v>0.90300000000000002</v>
      </c>
      <c r="I9">
        <f t="shared" si="2"/>
        <v>0.85150000000000003</v>
      </c>
      <c r="J9">
        <f t="shared" ref="J9" si="13">AVERAGE(I9:I11)</f>
        <v>0.89327777777777795</v>
      </c>
      <c r="K9">
        <f t="shared" ref="K9" si="14">TREND($J$33:$J$37,$I$33:$I$37,J9)</f>
        <v>14.938186289685159</v>
      </c>
      <c r="L9">
        <f t="shared" si="3"/>
        <v>14.250987925689262</v>
      </c>
      <c r="M9">
        <f t="shared" si="0"/>
        <v>12.082628681853322</v>
      </c>
      <c r="N9">
        <f t="shared" si="4"/>
        <v>0.60413143409266612</v>
      </c>
      <c r="O9" s="2">
        <v>9.018320205327905</v>
      </c>
      <c r="P9" s="2">
        <f>(M9*0.5)/$O$9</f>
        <v>0.6698935282157682</v>
      </c>
      <c r="Q9" s="2">
        <f>AVERAGE(P9:P11)</f>
        <v>0.70799365930170521</v>
      </c>
      <c r="R9">
        <f t="shared" ref="R9" si="15">STDEV(P9:P11)/SQRT(3)</f>
        <v>2.1085618000759417E-2</v>
      </c>
      <c r="S9">
        <f>ammonium!H18</f>
        <v>24.733110733024457</v>
      </c>
      <c r="T9" s="2">
        <f>P12</f>
        <v>0.70779022680584625</v>
      </c>
      <c r="U9" t="s">
        <v>78</v>
      </c>
      <c r="V9" s="2">
        <f>P18</f>
        <v>2.7953364208124054E-2</v>
      </c>
      <c r="W9">
        <f>ammonium!H18</f>
        <v>24.733110733024457</v>
      </c>
      <c r="X9" t="s">
        <v>79</v>
      </c>
    </row>
    <row r="10" spans="1:24" x14ac:dyDescent="0.25">
      <c r="B10" s="1"/>
      <c r="C10">
        <v>0.90100000000000002</v>
      </c>
      <c r="D10">
        <v>0.90200000000000002</v>
      </c>
      <c r="E10">
        <v>0.90200000000000002</v>
      </c>
      <c r="F10">
        <v>0.95899999999999996</v>
      </c>
      <c r="G10">
        <v>0.96199999999999997</v>
      </c>
      <c r="H10">
        <v>0.96199999999999997</v>
      </c>
      <c r="I10">
        <f t="shared" si="2"/>
        <v>0.93133333333333335</v>
      </c>
      <c r="L10">
        <f t="shared" si="3"/>
        <v>15.564158203697374</v>
      </c>
      <c r="M10">
        <f t="shared" si="0"/>
        <v>13.395798959861434</v>
      </c>
      <c r="N10">
        <f t="shared" si="4"/>
        <v>0.66978994799307168</v>
      </c>
      <c r="O10" s="2"/>
      <c r="P10" s="2">
        <f t="shared" ref="P10:P11" si="16">(M10*0.5)/$O$9</f>
        <v>0.74269923083610245</v>
      </c>
      <c r="S10">
        <f>ammonium!H19</f>
        <v>24.675118332715535</v>
      </c>
      <c r="T10" s="2">
        <f t="shared" ref="T10:T11" si="17">P13</f>
        <v>0.63792985730222074</v>
      </c>
      <c r="U10" t="s">
        <v>78</v>
      </c>
      <c r="V10" s="2">
        <f>P19</f>
        <v>7.4508047981212975E-3</v>
      </c>
      <c r="W10">
        <f>ammonium!H19</f>
        <v>24.675118332715535</v>
      </c>
      <c r="X10" t="s">
        <v>79</v>
      </c>
    </row>
    <row r="11" spans="1:24" x14ac:dyDescent="0.25">
      <c r="B11" s="1"/>
      <c r="C11">
        <v>0.84399999999999997</v>
      </c>
      <c r="D11">
        <v>0.84499999999999997</v>
      </c>
      <c r="E11">
        <v>0.84599999999999997</v>
      </c>
      <c r="F11">
        <v>0.94799999999999995</v>
      </c>
      <c r="G11">
        <v>0.94899999999999995</v>
      </c>
      <c r="H11">
        <v>0.95</v>
      </c>
      <c r="I11">
        <f t="shared" si="2"/>
        <v>0.89700000000000013</v>
      </c>
      <c r="L11">
        <f t="shared" si="3"/>
        <v>14.999412739668834</v>
      </c>
      <c r="M11">
        <f t="shared" si="0"/>
        <v>12.831053495832894</v>
      </c>
      <c r="N11">
        <f t="shared" si="4"/>
        <v>0.64155267479164468</v>
      </c>
      <c r="O11" s="2"/>
      <c r="P11" s="2">
        <f t="shared" si="16"/>
        <v>0.71138821885324477</v>
      </c>
      <c r="S11">
        <f>ammonium!H20</f>
        <v>24.708135903694334</v>
      </c>
      <c r="T11" s="2">
        <f t="shared" si="17"/>
        <v>0.76178780598640106</v>
      </c>
      <c r="U11" t="s">
        <v>78</v>
      </c>
      <c r="V11" s="2">
        <f>P20</f>
        <v>1.5775152227746479E-2</v>
      </c>
      <c r="W11">
        <f>ammonium!H20</f>
        <v>24.708135903694334</v>
      </c>
      <c r="X11" t="s">
        <v>79</v>
      </c>
    </row>
    <row r="12" spans="1:24" x14ac:dyDescent="0.25">
      <c r="A12" t="s">
        <v>11</v>
      </c>
      <c r="B12" s="1" t="s">
        <v>12</v>
      </c>
      <c r="C12">
        <v>0.81599999999999995</v>
      </c>
      <c r="D12">
        <v>0.81599999999999995</v>
      </c>
      <c r="E12">
        <v>0.81599999999999995</v>
      </c>
      <c r="F12">
        <v>0.89</v>
      </c>
      <c r="G12">
        <v>0.89100000000000001</v>
      </c>
      <c r="H12">
        <v>0.89</v>
      </c>
      <c r="I12">
        <f t="shared" si="2"/>
        <v>0.85316666666666663</v>
      </c>
      <c r="J12">
        <f t="shared" ref="J12" si="18">AVERAGE(I12:I14)</f>
        <v>0.84766666666666668</v>
      </c>
      <c r="K12">
        <f t="shared" ref="K12" si="19">TREND($J$33:$J$37,$I$33:$I$37,J12)</f>
        <v>14.187933820482193</v>
      </c>
      <c r="L12">
        <f t="shared" si="3"/>
        <v>14.278402754040162</v>
      </c>
      <c r="M12">
        <f t="shared" si="0"/>
        <v>12.110043510204221</v>
      </c>
      <c r="N12">
        <f t="shared" si="4"/>
        <v>0.60550217551021102</v>
      </c>
      <c r="O12" s="2">
        <v>8.5548253222251152</v>
      </c>
      <c r="P12" s="2">
        <f>(M12*0.5)/$O$12</f>
        <v>0.70779022680584625</v>
      </c>
      <c r="Q12" s="2">
        <f>AVERAGE(P12:P14)</f>
        <v>0.70250263003148927</v>
      </c>
      <c r="R12">
        <f t="shared" ref="R12" si="20">STDEV(P12:P14)/SQRT(3)</f>
        <v>3.5852321509210548E-2</v>
      </c>
      <c r="S12">
        <f>ammonium!H15</f>
        <v>25.7513785284441</v>
      </c>
      <c r="T12" s="2">
        <f>P15</f>
        <v>0.87390578567967392</v>
      </c>
      <c r="U12" t="s">
        <v>77</v>
      </c>
      <c r="V12">
        <v>0</v>
      </c>
      <c r="W12">
        <f>ammonium!H21</f>
        <v>24.844040354344155</v>
      </c>
      <c r="X12" t="s">
        <v>17</v>
      </c>
    </row>
    <row r="13" spans="1:24" x14ac:dyDescent="0.25">
      <c r="B13" s="1"/>
      <c r="C13">
        <v>0.76800000000000002</v>
      </c>
      <c r="D13">
        <v>0.76900000000000002</v>
      </c>
      <c r="E13">
        <v>0.76900000000000002</v>
      </c>
      <c r="F13">
        <v>0.79100000000000004</v>
      </c>
      <c r="G13">
        <v>0.79300000000000004</v>
      </c>
      <c r="H13">
        <v>0.79300000000000004</v>
      </c>
      <c r="I13">
        <f t="shared" si="2"/>
        <v>0.78049999999999997</v>
      </c>
      <c r="L13">
        <f t="shared" si="3"/>
        <v>13.083116237940924</v>
      </c>
      <c r="M13">
        <f t="shared" si="0"/>
        <v>10.914756994104984</v>
      </c>
      <c r="N13">
        <f t="shared" si="4"/>
        <v>0.54573784970524919</v>
      </c>
      <c r="O13" s="2"/>
      <c r="P13" s="2">
        <f t="shared" ref="P13:P14" si="21">(M13*0.5)/$O$12</f>
        <v>0.63792985730222074</v>
      </c>
      <c r="S13">
        <f>ammonium!H16</f>
        <v>25.863016873998305</v>
      </c>
      <c r="T13" s="2">
        <f t="shared" ref="T13:T14" si="22">P16</f>
        <v>0.69007221801478658</v>
      </c>
      <c r="U13" t="s">
        <v>77</v>
      </c>
      <c r="V13">
        <v>0</v>
      </c>
      <c r="W13">
        <f>ammonium!H22</f>
        <v>24.890247081984636</v>
      </c>
      <c r="X13" t="s">
        <v>17</v>
      </c>
    </row>
    <row r="14" spans="1:24" x14ac:dyDescent="0.25">
      <c r="B14" s="1"/>
      <c r="C14">
        <v>0.89400000000000002</v>
      </c>
      <c r="D14">
        <v>0.89500000000000002</v>
      </c>
      <c r="E14">
        <v>0.89600000000000002</v>
      </c>
      <c r="F14">
        <v>0.92300000000000004</v>
      </c>
      <c r="G14">
        <v>0.92400000000000004</v>
      </c>
      <c r="H14">
        <v>0.92400000000000004</v>
      </c>
      <c r="I14">
        <f>AVERAGE(C14:H14)</f>
        <v>0.90933333333333344</v>
      </c>
      <c r="L14">
        <f t="shared" si="3"/>
        <v>15.202282469465494</v>
      </c>
      <c r="M14">
        <f t="shared" si="0"/>
        <v>13.033923225629554</v>
      </c>
      <c r="N14">
        <f t="shared" si="4"/>
        <v>0.65169616128147767</v>
      </c>
      <c r="O14" s="2"/>
      <c r="P14" s="2">
        <f t="shared" si="21"/>
        <v>0.76178780598640106</v>
      </c>
      <c r="S14">
        <f>ammonium!H17</f>
        <v>25.772558926019599</v>
      </c>
      <c r="T14" s="2">
        <f t="shared" si="22"/>
        <v>0.6984282892722814</v>
      </c>
      <c r="U14" t="s">
        <v>77</v>
      </c>
      <c r="V14">
        <v>0</v>
      </c>
      <c r="W14">
        <f>ammonium!H23</f>
        <v>24.851694229474788</v>
      </c>
      <c r="X14" t="s">
        <v>17</v>
      </c>
    </row>
    <row r="15" spans="1:24" x14ac:dyDescent="0.25">
      <c r="A15" t="s">
        <v>13</v>
      </c>
      <c r="B15" s="1" t="s">
        <v>14</v>
      </c>
      <c r="C15">
        <v>1.0009999999999999</v>
      </c>
      <c r="D15">
        <v>1.0009999999999999</v>
      </c>
      <c r="E15">
        <v>1.0009999999999999</v>
      </c>
      <c r="F15">
        <v>1.0449999999999999</v>
      </c>
      <c r="G15">
        <v>1.046</v>
      </c>
      <c r="H15">
        <v>1.046</v>
      </c>
      <c r="I15">
        <f>AVERAGE(C15:H15)</f>
        <v>1.0233333333333334</v>
      </c>
      <c r="J15">
        <f>AVERAGE(I15:I17)</f>
        <v>0.89911111111111131</v>
      </c>
      <c r="K15">
        <f t="shared" ref="K15" si="23">TREND($J$33:$J$37,$I$33:$I$37,J15)</f>
        <v>15.03413818891331</v>
      </c>
      <c r="L15">
        <f t="shared" si="3"/>
        <v>17.077456728667052</v>
      </c>
      <c r="M15">
        <f t="shared" si="0"/>
        <v>14.909097484831111</v>
      </c>
      <c r="N15">
        <f t="shared" si="4"/>
        <v>0.74545487424155554</v>
      </c>
      <c r="O15" s="2">
        <v>8.5301514929527951</v>
      </c>
      <c r="P15" s="2">
        <f>(M15*0.5)/$O$15</f>
        <v>0.87390578567967392</v>
      </c>
      <c r="Q15" s="2">
        <f t="shared" ref="Q15" si="24">AVERAGE(P15:P17)</f>
        <v>0.754135430988914</v>
      </c>
      <c r="R15">
        <f t="shared" ref="R15" si="25">STDEV(P15:P17)/SQRT(3)</f>
        <v>5.9933739465006852E-2</v>
      </c>
      <c r="S15">
        <f>ammonium!H27</f>
        <v>24.647454773940932</v>
      </c>
      <c r="T15" s="2">
        <f>P27</f>
        <v>0.62423317946793955</v>
      </c>
      <c r="U15" t="s">
        <v>74</v>
      </c>
      <c r="V15" s="2">
        <f>P24</f>
        <v>0</v>
      </c>
      <c r="W15">
        <f>ammonium!H15</f>
        <v>25.7513785284441</v>
      </c>
      <c r="X15" t="s">
        <v>19</v>
      </c>
    </row>
    <row r="16" spans="1:24" x14ac:dyDescent="0.25">
      <c r="B16" s="1"/>
      <c r="C16">
        <v>0.81799999999999995</v>
      </c>
      <c r="D16">
        <v>0.81899999999999995</v>
      </c>
      <c r="E16">
        <v>0.81899999999999995</v>
      </c>
      <c r="F16">
        <v>0.84599999999999997</v>
      </c>
      <c r="G16">
        <v>0.84699999999999998</v>
      </c>
      <c r="H16">
        <v>0.84699999999999998</v>
      </c>
      <c r="I16">
        <f t="shared" si="2"/>
        <v>0.83266666666666678</v>
      </c>
      <c r="L16">
        <f t="shared" si="3"/>
        <v>13.941200365324097</v>
      </c>
      <c r="M16">
        <f t="shared" si="0"/>
        <v>11.772841121488156</v>
      </c>
      <c r="N16">
        <f t="shared" si="4"/>
        <v>0.58864205607440778</v>
      </c>
      <c r="O16" s="2"/>
      <c r="P16" s="2">
        <f t="shared" ref="P16:P17" si="26">(M16*0.5)/$O$15</f>
        <v>0.69007221801478658</v>
      </c>
      <c r="S16">
        <f>ammonium!H28</f>
        <v>24.692400023793979</v>
      </c>
      <c r="T16" s="2">
        <f t="shared" ref="T16:T17" si="27">P28</f>
        <v>0.63531606346967173</v>
      </c>
      <c r="U16" t="s">
        <v>74</v>
      </c>
      <c r="V16" s="2">
        <f>P25</f>
        <v>0</v>
      </c>
      <c r="W16">
        <f>ammonium!H16</f>
        <v>25.863016873998305</v>
      </c>
      <c r="X16" t="s">
        <v>19</v>
      </c>
    </row>
    <row r="17" spans="1:24" x14ac:dyDescent="0.25">
      <c r="B17" s="1"/>
      <c r="C17">
        <v>0.80400000000000005</v>
      </c>
      <c r="D17">
        <v>0.80300000000000005</v>
      </c>
      <c r="E17">
        <v>0.80400000000000005</v>
      </c>
      <c r="F17">
        <v>0.879</v>
      </c>
      <c r="G17">
        <v>0.879</v>
      </c>
      <c r="H17">
        <v>0.879</v>
      </c>
      <c r="I17">
        <f t="shared" si="2"/>
        <v>0.84133333333333338</v>
      </c>
      <c r="L17">
        <f t="shared" si="3"/>
        <v>14.083757472748776</v>
      </c>
      <c r="M17">
        <f t="shared" si="0"/>
        <v>11.915398228912835</v>
      </c>
      <c r="N17">
        <f t="shared" si="4"/>
        <v>0.59576991144564173</v>
      </c>
      <c r="O17" s="2"/>
      <c r="P17" s="2">
        <f t="shared" si="26"/>
        <v>0.6984282892722814</v>
      </c>
      <c r="S17">
        <f>ammonium!H29</f>
        <v>24.662389559158555</v>
      </c>
      <c r="T17" s="2">
        <f t="shared" si="27"/>
        <v>0.44429024338425843</v>
      </c>
      <c r="U17" t="s">
        <v>74</v>
      </c>
      <c r="V17" s="2">
        <f>P26</f>
        <v>3.7770001011164053E-2</v>
      </c>
      <c r="W17">
        <f>ammonium!H17</f>
        <v>25.772558926019599</v>
      </c>
      <c r="X17" t="s">
        <v>19</v>
      </c>
    </row>
    <row r="18" spans="1:24" x14ac:dyDescent="0.25">
      <c r="A18" t="s">
        <v>15</v>
      </c>
      <c r="B18" s="1" t="s">
        <v>16</v>
      </c>
      <c r="C18">
        <v>0.16900000000000001</v>
      </c>
      <c r="D18">
        <v>0.16900000000000001</v>
      </c>
      <c r="E18">
        <v>0.17</v>
      </c>
      <c r="F18">
        <v>0.125</v>
      </c>
      <c r="G18">
        <v>0.125</v>
      </c>
      <c r="H18">
        <v>0.125</v>
      </c>
      <c r="I18">
        <f t="shared" si="2"/>
        <v>0.14716666666666667</v>
      </c>
      <c r="J18">
        <f t="shared" ref="J18" si="28">AVERAGE(I18:I20)</f>
        <v>0.13538888888888889</v>
      </c>
      <c r="K18">
        <f t="shared" ref="K18" si="29">TREND($J$33:$J$37,$I$33:$I$37,J18)</f>
        <v>2.4717500109192341</v>
      </c>
      <c r="L18">
        <f t="shared" si="3"/>
        <v>2.6654814645989271</v>
      </c>
      <c r="M18">
        <f t="shared" si="0"/>
        <v>0.49712222076298618</v>
      </c>
      <c r="N18">
        <f t="shared" si="4"/>
        <v>2.485611103814931E-2</v>
      </c>
      <c r="O18" s="2">
        <v>8.8919926965089253</v>
      </c>
      <c r="P18" s="2">
        <f>(M18*0.5)/$O$18</f>
        <v>2.7953364208124054E-2</v>
      </c>
      <c r="Q18" s="2">
        <f t="shared" ref="Q18" si="30">AVERAGE(P18:P20)</f>
        <v>1.7059773744663942E-2</v>
      </c>
      <c r="R18">
        <f t="shared" ref="R18" si="31">STDEV(P18:P20)/SQRT(3)</f>
        <v>5.953330298285959E-3</v>
      </c>
    </row>
    <row r="19" spans="1:24" x14ac:dyDescent="0.25">
      <c r="B19" s="1"/>
      <c r="C19">
        <v>0.125</v>
      </c>
      <c r="D19">
        <v>0.125</v>
      </c>
      <c r="E19">
        <v>0.125</v>
      </c>
      <c r="F19">
        <v>0.125</v>
      </c>
      <c r="G19">
        <v>0.125</v>
      </c>
      <c r="H19">
        <v>0.125</v>
      </c>
      <c r="I19">
        <f t="shared" si="2"/>
        <v>0.125</v>
      </c>
      <c r="L19">
        <f t="shared" si="3"/>
        <v>2.3008642475319574</v>
      </c>
      <c r="M19">
        <f t="shared" si="0"/>
        <v>0.13250500369601648</v>
      </c>
      <c r="N19" s="7">
        <f t="shared" si="4"/>
        <v>6.625250184800824E-3</v>
      </c>
      <c r="O19" s="10"/>
      <c r="P19" s="2">
        <f t="shared" ref="P19:P20" si="32">(M19*0.5)/$O$18</f>
        <v>7.4508047981212975E-3</v>
      </c>
    </row>
    <row r="20" spans="1:24" x14ac:dyDescent="0.25">
      <c r="B20" s="1"/>
      <c r="C20">
        <v>0.115</v>
      </c>
      <c r="D20">
        <v>0.115</v>
      </c>
      <c r="E20">
        <v>0.115</v>
      </c>
      <c r="F20">
        <v>0.153</v>
      </c>
      <c r="G20">
        <v>0.153</v>
      </c>
      <c r="H20">
        <v>0.153</v>
      </c>
      <c r="I20">
        <f t="shared" si="2"/>
        <v>0.13400000000000001</v>
      </c>
      <c r="L20">
        <f t="shared" si="3"/>
        <v>2.4489043206268173</v>
      </c>
      <c r="M20">
        <f t="shared" si="0"/>
        <v>0.28054507679087637</v>
      </c>
      <c r="N20">
        <f t="shared" si="4"/>
        <v>1.4027253839543818E-2</v>
      </c>
      <c r="O20" s="2"/>
      <c r="P20" s="2">
        <f t="shared" si="32"/>
        <v>1.5775152227746479E-2</v>
      </c>
    </row>
    <row r="21" spans="1:24" x14ac:dyDescent="0.25">
      <c r="A21" t="s">
        <v>17</v>
      </c>
      <c r="B21" s="1" t="s">
        <v>18</v>
      </c>
      <c r="C21">
        <v>5.2999999999999999E-2</v>
      </c>
      <c r="D21">
        <v>5.2999999999999999E-2</v>
      </c>
      <c r="E21">
        <v>5.2999999999999999E-2</v>
      </c>
      <c r="F21">
        <v>0.05</v>
      </c>
      <c r="G21">
        <v>4.8000000000000001E-2</v>
      </c>
      <c r="H21">
        <v>4.8000000000000001E-2</v>
      </c>
      <c r="I21">
        <f t="shared" si="2"/>
        <v>5.0833333333333335E-2</v>
      </c>
      <c r="J21">
        <f t="shared" ref="J21" si="33">AVERAGE(I21:I23)</f>
        <v>6.7555555555555563E-2</v>
      </c>
      <c r="K21">
        <f>TREND($J$33:$J$37,$I$33:$I$37,J21)</f>
        <v>1.3559664970376044</v>
      </c>
      <c r="L21">
        <f>TREND($J$33:$J$37,$I$33:$I$37,I21)</f>
        <v>1.0809043859169079</v>
      </c>
      <c r="M21">
        <f>L21-K$30</f>
        <v>-1.0874548579190331</v>
      </c>
      <c r="N21" s="4">
        <f>(M21*0.5)/10</f>
        <v>-5.4372742895951655E-2</v>
      </c>
      <c r="O21" s="11">
        <v>8.8519865876624895</v>
      </c>
      <c r="P21" s="2">
        <f>(M21*0.5)/$O$21</f>
        <v>-6.1424339449106254E-2</v>
      </c>
      <c r="Q21" s="2">
        <f>AVERAGE(P21:P23)</f>
        <v>-4.5887594764920554E-2</v>
      </c>
      <c r="R21">
        <f t="shared" ref="R21" si="34">STDEV(P21:P23)/SQRT(3)</f>
        <v>8.6089201310229901E-3</v>
      </c>
    </row>
    <row r="22" spans="1:24" x14ac:dyDescent="0.25">
      <c r="B22" s="1"/>
      <c r="C22">
        <v>8.3000000000000004E-2</v>
      </c>
      <c r="D22">
        <v>8.4000000000000005E-2</v>
      </c>
      <c r="E22">
        <v>8.4000000000000005E-2</v>
      </c>
      <c r="F22">
        <v>8.2000000000000003E-2</v>
      </c>
      <c r="G22">
        <v>8.2000000000000003E-2</v>
      </c>
      <c r="H22">
        <v>8.2000000000000003E-2</v>
      </c>
      <c r="I22">
        <f t="shared" si="2"/>
        <v>8.2833333333333342E-2</v>
      </c>
      <c r="L22">
        <f t="shared" si="3"/>
        <v>1.6072690902541877</v>
      </c>
      <c r="M22">
        <f t="shared" si="0"/>
        <v>-0.56109015358175318</v>
      </c>
      <c r="N22" s="4">
        <f t="shared" si="4"/>
        <v>-2.805450767908766E-2</v>
      </c>
      <c r="O22" s="11"/>
      <c r="P22" s="2">
        <f t="shared" ref="P22:P23" si="35">(M22*0.5)/$O$21</f>
        <v>-3.169289447205987E-2</v>
      </c>
    </row>
    <row r="23" spans="1:24" x14ac:dyDescent="0.25">
      <c r="B23" s="1"/>
      <c r="C23">
        <v>5.1999999999999998E-2</v>
      </c>
      <c r="D23">
        <v>5.1999999999999998E-2</v>
      </c>
      <c r="E23">
        <v>5.1999999999999998E-2</v>
      </c>
      <c r="F23">
        <v>7.0000000000000007E-2</v>
      </c>
      <c r="G23">
        <v>6.9000000000000006E-2</v>
      </c>
      <c r="H23">
        <v>6.8000000000000005E-2</v>
      </c>
      <c r="I23">
        <f>AVERAGE(F23:H23)</f>
        <v>6.9000000000000006E-2</v>
      </c>
      <c r="L23">
        <f t="shared" si="3"/>
        <v>1.3797260149417179</v>
      </c>
      <c r="M23">
        <f t="shared" si="0"/>
        <v>-0.78863322889422305</v>
      </c>
      <c r="N23" s="4">
        <f t="shared" si="4"/>
        <v>-3.943166144471115E-2</v>
      </c>
      <c r="O23" s="11"/>
      <c r="P23" s="2">
        <f t="shared" si="35"/>
        <v>-4.454555037359554E-2</v>
      </c>
    </row>
    <row r="24" spans="1:24" x14ac:dyDescent="0.25">
      <c r="A24" t="s">
        <v>19</v>
      </c>
      <c r="B24" s="1" t="s">
        <v>20</v>
      </c>
      <c r="C24">
        <v>6.0999999999999999E-2</v>
      </c>
      <c r="D24">
        <v>0.06</v>
      </c>
      <c r="E24">
        <v>0.06</v>
      </c>
      <c r="F24">
        <v>8.1000000000000003E-2</v>
      </c>
      <c r="G24">
        <v>0.08</v>
      </c>
      <c r="H24">
        <v>8.1000000000000003E-2</v>
      </c>
      <c r="I24">
        <f t="shared" si="2"/>
        <v>7.0500000000000007E-2</v>
      </c>
      <c r="J24">
        <f t="shared" ref="J24" si="36">AVERAGE(I24:I26)</f>
        <v>0.10327777777777776</v>
      </c>
      <c r="K24">
        <f t="shared" ref="K24" si="37">TREND($J$33:$J$37,$I$33:$I$37,J24)</f>
        <v>1.9435576513585606</v>
      </c>
      <c r="L24">
        <f t="shared" si="3"/>
        <v>1.4043993604575278</v>
      </c>
      <c r="N24" s="4">
        <f t="shared" si="4"/>
        <v>0</v>
      </c>
      <c r="O24" s="11">
        <v>8.9398806852589914</v>
      </c>
      <c r="P24" s="2">
        <f>(M24*0.5)/$O$24</f>
        <v>0</v>
      </c>
      <c r="Q24" s="2">
        <f t="shared" ref="Q24" si="38">AVERAGE(P24:P26)</f>
        <v>1.2590000337054685E-2</v>
      </c>
      <c r="R24">
        <f t="shared" ref="R24" si="39">STDEV(P24:P26)/SQRT(3)</f>
        <v>1.2590000337054685E-2</v>
      </c>
    </row>
    <row r="25" spans="1:24" x14ac:dyDescent="0.25">
      <c r="B25" s="1"/>
      <c r="C25">
        <v>6.0999999999999999E-2</v>
      </c>
      <c r="D25">
        <v>6.0999999999999999E-2</v>
      </c>
      <c r="E25">
        <v>6.2E-2</v>
      </c>
      <c r="F25">
        <v>0.1</v>
      </c>
      <c r="G25">
        <v>0.10199999999999999</v>
      </c>
      <c r="H25">
        <v>0.10199999999999999</v>
      </c>
      <c r="I25">
        <f t="shared" si="2"/>
        <v>8.1333333333333327E-2</v>
      </c>
      <c r="L25">
        <f t="shared" si="3"/>
        <v>1.5825957447383776</v>
      </c>
      <c r="N25" s="4">
        <f t="shared" si="4"/>
        <v>0</v>
      </c>
      <c r="O25" s="11"/>
      <c r="P25" s="2">
        <f t="shared" ref="P25:P26" si="40">(M25*0.5)/$O$24</f>
        <v>0</v>
      </c>
    </row>
    <row r="26" spans="1:24" x14ac:dyDescent="0.25">
      <c r="B26" s="1"/>
      <c r="C26">
        <v>0.20100000000000001</v>
      </c>
      <c r="D26">
        <v>0.2</v>
      </c>
      <c r="E26">
        <v>0.19900000000000001</v>
      </c>
      <c r="F26">
        <v>0.11600000000000001</v>
      </c>
      <c r="G26">
        <v>0.11600000000000001</v>
      </c>
      <c r="H26">
        <v>0.11600000000000001</v>
      </c>
      <c r="I26">
        <f t="shared" si="2"/>
        <v>0.158</v>
      </c>
      <c r="L26">
        <f t="shared" si="3"/>
        <v>2.8436778488797771</v>
      </c>
      <c r="M26">
        <f t="shared" si="0"/>
        <v>0.67531860504383623</v>
      </c>
      <c r="N26">
        <f t="shared" si="4"/>
        <v>3.3765930252191809E-2</v>
      </c>
      <c r="O26" s="2"/>
      <c r="P26" s="2">
        <f t="shared" si="40"/>
        <v>3.7770001011164053E-2</v>
      </c>
    </row>
    <row r="27" spans="1:24" x14ac:dyDescent="0.25">
      <c r="A27" t="s">
        <v>21</v>
      </c>
      <c r="B27" s="1" t="s">
        <v>22</v>
      </c>
      <c r="C27">
        <v>0.77400000000000002</v>
      </c>
      <c r="D27">
        <v>0.77500000000000002</v>
      </c>
      <c r="E27">
        <v>0.77500000000000002</v>
      </c>
      <c r="F27">
        <v>0.81</v>
      </c>
      <c r="G27">
        <v>0.81100000000000005</v>
      </c>
      <c r="H27">
        <v>0.81200000000000006</v>
      </c>
      <c r="I27">
        <f t="shared" si="2"/>
        <v>0.79283333333333328</v>
      </c>
      <c r="J27">
        <f t="shared" ref="J27" si="41">AVERAGE(I27:I29)</f>
        <v>0.73188888888888881</v>
      </c>
      <c r="K27">
        <f>TREND($J$33:$J$37,$I$33:$I$37,J27)</f>
        <v>12.283517077706339</v>
      </c>
      <c r="L27">
        <f t="shared" si="3"/>
        <v>13.285985967737584</v>
      </c>
      <c r="M27">
        <f t="shared" si="0"/>
        <v>11.117626723901644</v>
      </c>
      <c r="N27">
        <f t="shared" si="4"/>
        <v>0.55588133619508218</v>
      </c>
      <c r="O27" s="2">
        <v>8.9050270712762085</v>
      </c>
      <c r="P27" s="2">
        <f>(M27*0.5)/$O$27</f>
        <v>0.62423317946793955</v>
      </c>
      <c r="Q27" s="2">
        <f t="shared" ref="Q27" si="42">AVERAGE(P27:P29)</f>
        <v>0.56794649544062314</v>
      </c>
      <c r="R27">
        <f t="shared" ref="R27" si="43">STDEV(P27:P29)/SQRT(3)</f>
        <v>6.1910847417663027E-2</v>
      </c>
    </row>
    <row r="28" spans="1:24" x14ac:dyDescent="0.25">
      <c r="B28" s="1"/>
      <c r="C28">
        <v>0.79</v>
      </c>
      <c r="D28">
        <v>0.79100000000000004</v>
      </c>
      <c r="E28">
        <v>0.79100000000000004</v>
      </c>
      <c r="F28">
        <v>0.81699999999999995</v>
      </c>
      <c r="G28">
        <v>0.81899999999999995</v>
      </c>
      <c r="H28">
        <v>0.82099999999999995</v>
      </c>
      <c r="I28">
        <f t="shared" si="2"/>
        <v>0.80483333333333329</v>
      </c>
      <c r="L28">
        <f t="shared" si="3"/>
        <v>13.483372731864062</v>
      </c>
      <c r="M28">
        <f t="shared" si="0"/>
        <v>11.315013488028121</v>
      </c>
      <c r="N28">
        <f t="shared" si="4"/>
        <v>0.56575067440140603</v>
      </c>
      <c r="O28" s="2"/>
      <c r="P28" s="2">
        <f t="shared" ref="P28:P29" si="44">(M28*0.5)/$O$27</f>
        <v>0.63531606346967173</v>
      </c>
    </row>
    <row r="29" spans="1:24" x14ac:dyDescent="0.25">
      <c r="B29" s="1"/>
      <c r="C29">
        <v>0.58199999999999996</v>
      </c>
      <c r="D29">
        <v>0.58299999999999996</v>
      </c>
      <c r="E29">
        <v>0.58099999999999996</v>
      </c>
      <c r="F29">
        <v>0.61399999999999999</v>
      </c>
      <c r="G29">
        <v>0.61399999999999999</v>
      </c>
      <c r="H29">
        <v>0.61399999999999999</v>
      </c>
      <c r="I29">
        <f t="shared" si="2"/>
        <v>0.59799999999999998</v>
      </c>
      <c r="L29">
        <f t="shared" si="3"/>
        <v>10.081192533517374</v>
      </c>
      <c r="M29">
        <f t="shared" si="0"/>
        <v>7.9128332896814335</v>
      </c>
      <c r="N29">
        <f t="shared" si="4"/>
        <v>0.39564166448407168</v>
      </c>
      <c r="O29" s="2"/>
      <c r="P29" s="2">
        <f t="shared" si="44"/>
        <v>0.44429024338425843</v>
      </c>
    </row>
    <row r="30" spans="1:24" x14ac:dyDescent="0.25">
      <c r="B30" t="s">
        <v>39</v>
      </c>
      <c r="C30">
        <v>0.112</v>
      </c>
      <c r="D30">
        <v>0.115</v>
      </c>
      <c r="E30">
        <v>0.115</v>
      </c>
      <c r="F30">
        <v>0.09</v>
      </c>
      <c r="G30">
        <v>9.2999999999999999E-2</v>
      </c>
      <c r="H30">
        <v>0.104</v>
      </c>
      <c r="I30">
        <f t="shared" si="2"/>
        <v>0.10483333333333333</v>
      </c>
      <c r="J30">
        <f>AVERAGE(I30:I32)</f>
        <v>0.11694444444444445</v>
      </c>
      <c r="K30">
        <f>TREND($J$33:$J$37,$I$33:$I$37,J30)</f>
        <v>2.1683592438359409</v>
      </c>
      <c r="O30" s="2"/>
      <c r="P30" s="2"/>
    </row>
    <row r="31" spans="1:24" x14ac:dyDescent="0.25">
      <c r="B31" t="s">
        <v>39</v>
      </c>
      <c r="C31">
        <v>0.154</v>
      </c>
      <c r="D31">
        <v>0.156</v>
      </c>
      <c r="E31">
        <v>0.158</v>
      </c>
      <c r="F31">
        <v>0.11799999999999999</v>
      </c>
      <c r="G31">
        <v>0.125</v>
      </c>
      <c r="H31">
        <v>0.127</v>
      </c>
      <c r="I31">
        <f>AVERAGE(C31:H31)</f>
        <v>0.13966666666666666</v>
      </c>
    </row>
    <row r="32" spans="1:24" x14ac:dyDescent="0.25">
      <c r="B32" t="s">
        <v>39</v>
      </c>
      <c r="C32">
        <v>0.114</v>
      </c>
      <c r="D32">
        <v>0.113</v>
      </c>
      <c r="E32">
        <v>0.113</v>
      </c>
      <c r="F32">
        <v>0.10199999999999999</v>
      </c>
      <c r="G32">
        <v>9.9000000000000005E-2</v>
      </c>
      <c r="H32">
        <v>9.7000000000000003E-2</v>
      </c>
      <c r="I32">
        <f>AVERAGE(C32:H32)</f>
        <v>0.10633333333333334</v>
      </c>
    </row>
    <row r="33" spans="2:10" x14ac:dyDescent="0.25">
      <c r="B33" t="s">
        <v>40</v>
      </c>
      <c r="C33">
        <v>9.5000000000000001E-2</v>
      </c>
      <c r="D33">
        <v>9.5000000000000001E-2</v>
      </c>
      <c r="E33">
        <v>9.6000000000000002E-2</v>
      </c>
      <c r="F33">
        <v>8.4000000000000005E-2</v>
      </c>
      <c r="G33">
        <v>8.4000000000000005E-2</v>
      </c>
      <c r="H33">
        <v>8.4000000000000005E-2</v>
      </c>
      <c r="I33">
        <f t="shared" si="2"/>
        <v>8.9666666666666672E-2</v>
      </c>
      <c r="J33">
        <v>0</v>
      </c>
    </row>
    <row r="34" spans="2:10" x14ac:dyDescent="0.25">
      <c r="B34" t="s">
        <v>41</v>
      </c>
      <c r="C34">
        <v>0.14399999999999999</v>
      </c>
      <c r="D34">
        <v>0.14299999999999999</v>
      </c>
      <c r="E34">
        <v>0.14299999999999999</v>
      </c>
      <c r="F34">
        <v>0.154</v>
      </c>
      <c r="G34">
        <v>0.153</v>
      </c>
      <c r="H34">
        <v>0.152</v>
      </c>
      <c r="I34">
        <f t="shared" si="2"/>
        <v>0.14816666666666667</v>
      </c>
      <c r="J34">
        <v>2</v>
      </c>
    </row>
    <row r="35" spans="2:10" x14ac:dyDescent="0.25">
      <c r="B35" t="s">
        <v>42</v>
      </c>
      <c r="C35">
        <v>0.115</v>
      </c>
      <c r="D35">
        <v>0.115</v>
      </c>
      <c r="E35">
        <v>0.115</v>
      </c>
      <c r="F35">
        <v>0.10199999999999999</v>
      </c>
      <c r="G35">
        <v>0.10199999999999999</v>
      </c>
      <c r="H35">
        <v>0.10299999999999999</v>
      </c>
      <c r="I35">
        <f t="shared" si="2"/>
        <v>0.10866666666666668</v>
      </c>
      <c r="J35">
        <v>4</v>
      </c>
    </row>
    <row r="36" spans="2:10" x14ac:dyDescent="0.25">
      <c r="B36" t="s">
        <v>43</v>
      </c>
      <c r="C36">
        <v>0.39600000000000002</v>
      </c>
      <c r="D36">
        <v>0.39600000000000002</v>
      </c>
      <c r="E36">
        <v>0.39600000000000002</v>
      </c>
      <c r="F36">
        <v>0.42</v>
      </c>
      <c r="G36">
        <v>0.42</v>
      </c>
      <c r="H36">
        <v>0.42</v>
      </c>
      <c r="I36">
        <f t="shared" si="2"/>
        <v>0.40799999999999997</v>
      </c>
      <c r="J36">
        <v>8</v>
      </c>
    </row>
    <row r="37" spans="2:10" x14ac:dyDescent="0.25">
      <c r="B37" t="s">
        <v>44</v>
      </c>
      <c r="C37">
        <v>0.60699999999999998</v>
      </c>
      <c r="D37">
        <v>0.60699999999999998</v>
      </c>
      <c r="E37">
        <v>0.60699999999999998</v>
      </c>
      <c r="F37">
        <v>0.65400000000000003</v>
      </c>
      <c r="G37">
        <v>0.65300000000000002</v>
      </c>
      <c r="H37">
        <v>0.65300000000000002</v>
      </c>
      <c r="I37">
        <f t="shared" si="2"/>
        <v>0.63016666666666665</v>
      </c>
      <c r="J37">
        <v>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H4" sqref="H4"/>
    </sheetView>
  </sheetViews>
  <sheetFormatPr defaultRowHeight="15" x14ac:dyDescent="0.25"/>
  <cols>
    <col min="1" max="1" width="19.140625" customWidth="1"/>
    <col min="7" max="7" width="26.42578125" customWidth="1"/>
    <col min="8" max="8" width="36.42578125" customWidth="1"/>
    <col min="9" max="9" width="23.42578125" customWidth="1"/>
    <col min="12" max="12" width="18.28515625" customWidth="1"/>
  </cols>
  <sheetData>
    <row r="1" spans="1:16" x14ac:dyDescent="0.25">
      <c r="B1" t="s">
        <v>45</v>
      </c>
    </row>
    <row r="2" spans="1:16" x14ac:dyDescent="0.25">
      <c r="C2" t="s">
        <v>46</v>
      </c>
      <c r="F2" t="s">
        <v>35</v>
      </c>
      <c r="G2" t="s">
        <v>47</v>
      </c>
      <c r="H2" t="s">
        <v>67</v>
      </c>
      <c r="I2" t="s">
        <v>52</v>
      </c>
      <c r="J2" t="s">
        <v>34</v>
      </c>
      <c r="K2" t="s">
        <v>54</v>
      </c>
      <c r="L2" t="s">
        <v>49</v>
      </c>
      <c r="M2" t="s">
        <v>46</v>
      </c>
      <c r="P2" t="s">
        <v>35</v>
      </c>
    </row>
    <row r="3" spans="1:16" x14ac:dyDescent="0.25">
      <c r="A3" t="s">
        <v>5</v>
      </c>
      <c r="B3" s="1" t="s">
        <v>6</v>
      </c>
      <c r="C3">
        <v>0.27</v>
      </c>
      <c r="D3">
        <v>0.27</v>
      </c>
      <c r="E3">
        <v>0.27</v>
      </c>
      <c r="F3">
        <f>AVERAGE(C3:E3)</f>
        <v>0.27</v>
      </c>
      <c r="G3">
        <f>TREND($P$3:$P$6,$L$3:$L$6,F3)</f>
        <v>0.73271239999999993</v>
      </c>
      <c r="H3">
        <f>(G3*6*5)/(1*$I$3)</f>
        <v>24.317911590762026</v>
      </c>
      <c r="I3" s="6">
        <f>moisture!I2</f>
        <v>0.90391693044687094</v>
      </c>
      <c r="J3" s="2">
        <f>AVERAGE(H3:H5)</f>
        <v>24.322677171252661</v>
      </c>
      <c r="K3">
        <f>STDEV(H3:H5)/SQRT(3)</f>
        <v>1.0335747994337091E-2</v>
      </c>
      <c r="L3">
        <v>0</v>
      </c>
      <c r="M3">
        <v>0.76500000000000001</v>
      </c>
      <c r="N3">
        <v>0.76700000000000002</v>
      </c>
      <c r="O3">
        <v>0.76700000000000002</v>
      </c>
      <c r="P3">
        <f>AVERAGE(M3:O3)</f>
        <v>0.76633333333333331</v>
      </c>
    </row>
    <row r="4" spans="1:16" x14ac:dyDescent="0.25">
      <c r="B4" s="1"/>
      <c r="C4">
        <v>0.29499999999999998</v>
      </c>
      <c r="D4">
        <v>0.29499999999999998</v>
      </c>
      <c r="E4">
        <v>0.29399999999999998</v>
      </c>
      <c r="F4">
        <f>AVERAGE(C4:E4)</f>
        <v>0.29466666666666663</v>
      </c>
      <c r="G4">
        <f t="shared" ref="G4:G30" si="0">TREND($P$3:$P$6,$L$3:$L$6,F4)</f>
        <v>0.73240291555555548</v>
      </c>
      <c r="H4">
        <f t="shared" ref="H4:H5" si="1">(G4*6*5)/(1*$I$3)</f>
        <v>24.307640145432707</v>
      </c>
      <c r="I4" s="6"/>
      <c r="J4" s="2"/>
      <c r="L4">
        <v>5</v>
      </c>
      <c r="M4">
        <v>0.63500000000000001</v>
      </c>
      <c r="N4">
        <v>0.63500000000000001</v>
      </c>
      <c r="O4">
        <v>0.63500000000000001</v>
      </c>
      <c r="P4">
        <f>AVERAGE(M4:O4)</f>
        <v>0.63500000000000001</v>
      </c>
    </row>
    <row r="5" spans="1:16" x14ac:dyDescent="0.25">
      <c r="B5" s="1"/>
      <c r="C5">
        <v>0.21099999999999999</v>
      </c>
      <c r="D5">
        <v>0.21099999999999999</v>
      </c>
      <c r="E5">
        <v>0.21099999999999999</v>
      </c>
      <c r="F5">
        <f t="shared" ref="F5:F29" si="2">AVERAGE(C5:E5)</f>
        <v>0.21099999999999999</v>
      </c>
      <c r="G5">
        <f t="shared" si="0"/>
        <v>0.73345265333333332</v>
      </c>
      <c r="H5">
        <f t="shared" si="1"/>
        <v>24.342479777563245</v>
      </c>
      <c r="I5" s="6"/>
      <c r="J5" s="2"/>
      <c r="L5">
        <v>10</v>
      </c>
      <c r="M5">
        <v>0.59599999999999997</v>
      </c>
      <c r="N5">
        <v>0.59699999999999998</v>
      </c>
      <c r="O5">
        <v>0.59699999999999998</v>
      </c>
      <c r="P5">
        <f>AVERAGE(M5:O5)</f>
        <v>0.59666666666666668</v>
      </c>
    </row>
    <row r="6" spans="1:16" x14ac:dyDescent="0.25">
      <c r="A6" t="s">
        <v>7</v>
      </c>
      <c r="B6" s="1" t="s">
        <v>8</v>
      </c>
      <c r="C6">
        <v>0.35</v>
      </c>
      <c r="D6">
        <v>0.35</v>
      </c>
      <c r="E6">
        <v>0.35</v>
      </c>
      <c r="F6">
        <f t="shared" si="2"/>
        <v>0.34999999999999992</v>
      </c>
      <c r="G6">
        <f t="shared" si="0"/>
        <v>0.73170866666666667</v>
      </c>
      <c r="H6">
        <f>(G6*6*5)/(1*$I$6)</f>
        <v>24.034528230061813</v>
      </c>
      <c r="I6" s="6">
        <f>moisture!I5</f>
        <v>0.91332185886402761</v>
      </c>
      <c r="J6" s="2">
        <f t="shared" ref="J6" si="3">AVERAGE(H6:H8)</f>
        <v>24.065574751495046</v>
      </c>
      <c r="K6">
        <f t="shared" ref="K6" si="4">STDEV(H6:H8)/SQRT(3)</f>
        <v>1.5649383670509318E-2</v>
      </c>
      <c r="L6">
        <v>15</v>
      </c>
      <c r="M6">
        <v>0.61099999999999999</v>
      </c>
      <c r="N6">
        <v>0.61199999999999999</v>
      </c>
      <c r="O6">
        <v>0.48699999999999999</v>
      </c>
      <c r="P6">
        <f>AVERAGE(M6:O6)</f>
        <v>0.56999999999999995</v>
      </c>
    </row>
    <row r="7" spans="1:16" x14ac:dyDescent="0.25">
      <c r="B7" s="1"/>
      <c r="C7">
        <v>0.245</v>
      </c>
      <c r="D7">
        <v>0.245</v>
      </c>
      <c r="E7">
        <v>0.246</v>
      </c>
      <c r="F7">
        <f t="shared" si="2"/>
        <v>0.24533333333333332</v>
      </c>
      <c r="G7">
        <f t="shared" si="0"/>
        <v>0.73302188444444438</v>
      </c>
      <c r="H7">
        <f t="shared" ref="H7:H8" si="5">(G7*6*5)/(1*$I$6)</f>
        <v>24.077663662495599</v>
      </c>
      <c r="I7" s="6"/>
      <c r="J7" s="2"/>
    </row>
    <row r="8" spans="1:16" x14ac:dyDescent="0.25">
      <c r="B8" s="1"/>
      <c r="C8">
        <v>0.22800000000000001</v>
      </c>
      <c r="D8">
        <v>0.22900000000000001</v>
      </c>
      <c r="E8">
        <v>0.22900000000000001</v>
      </c>
      <c r="F8">
        <f t="shared" si="2"/>
        <v>0.22866666666666668</v>
      </c>
      <c r="G8">
        <f t="shared" si="0"/>
        <v>0.73323099555555549</v>
      </c>
      <c r="H8">
        <f t="shared" si="5"/>
        <v>24.084532361927728</v>
      </c>
      <c r="I8" s="6"/>
      <c r="J8" s="2"/>
    </row>
    <row r="9" spans="1:16" x14ac:dyDescent="0.25">
      <c r="A9" t="s">
        <v>9</v>
      </c>
      <c r="B9" s="1" t="s">
        <v>10</v>
      </c>
      <c r="C9">
        <v>0.248</v>
      </c>
      <c r="D9">
        <v>0.247</v>
      </c>
      <c r="E9">
        <v>0.247</v>
      </c>
      <c r="F9">
        <f>AVERAGE(C9:E9)</f>
        <v>0.24733333333333332</v>
      </c>
      <c r="G9">
        <f t="shared" si="0"/>
        <v>0.73299679111111105</v>
      </c>
      <c r="H9">
        <f>(G9*6*5)/(1*$I$9)</f>
        <v>24.383591658612861</v>
      </c>
      <c r="I9" s="6">
        <f>moisture!I8</f>
        <v>0.90183202053279055</v>
      </c>
      <c r="J9" s="2">
        <f t="shared" ref="J9" si="6">AVERAGE(H9:H11)</f>
        <v>24.359986917789247</v>
      </c>
      <c r="K9">
        <f t="shared" ref="K9" si="7">STDEV(H9:H11)/SQRT(3)</f>
        <v>3.4266223368249644E-2</v>
      </c>
    </row>
    <row r="10" spans="1:16" x14ac:dyDescent="0.25">
      <c r="B10" s="1"/>
      <c r="C10">
        <v>0.46600000000000003</v>
      </c>
      <c r="D10">
        <v>0.46500000000000002</v>
      </c>
      <c r="E10">
        <v>0.46600000000000003</v>
      </c>
      <c r="F10">
        <f t="shared" si="2"/>
        <v>0.46566666666666667</v>
      </c>
      <c r="G10">
        <f t="shared" si="0"/>
        <v>0.73025743555555556</v>
      </c>
      <c r="H10">
        <f t="shared" ref="H10:H11" si="8">(G10*6*5)/(1*$I$9)</f>
        <v>24.292465301602252</v>
      </c>
      <c r="I10" s="6"/>
      <c r="J10" s="2"/>
    </row>
    <row r="11" spans="1:16" x14ac:dyDescent="0.25">
      <c r="B11" s="1"/>
      <c r="C11">
        <v>0.19800000000000001</v>
      </c>
      <c r="D11">
        <v>0.19900000000000001</v>
      </c>
      <c r="E11">
        <v>0.19900000000000001</v>
      </c>
      <c r="F11">
        <f t="shared" si="2"/>
        <v>0.19866666666666669</v>
      </c>
      <c r="G11">
        <f t="shared" si="0"/>
        <v>0.73360739555555554</v>
      </c>
      <c r="H11">
        <f t="shared" si="8"/>
        <v>24.403903793152629</v>
      </c>
      <c r="I11" s="6"/>
      <c r="J11" s="2"/>
    </row>
    <row r="12" spans="1:16" x14ac:dyDescent="0.25">
      <c r="A12" t="s">
        <v>11</v>
      </c>
      <c r="B12" s="1" t="s">
        <v>12</v>
      </c>
      <c r="C12">
        <v>0.34699999999999998</v>
      </c>
      <c r="D12">
        <v>0.34599999999999997</v>
      </c>
      <c r="E12">
        <v>0.34699999999999998</v>
      </c>
      <c r="F12">
        <f t="shared" si="2"/>
        <v>0.34666666666666668</v>
      </c>
      <c r="G12">
        <f t="shared" si="0"/>
        <v>0.73175048888888883</v>
      </c>
      <c r="H12">
        <f>(G12*6*5)/(1*$I$12)</f>
        <v>25.660973590699577</v>
      </c>
      <c r="I12" s="6">
        <f>moisture!I11</f>
        <v>0.85548253222251147</v>
      </c>
      <c r="J12" s="2">
        <f t="shared" ref="J12" si="9">AVERAGE(H12:H14)</f>
        <v>25.678181916606565</v>
      </c>
      <c r="K12">
        <f t="shared" ref="K12" si="10">STDEV(H12:H14)/SQRT(3)</f>
        <v>1.3314585903862693E-2</v>
      </c>
    </row>
    <row r="13" spans="1:16" x14ac:dyDescent="0.25">
      <c r="B13" s="1"/>
      <c r="C13">
        <v>0.248</v>
      </c>
      <c r="D13">
        <v>0.248</v>
      </c>
      <c r="E13">
        <v>0.248</v>
      </c>
      <c r="F13">
        <f t="shared" si="2"/>
        <v>0.248</v>
      </c>
      <c r="G13">
        <f t="shared" si="0"/>
        <v>0.73298842666666664</v>
      </c>
      <c r="H13">
        <f t="shared" ref="H13:H14" si="11">(G13*6*5)/(1*$I$12)</f>
        <v>25.704385503783119</v>
      </c>
      <c r="I13" s="6"/>
      <c r="J13" s="2"/>
    </row>
    <row r="14" spans="1:16" x14ac:dyDescent="0.25">
      <c r="B14" s="1"/>
      <c r="C14">
        <v>0.32800000000000001</v>
      </c>
      <c r="D14">
        <v>0.32800000000000001</v>
      </c>
      <c r="E14">
        <v>0.32800000000000001</v>
      </c>
      <c r="F14">
        <f t="shared" si="2"/>
        <v>0.32800000000000001</v>
      </c>
      <c r="G14">
        <f t="shared" si="0"/>
        <v>0.73198469333333327</v>
      </c>
      <c r="H14">
        <f t="shared" si="11"/>
        <v>25.669186655337004</v>
      </c>
      <c r="I14" s="6"/>
      <c r="J14" s="2"/>
    </row>
    <row r="15" spans="1:16" x14ac:dyDescent="0.25">
      <c r="A15" t="s">
        <v>13</v>
      </c>
      <c r="B15" s="1" t="s">
        <v>14</v>
      </c>
      <c r="C15">
        <v>0.31</v>
      </c>
      <c r="D15">
        <v>0.31</v>
      </c>
      <c r="E15">
        <v>0.31</v>
      </c>
      <c r="F15">
        <f t="shared" si="2"/>
        <v>0.31</v>
      </c>
      <c r="G15">
        <f t="shared" si="0"/>
        <v>0.7322105333333333</v>
      </c>
      <c r="H15">
        <f>(G15*6*5)/(1*$I$15)</f>
        <v>25.7513785284441</v>
      </c>
      <c r="I15" s="6">
        <f>moisture!I14</f>
        <v>0.85301514929527955</v>
      </c>
      <c r="J15" s="2">
        <f t="shared" ref="J15:J27" si="12">AVERAGE(H15:H17)</f>
        <v>25.795651442820667</v>
      </c>
      <c r="K15">
        <f t="shared" ref="K15" si="13">STDEV(H15:H17)/SQRT(3)</f>
        <v>3.4233162764955263E-2</v>
      </c>
    </row>
    <row r="16" spans="1:16" x14ac:dyDescent="0.25">
      <c r="B16" s="1"/>
      <c r="C16">
        <v>5.7000000000000002E-2</v>
      </c>
      <c r="D16">
        <v>5.8000000000000003E-2</v>
      </c>
      <c r="E16">
        <v>5.6000000000000001E-2</v>
      </c>
      <c r="F16">
        <f t="shared" si="2"/>
        <v>5.7000000000000002E-2</v>
      </c>
      <c r="G16">
        <f t="shared" si="0"/>
        <v>0.73538483999999993</v>
      </c>
      <c r="H16">
        <f t="shared" ref="H16:H17" si="14">(G16*6*5)/(1*$I$15)</f>
        <v>25.863016873998305</v>
      </c>
      <c r="I16" s="6"/>
      <c r="J16" s="2"/>
    </row>
    <row r="17" spans="1:11" x14ac:dyDescent="0.25">
      <c r="B17" s="1"/>
      <c r="C17">
        <v>0.26200000000000001</v>
      </c>
      <c r="D17">
        <v>0.26200000000000001</v>
      </c>
      <c r="E17">
        <v>0.26200000000000001</v>
      </c>
      <c r="F17">
        <f t="shared" si="2"/>
        <v>0.26200000000000001</v>
      </c>
      <c r="G17">
        <f t="shared" si="0"/>
        <v>0.73281277333333328</v>
      </c>
      <c r="H17">
        <f t="shared" si="14"/>
        <v>25.772558926019599</v>
      </c>
      <c r="I17" s="6"/>
      <c r="J17" s="2"/>
    </row>
    <row r="18" spans="1:11" x14ac:dyDescent="0.25">
      <c r="A18" t="s">
        <v>15</v>
      </c>
      <c r="B18" s="1" t="s">
        <v>16</v>
      </c>
      <c r="C18">
        <v>0.24</v>
      </c>
      <c r="D18">
        <v>0.24</v>
      </c>
      <c r="E18">
        <v>0.24</v>
      </c>
      <c r="F18">
        <f t="shared" si="2"/>
        <v>0.24</v>
      </c>
      <c r="G18">
        <f t="shared" si="0"/>
        <v>0.73308879999999998</v>
      </c>
      <c r="H18">
        <f>(G18*6*5)/(1*$I$18)</f>
        <v>24.733110733024457</v>
      </c>
      <c r="I18" s="6">
        <f>moisture!I17</f>
        <v>0.88919926965089247</v>
      </c>
      <c r="J18" s="2">
        <f t="shared" si="12"/>
        <v>24.705454989811443</v>
      </c>
      <c r="K18">
        <f t="shared" ref="K18" si="15">STDEV(H18:H20)/SQRT(3)</f>
        <v>1.6794543735324591E-2</v>
      </c>
    </row>
    <row r="19" spans="1:11" x14ac:dyDescent="0.25">
      <c r="B19" s="1"/>
      <c r="C19">
        <v>0.377</v>
      </c>
      <c r="D19">
        <v>0.377</v>
      </c>
      <c r="E19">
        <v>0.377</v>
      </c>
      <c r="F19">
        <f t="shared" si="2"/>
        <v>0.377</v>
      </c>
      <c r="G19">
        <f t="shared" si="0"/>
        <v>0.73136990666666668</v>
      </c>
      <c r="H19">
        <f t="shared" ref="H19:H20" si="16">(G19*6*5)/(1*$I$18)</f>
        <v>24.675118332715535</v>
      </c>
      <c r="I19" s="6"/>
      <c r="J19" s="2"/>
    </row>
    <row r="20" spans="1:11" x14ac:dyDescent="0.25">
      <c r="B20" s="1"/>
      <c r="C20">
        <v>0.29899999999999999</v>
      </c>
      <c r="D20">
        <v>0.29899999999999999</v>
      </c>
      <c r="E20">
        <v>0.29899999999999999</v>
      </c>
      <c r="F20">
        <f t="shared" si="2"/>
        <v>0.29899999999999999</v>
      </c>
      <c r="G20">
        <f t="shared" si="0"/>
        <v>0.7323485466666666</v>
      </c>
      <c r="H20">
        <f t="shared" si="16"/>
        <v>24.708135903694334</v>
      </c>
      <c r="I20" s="6"/>
      <c r="J20" s="2"/>
    </row>
    <row r="21" spans="1:11" x14ac:dyDescent="0.25">
      <c r="A21" t="s">
        <v>17</v>
      </c>
      <c r="B21" s="1" t="s">
        <v>18</v>
      </c>
      <c r="C21">
        <v>0.24199999999999999</v>
      </c>
      <c r="D21">
        <v>0.24199999999999999</v>
      </c>
      <c r="E21">
        <v>0.24199999999999999</v>
      </c>
      <c r="F21">
        <f t="shared" si="2"/>
        <v>0.24199999999999999</v>
      </c>
      <c r="G21">
        <f t="shared" si="0"/>
        <v>0.73306370666666665</v>
      </c>
      <c r="H21">
        <f>(G21*6*5)/(1*$I$21)</f>
        <v>24.844040354344155</v>
      </c>
      <c r="I21" s="6">
        <f>moisture!I20</f>
        <v>0.88519865876624859</v>
      </c>
      <c r="J21" s="2">
        <f t="shared" si="12"/>
        <v>24.861993888601194</v>
      </c>
      <c r="K21">
        <f t="shared" ref="K21" si="17">STDEV(H21:H23)/SQRT(3)</f>
        <v>1.4298340852473137E-2</v>
      </c>
    </row>
    <row r="22" spans="1:11" x14ac:dyDescent="0.25">
      <c r="B22" s="1"/>
      <c r="C22">
        <v>0.13400000000000001</v>
      </c>
      <c r="D22">
        <v>0.13400000000000001</v>
      </c>
      <c r="E22">
        <v>0.13200000000000001</v>
      </c>
      <c r="F22">
        <f>AVERAGE(C22:E22)</f>
        <v>0.13333333333333333</v>
      </c>
      <c r="G22">
        <f t="shared" si="0"/>
        <v>0.73442711111111114</v>
      </c>
      <c r="H22">
        <f t="shared" ref="H22:H23" si="18">(G22*6*5)/(1*$I$21)</f>
        <v>24.890247081984636</v>
      </c>
      <c r="I22" s="6"/>
      <c r="J22" s="2"/>
    </row>
    <row r="23" spans="1:11" x14ac:dyDescent="0.25">
      <c r="B23" s="1"/>
      <c r="C23">
        <v>0.224</v>
      </c>
      <c r="D23">
        <v>0.224</v>
      </c>
      <c r="E23">
        <v>0.224</v>
      </c>
      <c r="F23">
        <f t="shared" si="2"/>
        <v>0.224</v>
      </c>
      <c r="G23">
        <f t="shared" si="0"/>
        <v>0.73328954666666668</v>
      </c>
      <c r="H23">
        <f t="shared" si="18"/>
        <v>24.851694229474788</v>
      </c>
      <c r="I23" s="6"/>
      <c r="J23" s="2"/>
    </row>
    <row r="24" spans="1:11" x14ac:dyDescent="0.25">
      <c r="A24" t="s">
        <v>19</v>
      </c>
      <c r="B24" s="1" t="s">
        <v>20</v>
      </c>
      <c r="C24">
        <v>0.109</v>
      </c>
      <c r="D24">
        <v>0.109</v>
      </c>
      <c r="E24">
        <v>0.109</v>
      </c>
      <c r="F24">
        <f t="shared" si="2"/>
        <v>0.109</v>
      </c>
      <c r="G24">
        <f t="shared" si="0"/>
        <v>0.73473241333333328</v>
      </c>
      <c r="H24">
        <f>(G24*6*5)/(1*$I$24)</f>
        <v>24.655779172025312</v>
      </c>
      <c r="I24" s="6">
        <f>moisture!I23</f>
        <v>0.89398806852589907</v>
      </c>
      <c r="J24" s="2">
        <f t="shared" si="12"/>
        <v>24.599500866861472</v>
      </c>
      <c r="K24">
        <f t="shared" ref="K24" si="19">STDEV(H24:H26)/SQRT(3)</f>
        <v>5.1308874941783059E-2</v>
      </c>
    </row>
    <row r="25" spans="1:11" x14ac:dyDescent="0.25">
      <c r="B25" s="1"/>
      <c r="C25">
        <v>0.13300000000000001</v>
      </c>
      <c r="D25">
        <v>0.13300000000000001</v>
      </c>
      <c r="E25">
        <v>0.13300000000000001</v>
      </c>
      <c r="F25">
        <f t="shared" si="2"/>
        <v>0.13300000000000001</v>
      </c>
      <c r="G25">
        <f>TREND($P$3:$P$6,$L$3:$L$6,F25)</f>
        <v>0.73443129333333335</v>
      </c>
      <c r="H25">
        <f t="shared" ref="H25:H26" si="20">(G25*6*5)/(1*$I$24)</f>
        <v>24.64567433917794</v>
      </c>
      <c r="I25" s="6"/>
      <c r="J25" s="2"/>
    </row>
    <row r="26" spans="1:11" x14ac:dyDescent="0.25">
      <c r="B26" s="1"/>
      <c r="C26">
        <v>0.48599999999999999</v>
      </c>
      <c r="D26">
        <v>0.48599999999999999</v>
      </c>
      <c r="E26">
        <v>0.48599999999999999</v>
      </c>
      <c r="F26">
        <f t="shared" si="2"/>
        <v>0.48599999999999999</v>
      </c>
      <c r="G26">
        <f t="shared" si="0"/>
        <v>0.73000231999999998</v>
      </c>
      <c r="H26">
        <f t="shared" si="20"/>
        <v>24.497049089381161</v>
      </c>
      <c r="I26" s="6"/>
      <c r="J26" s="2"/>
    </row>
    <row r="27" spans="1:11" x14ac:dyDescent="0.25">
      <c r="A27" t="s">
        <v>21</v>
      </c>
      <c r="B27" s="1" t="s">
        <v>22</v>
      </c>
      <c r="C27">
        <v>0.35699999999999998</v>
      </c>
      <c r="D27">
        <v>0.35699999999999998</v>
      </c>
      <c r="E27">
        <v>0.35699999999999998</v>
      </c>
      <c r="F27">
        <f t="shared" si="2"/>
        <v>0.35699999999999998</v>
      </c>
      <c r="G27">
        <f t="shared" si="0"/>
        <v>0.73162083999999994</v>
      </c>
      <c r="H27">
        <f>(G27*6*5)/(1*$I$27)</f>
        <v>24.647454773940932</v>
      </c>
      <c r="I27" s="6">
        <f>moisture!I26</f>
        <v>0.89050270712762081</v>
      </c>
      <c r="J27" s="2">
        <f t="shared" si="12"/>
        <v>24.667414785631156</v>
      </c>
      <c r="K27">
        <f t="shared" ref="K27" si="21">STDEV(H27:H29)/SQRT(3)</f>
        <v>1.3215628966163477E-2</v>
      </c>
    </row>
    <row r="28" spans="1:11" x14ac:dyDescent="0.25">
      <c r="C28">
        <v>0.251</v>
      </c>
      <c r="D28">
        <v>0.251</v>
      </c>
      <c r="E28">
        <v>0.25</v>
      </c>
      <c r="F28">
        <f t="shared" si="2"/>
        <v>0.25066666666666665</v>
      </c>
      <c r="G28">
        <f t="shared" si="0"/>
        <v>0.73295496888888889</v>
      </c>
      <c r="H28">
        <f>(G28*6*5)/(1*$I$27)</f>
        <v>24.692400023793979</v>
      </c>
      <c r="I28" s="6"/>
      <c r="J28" s="2"/>
    </row>
    <row r="29" spans="1:11" x14ac:dyDescent="0.25">
      <c r="C29">
        <v>0.32100000000000001</v>
      </c>
      <c r="D29">
        <v>0.32200000000000001</v>
      </c>
      <c r="E29">
        <v>0.32200000000000001</v>
      </c>
      <c r="F29">
        <f t="shared" si="2"/>
        <v>0.32166666666666671</v>
      </c>
      <c r="G29">
        <f t="shared" si="0"/>
        <v>0.73206415555555548</v>
      </c>
      <c r="H29">
        <f>(G29*6*5)/(1*$I$27)</f>
        <v>24.662389559158555</v>
      </c>
      <c r="I29" s="6"/>
    </row>
    <row r="30" spans="1:11" x14ac:dyDescent="0.25">
      <c r="A30" t="s">
        <v>53</v>
      </c>
      <c r="C30">
        <v>0.127</v>
      </c>
      <c r="D30">
        <v>0.127</v>
      </c>
      <c r="E30">
        <v>0.128</v>
      </c>
      <c r="F30">
        <f>AVERAGE(E30:E32)</f>
        <v>0.126</v>
      </c>
      <c r="G30">
        <f t="shared" si="0"/>
        <v>0.73451911999999997</v>
      </c>
      <c r="I30" s="6"/>
    </row>
    <row r="31" spans="1:11" x14ac:dyDescent="0.25">
      <c r="C31">
        <v>0.125</v>
      </c>
      <c r="D31">
        <v>0.124</v>
      </c>
      <c r="E31">
        <v>0.124</v>
      </c>
      <c r="I31" s="6"/>
    </row>
    <row r="32" spans="1:11" x14ac:dyDescent="0.25">
      <c r="C32">
        <v>0.126</v>
      </c>
      <c r="D32">
        <v>0.126</v>
      </c>
      <c r="E32">
        <v>0.126</v>
      </c>
      <c r="I32" s="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U1" workbookViewId="0">
      <selection activeCell="S3" sqref="S3"/>
    </sheetView>
  </sheetViews>
  <sheetFormatPr defaultRowHeight="15" x14ac:dyDescent="0.25"/>
  <cols>
    <col min="1" max="1" width="18.5703125" customWidth="1"/>
    <col min="2" max="2" width="11.5703125" customWidth="1"/>
    <col min="3" max="3" width="8.28515625" hidden="1" customWidth="1"/>
    <col min="4" max="4" width="13" hidden="1" customWidth="1"/>
    <col min="5" max="5" width="16.28515625" hidden="1" customWidth="1"/>
    <col min="6" max="6" width="15" hidden="1" customWidth="1"/>
    <col min="7" max="7" width="28.7109375" hidden="1" customWidth="1"/>
    <col min="8" max="8" width="17.7109375" hidden="1" customWidth="1"/>
    <col min="9" max="9" width="33.42578125" hidden="1" customWidth="1"/>
    <col min="10" max="10" width="16.5703125" hidden="1" customWidth="1"/>
    <col min="11" max="11" width="15.28515625" customWidth="1"/>
    <col min="12" max="12" width="19.7109375" customWidth="1"/>
    <col min="16" max="16" width="18" customWidth="1"/>
    <col min="17" max="17" width="10.7109375" customWidth="1"/>
    <col min="18" max="18" width="42.140625" customWidth="1"/>
    <col min="19" max="19" width="24.140625" customWidth="1"/>
    <col min="20" max="20" width="27.5703125" customWidth="1"/>
    <col min="21" max="21" width="20.28515625" customWidth="1"/>
    <col min="22" max="22" width="27.85546875" customWidth="1"/>
    <col min="23" max="23" width="19.85546875" customWidth="1"/>
    <col min="24" max="24" width="33.42578125" customWidth="1"/>
    <col min="25" max="25" width="16.5703125" customWidth="1"/>
    <col min="26" max="26" width="12.7109375" customWidth="1"/>
    <col min="27" max="27" width="21.5703125" customWidth="1"/>
  </cols>
  <sheetData>
    <row r="1" spans="1:29" x14ac:dyDescent="0.25">
      <c r="D1" s="1" t="s">
        <v>56</v>
      </c>
      <c r="R1" s="1" t="s">
        <v>57</v>
      </c>
    </row>
    <row r="2" spans="1:29" x14ac:dyDescent="0.25"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54</v>
      </c>
      <c r="Q2" t="s">
        <v>23</v>
      </c>
      <c r="R2" t="s">
        <v>25</v>
      </c>
      <c r="T2" t="s">
        <v>26</v>
      </c>
      <c r="U2" t="s">
        <v>27</v>
      </c>
      <c r="V2" t="s">
        <v>28</v>
      </c>
      <c r="W2" t="s">
        <v>29</v>
      </c>
      <c r="X2" t="s">
        <v>30</v>
      </c>
      <c r="Y2" t="s">
        <v>31</v>
      </c>
      <c r="Z2" t="s">
        <v>32</v>
      </c>
      <c r="AA2" t="s">
        <v>33</v>
      </c>
      <c r="AB2" t="s">
        <v>34</v>
      </c>
      <c r="AC2" t="s">
        <v>54</v>
      </c>
    </row>
    <row r="3" spans="1:29" x14ac:dyDescent="0.25">
      <c r="A3" t="s">
        <v>5</v>
      </c>
      <c r="B3" s="1" t="s">
        <v>6</v>
      </c>
      <c r="C3">
        <v>24.7</v>
      </c>
      <c r="D3">
        <v>20.100000000000001</v>
      </c>
      <c r="E3">
        <v>5</v>
      </c>
      <c r="F3">
        <v>8.8000000000000078</v>
      </c>
      <c r="G3">
        <v>4.5599999999999996</v>
      </c>
      <c r="H3">
        <v>25</v>
      </c>
      <c r="I3">
        <v>4</v>
      </c>
      <c r="J3">
        <f>($C$3-D3)*0.003*(0.033)*(H3/I3)</f>
        <v>2.846249999999999E-3</v>
      </c>
      <c r="K3">
        <f>J3*1000</f>
        <v>2.8462499999999991</v>
      </c>
      <c r="L3">
        <f>((K3*(H3+E3-G3))/G3)</f>
        <v>15.879078947368418</v>
      </c>
      <c r="M3">
        <f>AVERAGE(L3:L5)</f>
        <v>6.3462214200940084</v>
      </c>
      <c r="P3" t="s">
        <v>5</v>
      </c>
      <c r="Q3" s="1" t="s">
        <v>6</v>
      </c>
      <c r="R3">
        <v>20</v>
      </c>
      <c r="S3">
        <f>R3*8</f>
        <v>160</v>
      </c>
      <c r="T3">
        <v>5</v>
      </c>
      <c r="U3">
        <v>8.8000000000000078</v>
      </c>
      <c r="V3">
        <v>4.5599999999999996</v>
      </c>
      <c r="W3">
        <v>25</v>
      </c>
      <c r="X3">
        <v>4</v>
      </c>
      <c r="Y3">
        <f t="shared" ref="Y3:Y29" si="0">($C4-R3)*0.003*(0.033)*(W3/X3)</f>
        <v>-1.2375000000000001E-2</v>
      </c>
      <c r="Z3">
        <f>Y3*1000</f>
        <v>-12.375</v>
      </c>
      <c r="AA3">
        <f>((Z3*(W3+T3-V3))/V3)</f>
        <v>-69.039473684210535</v>
      </c>
      <c r="AB3">
        <f>AVERAGE(AA3:AA5)</f>
        <v>-65.303839306601489</v>
      </c>
    </row>
    <row r="4" spans="1:29" x14ac:dyDescent="0.25">
      <c r="B4" s="1"/>
      <c r="D4">
        <v>24.3</v>
      </c>
      <c r="E4">
        <v>5</v>
      </c>
      <c r="F4">
        <v>9.1999999999999993</v>
      </c>
      <c r="G4">
        <v>4.54</v>
      </c>
      <c r="H4">
        <v>25</v>
      </c>
      <c r="I4">
        <v>4</v>
      </c>
      <c r="J4">
        <f t="shared" ref="J4:J29" si="1">($C$3-D4)*0.003*(0.033)*(H4/I4)</f>
        <v>2.4749999999999913E-4</v>
      </c>
      <c r="K4">
        <f t="shared" ref="K4:K29" si="2">J4*1000</f>
        <v>0.24749999999999914</v>
      </c>
      <c r="L4">
        <f t="shared" ref="L4:L29" si="3">((K4*(H4+E4-G4))/G4)</f>
        <v>1.3879625550660744</v>
      </c>
      <c r="Q4" s="1"/>
      <c r="R4">
        <v>19</v>
      </c>
      <c r="S4">
        <f t="shared" ref="S4:S29" si="4">R4*8</f>
        <v>152</v>
      </c>
      <c r="T4">
        <v>5</v>
      </c>
      <c r="U4">
        <v>9.1999999999999993</v>
      </c>
      <c r="V4">
        <v>4.54</v>
      </c>
      <c r="W4">
        <v>25</v>
      </c>
      <c r="X4">
        <v>4</v>
      </c>
      <c r="Y4">
        <f t="shared" si="0"/>
        <v>-1.1756250000000001E-2</v>
      </c>
      <c r="Z4">
        <f t="shared" ref="Z4:Z29" si="5">Y4*1000</f>
        <v>-11.756250000000001</v>
      </c>
      <c r="AA4">
        <f t="shared" ref="AA4:AA29" si="6">((Z4*(W4+T4-V4))/V4)</f>
        <v>-65.928221365638777</v>
      </c>
    </row>
    <row r="5" spans="1:29" x14ac:dyDescent="0.25">
      <c r="B5" s="1"/>
      <c r="D5">
        <v>24.2</v>
      </c>
      <c r="E5">
        <v>5</v>
      </c>
      <c r="F5">
        <v>10.8</v>
      </c>
      <c r="G5">
        <v>4.46</v>
      </c>
      <c r="H5">
        <v>25</v>
      </c>
      <c r="I5">
        <v>4</v>
      </c>
      <c r="J5">
        <f t="shared" si="1"/>
        <v>3.0937500000000003E-4</v>
      </c>
      <c r="K5">
        <f t="shared" si="2"/>
        <v>0.30937500000000001</v>
      </c>
      <c r="L5">
        <f t="shared" si="3"/>
        <v>1.7716227578475336</v>
      </c>
      <c r="Q5" s="1"/>
      <c r="R5">
        <v>17.2</v>
      </c>
      <c r="S5">
        <f t="shared" si="4"/>
        <v>137.6</v>
      </c>
      <c r="T5">
        <v>5</v>
      </c>
      <c r="U5">
        <v>10.8</v>
      </c>
      <c r="V5">
        <v>4.46</v>
      </c>
      <c r="W5">
        <v>25</v>
      </c>
      <c r="X5">
        <v>4</v>
      </c>
      <c r="Y5">
        <f t="shared" si="0"/>
        <v>-1.0642499999999999E-2</v>
      </c>
      <c r="Z5">
        <f t="shared" si="5"/>
        <v>-10.642499999999998</v>
      </c>
      <c r="AA5">
        <f t="shared" si="6"/>
        <v>-60.943822869955149</v>
      </c>
    </row>
    <row r="6" spans="1:29" x14ac:dyDescent="0.25">
      <c r="A6" t="s">
        <v>7</v>
      </c>
      <c r="B6" s="1" t="s">
        <v>8</v>
      </c>
      <c r="D6">
        <v>23.5</v>
      </c>
      <c r="E6">
        <v>5</v>
      </c>
      <c r="F6">
        <v>11.999999999999993</v>
      </c>
      <c r="G6">
        <v>4.4000000000000004</v>
      </c>
      <c r="H6">
        <v>25</v>
      </c>
      <c r="I6">
        <v>4</v>
      </c>
      <c r="J6">
        <f t="shared" si="1"/>
        <v>7.4249999999999956E-4</v>
      </c>
      <c r="K6">
        <f t="shared" si="2"/>
        <v>0.7424999999999996</v>
      </c>
      <c r="L6">
        <f t="shared" si="3"/>
        <v>4.3199999999999976</v>
      </c>
      <c r="M6">
        <f t="shared" ref="M6" si="7">AVERAGE(L6:L8)</f>
        <v>4.3599067164179113</v>
      </c>
      <c r="P6" t="s">
        <v>7</v>
      </c>
      <c r="Q6" s="1" t="s">
        <v>8</v>
      </c>
      <c r="R6">
        <v>16.600000000000001</v>
      </c>
      <c r="S6">
        <f t="shared" si="4"/>
        <v>132.80000000000001</v>
      </c>
      <c r="T6">
        <v>5</v>
      </c>
      <c r="U6">
        <v>11.999999999999993</v>
      </c>
      <c r="V6">
        <v>4.4000000000000004</v>
      </c>
      <c r="W6">
        <v>25</v>
      </c>
      <c r="X6">
        <v>4</v>
      </c>
      <c r="Y6">
        <f t="shared" si="0"/>
        <v>-1.0271250000000001E-2</v>
      </c>
      <c r="Z6">
        <f t="shared" si="5"/>
        <v>-10.27125</v>
      </c>
      <c r="AA6">
        <f t="shared" si="6"/>
        <v>-59.76</v>
      </c>
      <c r="AB6">
        <f t="shared" ref="AB6" si="8">AVERAGE(AA6:AA8)</f>
        <v>-61.231918976545842</v>
      </c>
    </row>
    <row r="7" spans="1:29" x14ac:dyDescent="0.25">
      <c r="B7" s="1"/>
      <c r="D7">
        <v>23.4</v>
      </c>
      <c r="E7">
        <v>5</v>
      </c>
      <c r="F7">
        <v>6.1999999999999922</v>
      </c>
      <c r="G7">
        <v>4.6900000000000004</v>
      </c>
      <c r="H7">
        <v>25</v>
      </c>
      <c r="I7">
        <v>4</v>
      </c>
      <c r="J7">
        <f t="shared" si="1"/>
        <v>8.0437500000000062E-4</v>
      </c>
      <c r="K7">
        <f t="shared" si="2"/>
        <v>0.80437500000000062</v>
      </c>
      <c r="L7">
        <f t="shared" si="3"/>
        <v>4.3408808635394482</v>
      </c>
      <c r="Q7" s="1"/>
      <c r="R7">
        <v>19.2</v>
      </c>
      <c r="S7">
        <f t="shared" si="4"/>
        <v>153.6</v>
      </c>
      <c r="T7">
        <v>5</v>
      </c>
      <c r="U7">
        <v>6.1999999999999922</v>
      </c>
      <c r="V7">
        <v>4.6900000000000004</v>
      </c>
      <c r="W7">
        <v>25</v>
      </c>
      <c r="X7">
        <v>4</v>
      </c>
      <c r="Y7">
        <f t="shared" si="0"/>
        <v>-1.188E-2</v>
      </c>
      <c r="Z7">
        <f t="shared" si="5"/>
        <v>-11.88</v>
      </c>
      <c r="AA7">
        <f t="shared" si="6"/>
        <v>-64.111471215351798</v>
      </c>
    </row>
    <row r="8" spans="1:29" x14ac:dyDescent="0.25">
      <c r="B8" s="1"/>
      <c r="D8">
        <v>23.4</v>
      </c>
      <c r="E8">
        <v>5</v>
      </c>
      <c r="F8">
        <v>7.5999999999999988</v>
      </c>
      <c r="G8">
        <v>4.62</v>
      </c>
      <c r="H8">
        <v>25</v>
      </c>
      <c r="I8">
        <v>4</v>
      </c>
      <c r="J8">
        <f t="shared" si="1"/>
        <v>8.0437500000000062E-4</v>
      </c>
      <c r="K8">
        <f t="shared" si="2"/>
        <v>0.80437500000000062</v>
      </c>
      <c r="L8">
        <f t="shared" si="3"/>
        <v>4.4188392857142889</v>
      </c>
      <c r="Q8" s="1"/>
      <c r="R8">
        <v>17.600000000000001</v>
      </c>
      <c r="S8">
        <f t="shared" si="4"/>
        <v>140.80000000000001</v>
      </c>
      <c r="T8">
        <v>5</v>
      </c>
      <c r="U8">
        <v>7.5999999999999988</v>
      </c>
      <c r="V8">
        <v>4.62</v>
      </c>
      <c r="W8">
        <v>25</v>
      </c>
      <c r="X8">
        <v>4</v>
      </c>
      <c r="Y8">
        <f t="shared" si="0"/>
        <v>-1.0890000000000002E-2</v>
      </c>
      <c r="Z8">
        <f t="shared" si="5"/>
        <v>-10.890000000000002</v>
      </c>
      <c r="AA8">
        <f t="shared" si="6"/>
        <v>-59.824285714285722</v>
      </c>
    </row>
    <row r="9" spans="1:29" x14ac:dyDescent="0.25">
      <c r="A9" t="s">
        <v>9</v>
      </c>
      <c r="B9" s="1" t="s">
        <v>10</v>
      </c>
      <c r="D9">
        <v>23.6</v>
      </c>
      <c r="E9">
        <v>5</v>
      </c>
      <c r="F9">
        <v>11.199999999999992</v>
      </c>
      <c r="G9">
        <v>4.4400000000000004</v>
      </c>
      <c r="H9">
        <v>25</v>
      </c>
      <c r="I9">
        <v>4</v>
      </c>
      <c r="J9">
        <f t="shared" si="1"/>
        <v>6.8062499999999872E-4</v>
      </c>
      <c r="K9">
        <f t="shared" si="2"/>
        <v>0.6806249999999987</v>
      </c>
      <c r="L9">
        <f t="shared" si="3"/>
        <v>3.9181925675675595</v>
      </c>
      <c r="M9">
        <f t="shared" ref="M9" si="9">AVERAGE(L9:L11)</f>
        <v>8.0389808558558506</v>
      </c>
      <c r="P9" t="s">
        <v>9</v>
      </c>
      <c r="Q9" s="1" t="s">
        <v>10</v>
      </c>
      <c r="R9">
        <v>11.3</v>
      </c>
      <c r="S9">
        <f t="shared" si="4"/>
        <v>90.4</v>
      </c>
      <c r="T9">
        <v>5</v>
      </c>
      <c r="U9">
        <v>11.199999999999992</v>
      </c>
      <c r="V9">
        <v>4.4400000000000004</v>
      </c>
      <c r="W9">
        <v>25</v>
      </c>
      <c r="X9">
        <v>4</v>
      </c>
      <c r="Y9">
        <f t="shared" si="0"/>
        <v>-6.9918749999999998E-3</v>
      </c>
      <c r="Z9">
        <f t="shared" si="5"/>
        <v>-6.9918749999999994</v>
      </c>
      <c r="AA9">
        <f t="shared" si="6"/>
        <v>-40.250523648648638</v>
      </c>
      <c r="AB9">
        <f t="shared" ref="AB9" si="10">AVERAGE(AA9:AA11)</f>
        <v>-32.536755431902485</v>
      </c>
    </row>
    <row r="10" spans="1:29" x14ac:dyDescent="0.25">
      <c r="B10" s="1"/>
      <c r="D10">
        <v>23</v>
      </c>
      <c r="E10">
        <v>5</v>
      </c>
      <c r="F10">
        <v>8.2000000000000028</v>
      </c>
      <c r="G10">
        <v>4.59</v>
      </c>
      <c r="H10">
        <v>25</v>
      </c>
      <c r="I10">
        <v>4</v>
      </c>
      <c r="J10">
        <f t="shared" si="1"/>
        <v>1.0518749999999996E-3</v>
      </c>
      <c r="K10">
        <f t="shared" si="2"/>
        <v>1.0518749999999997</v>
      </c>
      <c r="L10">
        <f t="shared" si="3"/>
        <v>5.8231249999999983</v>
      </c>
      <c r="Q10" s="1"/>
      <c r="R10">
        <v>6.1</v>
      </c>
      <c r="S10">
        <f t="shared" si="4"/>
        <v>48.8</v>
      </c>
      <c r="T10">
        <v>5</v>
      </c>
      <c r="U10">
        <v>8.2000000000000028</v>
      </c>
      <c r="V10">
        <v>4.59</v>
      </c>
      <c r="W10">
        <v>25</v>
      </c>
      <c r="X10">
        <v>4</v>
      </c>
      <c r="Y10">
        <f t="shared" si="0"/>
        <v>-3.774375E-3</v>
      </c>
      <c r="Z10">
        <f t="shared" si="5"/>
        <v>-3.774375</v>
      </c>
      <c r="AA10">
        <f t="shared" si="6"/>
        <v>-20.894742647058823</v>
      </c>
    </row>
    <row r="11" spans="1:29" x14ac:dyDescent="0.25">
      <c r="B11" s="1"/>
      <c r="D11">
        <v>20.6</v>
      </c>
      <c r="E11">
        <v>5</v>
      </c>
      <c r="F11">
        <v>10</v>
      </c>
      <c r="G11">
        <v>4.5</v>
      </c>
      <c r="H11">
        <v>25</v>
      </c>
      <c r="I11">
        <v>4</v>
      </c>
      <c r="J11">
        <f t="shared" si="1"/>
        <v>2.5368749999999988E-3</v>
      </c>
      <c r="K11">
        <f t="shared" si="2"/>
        <v>2.5368749999999989</v>
      </c>
      <c r="L11">
        <f t="shared" si="3"/>
        <v>14.375624999999994</v>
      </c>
      <c r="Q11" s="1"/>
      <c r="R11">
        <v>10.4</v>
      </c>
      <c r="S11">
        <f t="shared" si="4"/>
        <v>83.2</v>
      </c>
      <c r="T11">
        <v>5</v>
      </c>
      <c r="U11">
        <v>10</v>
      </c>
      <c r="V11">
        <v>4.5</v>
      </c>
      <c r="W11">
        <v>25</v>
      </c>
      <c r="X11">
        <v>4</v>
      </c>
      <c r="Y11">
        <f t="shared" si="0"/>
        <v>-6.4350000000000006E-3</v>
      </c>
      <c r="Z11">
        <f t="shared" si="5"/>
        <v>-6.4350000000000005</v>
      </c>
      <c r="AA11">
        <f t="shared" si="6"/>
        <v>-36.465000000000003</v>
      </c>
    </row>
    <row r="12" spans="1:29" x14ac:dyDescent="0.25">
      <c r="A12" t="s">
        <v>11</v>
      </c>
      <c r="B12" s="1" t="s">
        <v>12</v>
      </c>
      <c r="D12">
        <v>22.5</v>
      </c>
      <c r="E12">
        <v>5</v>
      </c>
      <c r="F12">
        <v>15.8</v>
      </c>
      <c r="G12">
        <v>4.21</v>
      </c>
      <c r="H12">
        <v>25</v>
      </c>
      <c r="I12">
        <v>4</v>
      </c>
      <c r="J12">
        <f t="shared" si="1"/>
        <v>1.3612499999999996E-3</v>
      </c>
      <c r="K12">
        <f t="shared" si="2"/>
        <v>1.3612499999999996</v>
      </c>
      <c r="L12">
        <f t="shared" si="3"/>
        <v>8.3388687648456035</v>
      </c>
      <c r="M12">
        <f t="shared" ref="M12" si="11">AVERAGE(L12:L14)</f>
        <v>6.8305764446722774</v>
      </c>
      <c r="P12" t="s">
        <v>11</v>
      </c>
      <c r="Q12" s="1" t="s">
        <v>12</v>
      </c>
      <c r="R12">
        <v>13.4</v>
      </c>
      <c r="S12">
        <f t="shared" si="4"/>
        <v>107.2</v>
      </c>
      <c r="T12">
        <v>5</v>
      </c>
      <c r="U12">
        <v>15.8</v>
      </c>
      <c r="V12">
        <v>4.21</v>
      </c>
      <c r="W12">
        <v>25</v>
      </c>
      <c r="X12">
        <v>4</v>
      </c>
      <c r="Y12">
        <f t="shared" si="0"/>
        <v>-8.29125E-3</v>
      </c>
      <c r="Z12">
        <f t="shared" si="5"/>
        <v>-8.2912499999999998</v>
      </c>
      <c r="AA12">
        <f t="shared" si="6"/>
        <v>-50.791291567695957</v>
      </c>
      <c r="AB12">
        <f t="shared" ref="AB12" si="12">AVERAGE(AA12:AA14)</f>
        <v>-44.596749653490825</v>
      </c>
    </row>
    <row r="13" spans="1:29" x14ac:dyDescent="0.25">
      <c r="B13" s="1"/>
      <c r="D13">
        <v>23.1</v>
      </c>
      <c r="E13">
        <v>5</v>
      </c>
      <c r="F13">
        <v>15.999999999999998</v>
      </c>
      <c r="G13">
        <v>4.2</v>
      </c>
      <c r="H13">
        <v>25</v>
      </c>
      <c r="I13">
        <v>4</v>
      </c>
      <c r="J13">
        <f t="shared" si="1"/>
        <v>9.8999999999999869E-4</v>
      </c>
      <c r="K13">
        <f t="shared" si="2"/>
        <v>0.98999999999999866</v>
      </c>
      <c r="L13">
        <f t="shared" si="3"/>
        <v>6.081428571428563</v>
      </c>
      <c r="Q13" s="1"/>
      <c r="R13">
        <v>8.4</v>
      </c>
      <c r="S13">
        <f t="shared" si="4"/>
        <v>67.2</v>
      </c>
      <c r="T13">
        <v>5</v>
      </c>
      <c r="U13">
        <v>15.999999999999998</v>
      </c>
      <c r="V13">
        <v>4.2</v>
      </c>
      <c r="W13">
        <v>25</v>
      </c>
      <c r="X13">
        <v>4</v>
      </c>
      <c r="Y13">
        <f t="shared" si="0"/>
        <v>-5.1975000000000007E-3</v>
      </c>
      <c r="Z13">
        <f t="shared" si="5"/>
        <v>-5.1975000000000007</v>
      </c>
      <c r="AA13">
        <f t="shared" si="6"/>
        <v>-31.927500000000002</v>
      </c>
    </row>
    <row r="14" spans="1:29" x14ac:dyDescent="0.25">
      <c r="B14" s="1"/>
      <c r="D14">
        <v>23</v>
      </c>
      <c r="E14">
        <v>5</v>
      </c>
      <c r="F14">
        <v>11.400000000000006</v>
      </c>
      <c r="G14">
        <v>4.43</v>
      </c>
      <c r="H14">
        <v>25</v>
      </c>
      <c r="I14">
        <v>4</v>
      </c>
      <c r="J14">
        <f t="shared" si="1"/>
        <v>1.0518749999999996E-3</v>
      </c>
      <c r="K14">
        <f t="shared" si="2"/>
        <v>1.0518749999999997</v>
      </c>
      <c r="L14">
        <f t="shared" si="3"/>
        <v>6.0714319977426623</v>
      </c>
      <c r="Q14" s="1"/>
      <c r="R14">
        <v>14.3</v>
      </c>
      <c r="S14">
        <f t="shared" si="4"/>
        <v>114.4</v>
      </c>
      <c r="T14">
        <v>5</v>
      </c>
      <c r="U14">
        <v>11.400000000000006</v>
      </c>
      <c r="V14">
        <v>4.43</v>
      </c>
      <c r="W14">
        <v>25</v>
      </c>
      <c r="X14">
        <v>4</v>
      </c>
      <c r="Y14">
        <f t="shared" si="0"/>
        <v>-8.8481250000000001E-3</v>
      </c>
      <c r="Z14">
        <f t="shared" si="5"/>
        <v>-8.8481249999999996</v>
      </c>
      <c r="AA14">
        <f t="shared" si="6"/>
        <v>-51.071457392776523</v>
      </c>
    </row>
    <row r="15" spans="1:29" x14ac:dyDescent="0.25">
      <c r="A15" t="s">
        <v>13</v>
      </c>
      <c r="B15" s="1" t="s">
        <v>14</v>
      </c>
      <c r="D15">
        <v>22.8</v>
      </c>
      <c r="E15">
        <v>5</v>
      </c>
      <c r="F15">
        <v>12.799999999999995</v>
      </c>
      <c r="G15">
        <v>4.3600000000000003</v>
      </c>
      <c r="H15">
        <v>25</v>
      </c>
      <c r="I15">
        <v>4</v>
      </c>
      <c r="J15">
        <f t="shared" si="1"/>
        <v>1.1756249999999994E-3</v>
      </c>
      <c r="K15">
        <f t="shared" si="2"/>
        <v>1.1756249999999995</v>
      </c>
      <c r="L15">
        <f t="shared" si="3"/>
        <v>6.9135378440366937</v>
      </c>
      <c r="M15">
        <f t="shared" ref="M15" si="13">AVERAGE(L15:L17)</f>
        <v>10.411998461192196</v>
      </c>
      <c r="P15" t="s">
        <v>13</v>
      </c>
      <c r="Q15" s="1" t="s">
        <v>14</v>
      </c>
      <c r="R15">
        <v>0.2</v>
      </c>
      <c r="S15">
        <f t="shared" si="4"/>
        <v>1.6</v>
      </c>
      <c r="T15">
        <v>5</v>
      </c>
      <c r="U15">
        <v>12.799999999999995</v>
      </c>
      <c r="V15">
        <v>4.3600000000000003</v>
      </c>
      <c r="W15">
        <v>25</v>
      </c>
      <c r="X15">
        <v>4</v>
      </c>
      <c r="Y15">
        <f t="shared" si="0"/>
        <v>-1.2375000000000003E-4</v>
      </c>
      <c r="Z15">
        <f t="shared" si="5"/>
        <v>-0.12375000000000003</v>
      </c>
      <c r="AA15">
        <f t="shared" si="6"/>
        <v>-0.72774082568807352</v>
      </c>
      <c r="AB15">
        <f t="shared" ref="AB15" si="14">AVERAGE(AA15:AA17)</f>
        <v>-0.24258027522935785</v>
      </c>
    </row>
    <row r="16" spans="1:29" x14ac:dyDescent="0.25">
      <c r="B16" s="1"/>
      <c r="D16">
        <v>22.5</v>
      </c>
      <c r="E16">
        <v>5</v>
      </c>
      <c r="F16">
        <v>14.399999999999997</v>
      </c>
      <c r="G16">
        <v>4.28</v>
      </c>
      <c r="H16">
        <v>25</v>
      </c>
      <c r="I16">
        <v>4</v>
      </c>
      <c r="J16">
        <f t="shared" si="1"/>
        <v>1.3612499999999996E-3</v>
      </c>
      <c r="K16">
        <f t="shared" si="2"/>
        <v>1.3612499999999996</v>
      </c>
      <c r="L16">
        <f t="shared" si="3"/>
        <v>8.1802219626168196</v>
      </c>
      <c r="Q16" s="1"/>
      <c r="R16">
        <v>0</v>
      </c>
      <c r="S16">
        <f t="shared" si="4"/>
        <v>0</v>
      </c>
      <c r="T16">
        <v>5</v>
      </c>
      <c r="U16">
        <v>14.399999999999997</v>
      </c>
      <c r="V16">
        <v>4.28</v>
      </c>
      <c r="W16">
        <v>25</v>
      </c>
      <c r="X16">
        <v>4</v>
      </c>
      <c r="Y16">
        <f t="shared" si="0"/>
        <v>0</v>
      </c>
      <c r="Z16">
        <f t="shared" si="5"/>
        <v>0</v>
      </c>
      <c r="AA16">
        <f t="shared" si="6"/>
        <v>0</v>
      </c>
    </row>
    <row r="17" spans="1:28" x14ac:dyDescent="0.25">
      <c r="B17" s="1"/>
      <c r="D17">
        <v>20.5</v>
      </c>
      <c r="E17">
        <v>5</v>
      </c>
      <c r="F17">
        <v>16.799999999999997</v>
      </c>
      <c r="G17">
        <v>4.16</v>
      </c>
      <c r="H17">
        <v>25</v>
      </c>
      <c r="I17">
        <v>4</v>
      </c>
      <c r="J17">
        <f t="shared" si="1"/>
        <v>2.5987499999999999E-3</v>
      </c>
      <c r="K17">
        <f t="shared" si="2"/>
        <v>2.5987499999999999</v>
      </c>
      <c r="L17">
        <f t="shared" si="3"/>
        <v>16.142235576923074</v>
      </c>
      <c r="Q17" s="1"/>
      <c r="R17">
        <v>0</v>
      </c>
      <c r="S17">
        <f t="shared" si="4"/>
        <v>0</v>
      </c>
      <c r="T17">
        <v>5</v>
      </c>
      <c r="U17">
        <v>16.799999999999997</v>
      </c>
      <c r="V17">
        <v>4.16</v>
      </c>
      <c r="W17">
        <v>25</v>
      </c>
      <c r="X17">
        <v>4</v>
      </c>
      <c r="Y17">
        <f t="shared" si="0"/>
        <v>0</v>
      </c>
      <c r="Z17">
        <f t="shared" si="5"/>
        <v>0</v>
      </c>
      <c r="AA17">
        <f t="shared" si="6"/>
        <v>0</v>
      </c>
    </row>
    <row r="18" spans="1:28" x14ac:dyDescent="0.25">
      <c r="A18" t="s">
        <v>15</v>
      </c>
      <c r="B18" s="1" t="s">
        <v>16</v>
      </c>
      <c r="D18">
        <v>22.8</v>
      </c>
      <c r="E18">
        <v>5</v>
      </c>
      <c r="F18">
        <v>10.199999999999996</v>
      </c>
      <c r="G18">
        <v>4.49</v>
      </c>
      <c r="H18">
        <v>25</v>
      </c>
      <c r="I18">
        <v>4</v>
      </c>
      <c r="J18">
        <f t="shared" si="1"/>
        <v>1.1756249999999994E-3</v>
      </c>
      <c r="K18">
        <f t="shared" si="2"/>
        <v>1.1756249999999995</v>
      </c>
      <c r="L18">
        <f t="shared" si="3"/>
        <v>6.6793304565701526</v>
      </c>
      <c r="M18">
        <f t="shared" ref="M18" si="15">AVERAGE(L18:L20)</f>
        <v>8.6508014507489452</v>
      </c>
      <c r="P18" t="s">
        <v>15</v>
      </c>
      <c r="Q18" s="1" t="s">
        <v>16</v>
      </c>
      <c r="R18">
        <v>0.5</v>
      </c>
      <c r="S18">
        <f t="shared" si="4"/>
        <v>4</v>
      </c>
      <c r="T18">
        <v>5</v>
      </c>
      <c r="U18">
        <v>10.199999999999996</v>
      </c>
      <c r="V18">
        <v>4.49</v>
      </c>
      <c r="W18">
        <v>25</v>
      </c>
      <c r="X18">
        <v>4</v>
      </c>
      <c r="Y18">
        <f t="shared" si="0"/>
        <v>-3.0937500000000003E-4</v>
      </c>
      <c r="Z18">
        <f t="shared" si="5"/>
        <v>-0.30937500000000001</v>
      </c>
      <c r="AA18">
        <f t="shared" si="6"/>
        <v>-1.7577185412026723</v>
      </c>
      <c r="AB18">
        <f t="shared" ref="AB18" si="16">AVERAGE(AA18:AA20)</f>
        <v>-0.58590618040089082</v>
      </c>
    </row>
    <row r="19" spans="1:28" x14ac:dyDescent="0.25">
      <c r="B19" s="1"/>
      <c r="D19">
        <v>21.6</v>
      </c>
      <c r="E19">
        <v>5</v>
      </c>
      <c r="F19">
        <v>10.399999999999991</v>
      </c>
      <c r="G19">
        <v>4.4800000000000004</v>
      </c>
      <c r="H19">
        <v>25</v>
      </c>
      <c r="I19">
        <v>4</v>
      </c>
      <c r="J19">
        <f t="shared" si="1"/>
        <v>1.9181249999999988E-3</v>
      </c>
      <c r="K19">
        <f t="shared" si="2"/>
        <v>1.9181249999999987</v>
      </c>
      <c r="L19">
        <f t="shared" si="3"/>
        <v>10.92646205357142</v>
      </c>
      <c r="Q19" s="1"/>
      <c r="R19">
        <v>0</v>
      </c>
      <c r="S19">
        <f t="shared" si="4"/>
        <v>0</v>
      </c>
      <c r="T19">
        <v>5</v>
      </c>
      <c r="U19">
        <v>10.399999999999991</v>
      </c>
      <c r="V19">
        <v>4.4800000000000004</v>
      </c>
      <c r="W19">
        <v>25</v>
      </c>
      <c r="X19">
        <v>4</v>
      </c>
      <c r="Y19">
        <f t="shared" si="0"/>
        <v>0</v>
      </c>
      <c r="Z19">
        <f t="shared" si="5"/>
        <v>0</v>
      </c>
      <c r="AA19">
        <f t="shared" si="6"/>
        <v>0</v>
      </c>
    </row>
    <row r="20" spans="1:28" x14ac:dyDescent="0.25">
      <c r="B20" s="1"/>
      <c r="D20">
        <v>22.4</v>
      </c>
      <c r="E20">
        <v>5</v>
      </c>
      <c r="F20">
        <v>12.599999999999998</v>
      </c>
      <c r="G20">
        <v>4.37</v>
      </c>
      <c r="H20">
        <v>25</v>
      </c>
      <c r="I20">
        <v>4</v>
      </c>
      <c r="J20">
        <f t="shared" si="1"/>
        <v>1.4231250000000006E-3</v>
      </c>
      <c r="K20">
        <f t="shared" si="2"/>
        <v>1.4231250000000006</v>
      </c>
      <c r="L20">
        <f t="shared" si="3"/>
        <v>8.3466118421052666</v>
      </c>
      <c r="Q20" s="1"/>
      <c r="R20">
        <v>0</v>
      </c>
      <c r="S20">
        <f t="shared" si="4"/>
        <v>0</v>
      </c>
      <c r="T20">
        <v>5</v>
      </c>
      <c r="U20">
        <v>12.599999999999998</v>
      </c>
      <c r="V20">
        <v>4.37</v>
      </c>
      <c r="W20">
        <v>25</v>
      </c>
      <c r="X20">
        <v>4</v>
      </c>
      <c r="Y20">
        <f t="shared" si="0"/>
        <v>0</v>
      </c>
      <c r="Z20">
        <f t="shared" si="5"/>
        <v>0</v>
      </c>
      <c r="AA20">
        <f t="shared" si="6"/>
        <v>0</v>
      </c>
    </row>
    <row r="21" spans="1:28" x14ac:dyDescent="0.25">
      <c r="A21" t="s">
        <v>17</v>
      </c>
      <c r="B21" s="1" t="s">
        <v>18</v>
      </c>
      <c r="D21">
        <v>21.2</v>
      </c>
      <c r="E21">
        <v>5</v>
      </c>
      <c r="F21">
        <v>10.8</v>
      </c>
      <c r="G21">
        <v>4.46</v>
      </c>
      <c r="H21">
        <v>25</v>
      </c>
      <c r="I21">
        <v>4</v>
      </c>
      <c r="J21">
        <f t="shared" si="1"/>
        <v>2.165625E-3</v>
      </c>
      <c r="K21">
        <f t="shared" si="2"/>
        <v>2.1656249999999999</v>
      </c>
      <c r="L21">
        <f t="shared" si="3"/>
        <v>12.401359304932734</v>
      </c>
      <c r="M21">
        <f t="shared" ref="M21" si="17">AVERAGE(L21:L23)</f>
        <v>11.935749956153233</v>
      </c>
      <c r="P21" t="s">
        <v>17</v>
      </c>
      <c r="Q21" s="1" t="s">
        <v>18</v>
      </c>
      <c r="R21">
        <v>1.5</v>
      </c>
      <c r="S21">
        <f t="shared" si="4"/>
        <v>12</v>
      </c>
      <c r="T21">
        <v>5</v>
      </c>
      <c r="U21">
        <v>10.8</v>
      </c>
      <c r="V21">
        <v>4.46</v>
      </c>
      <c r="W21">
        <v>25</v>
      </c>
      <c r="X21">
        <v>4</v>
      </c>
      <c r="Y21">
        <f t="shared" si="0"/>
        <v>-9.2812500000000024E-4</v>
      </c>
      <c r="Z21">
        <f t="shared" si="5"/>
        <v>-0.9281250000000002</v>
      </c>
      <c r="AA21">
        <f t="shared" si="6"/>
        <v>-5.3148682735426016</v>
      </c>
      <c r="AB21">
        <f t="shared" ref="AB21" si="18">AVERAGE(AA21:AA23)</f>
        <v>-11.781773909201389</v>
      </c>
    </row>
    <row r="22" spans="1:28" x14ac:dyDescent="0.25">
      <c r="B22" s="1"/>
      <c r="D22">
        <v>20.9</v>
      </c>
      <c r="E22">
        <v>5</v>
      </c>
      <c r="F22">
        <v>13.000000000000005</v>
      </c>
      <c r="G22">
        <v>4.3499999999999996</v>
      </c>
      <c r="H22">
        <v>25</v>
      </c>
      <c r="I22">
        <v>4</v>
      </c>
      <c r="J22">
        <f t="shared" si="1"/>
        <v>2.3512500000000005E-3</v>
      </c>
      <c r="K22">
        <f t="shared" si="2"/>
        <v>2.3512500000000003</v>
      </c>
      <c r="L22">
        <f t="shared" si="3"/>
        <v>13.864267241379313</v>
      </c>
      <c r="Q22" s="1"/>
      <c r="R22">
        <v>6.1</v>
      </c>
      <c r="S22">
        <f t="shared" si="4"/>
        <v>48.8</v>
      </c>
      <c r="T22">
        <v>5</v>
      </c>
      <c r="U22">
        <v>13.000000000000005</v>
      </c>
      <c r="V22">
        <v>4.3499999999999996</v>
      </c>
      <c r="W22">
        <v>25</v>
      </c>
      <c r="X22">
        <v>4</v>
      </c>
      <c r="Y22">
        <f t="shared" si="0"/>
        <v>-3.774375E-3</v>
      </c>
      <c r="Z22">
        <f t="shared" si="5"/>
        <v>-3.774375</v>
      </c>
      <c r="AA22">
        <f t="shared" si="6"/>
        <v>-22.255797413793104</v>
      </c>
    </row>
    <row r="23" spans="1:28" x14ac:dyDescent="0.25">
      <c r="B23" s="1"/>
      <c r="D23">
        <v>22</v>
      </c>
      <c r="E23">
        <v>5</v>
      </c>
      <c r="F23">
        <v>10.600000000000005</v>
      </c>
      <c r="G23">
        <v>4.47</v>
      </c>
      <c r="H23">
        <v>25</v>
      </c>
      <c r="I23">
        <v>4</v>
      </c>
      <c r="J23">
        <f t="shared" si="1"/>
        <v>1.6706249999999996E-3</v>
      </c>
      <c r="K23">
        <f t="shared" si="2"/>
        <v>1.6706249999999996</v>
      </c>
      <c r="L23">
        <f t="shared" si="3"/>
        <v>9.5416233221476485</v>
      </c>
      <c r="Q23" s="1"/>
      <c r="R23">
        <v>2.2000000000000002</v>
      </c>
      <c r="S23">
        <f t="shared" si="4"/>
        <v>17.600000000000001</v>
      </c>
      <c r="T23">
        <v>5</v>
      </c>
      <c r="U23">
        <v>10.600000000000005</v>
      </c>
      <c r="V23">
        <v>4.47</v>
      </c>
      <c r="W23">
        <v>25</v>
      </c>
      <c r="X23">
        <v>4</v>
      </c>
      <c r="Y23">
        <f t="shared" si="0"/>
        <v>-1.3612500000000003E-3</v>
      </c>
      <c r="Z23">
        <f t="shared" si="5"/>
        <v>-1.3612500000000003</v>
      </c>
      <c r="AA23">
        <f t="shared" si="6"/>
        <v>-7.774656040268459</v>
      </c>
    </row>
    <row r="24" spans="1:28" x14ac:dyDescent="0.25">
      <c r="A24" t="s">
        <v>19</v>
      </c>
      <c r="B24" s="1" t="s">
        <v>20</v>
      </c>
      <c r="D24">
        <v>20.399999999999999</v>
      </c>
      <c r="E24">
        <v>5</v>
      </c>
      <c r="F24">
        <v>10.199999999999996</v>
      </c>
      <c r="G24">
        <v>4.49</v>
      </c>
      <c r="H24">
        <v>25</v>
      </c>
      <c r="I24">
        <v>4</v>
      </c>
      <c r="J24">
        <f t="shared" si="1"/>
        <v>2.6606250000000007E-3</v>
      </c>
      <c r="K24">
        <f t="shared" si="2"/>
        <v>2.6606250000000005</v>
      </c>
      <c r="L24">
        <f t="shared" si="3"/>
        <v>15.116379454342985</v>
      </c>
      <c r="M24">
        <f t="shared" ref="M24:M27" si="19">AVERAGE(L24:L26)</f>
        <v>16.14413861936109</v>
      </c>
      <c r="P24" t="s">
        <v>19</v>
      </c>
      <c r="Q24" s="1" t="s">
        <v>20</v>
      </c>
      <c r="R24">
        <v>3.5</v>
      </c>
      <c r="S24">
        <f>R24*8</f>
        <v>28</v>
      </c>
      <c r="T24">
        <v>5</v>
      </c>
      <c r="U24">
        <v>10.199999999999996</v>
      </c>
      <c r="V24">
        <v>4.49</v>
      </c>
      <c r="W24">
        <v>25</v>
      </c>
      <c r="X24">
        <v>4</v>
      </c>
      <c r="Y24">
        <f t="shared" si="0"/>
        <v>-2.165625E-3</v>
      </c>
      <c r="Z24">
        <f t="shared" si="5"/>
        <v>-2.1656249999999999</v>
      </c>
      <c r="AA24">
        <f t="shared" si="6"/>
        <v>-12.304029788418706</v>
      </c>
      <c r="AB24">
        <f t="shared" ref="AB24" si="20">AVERAGE(AA24:AA26)</f>
        <v>-8.8381410156152231</v>
      </c>
    </row>
    <row r="25" spans="1:28" x14ac:dyDescent="0.25">
      <c r="B25" s="1"/>
      <c r="D25">
        <v>19.5</v>
      </c>
      <c r="E25">
        <v>5</v>
      </c>
      <c r="F25">
        <v>10.999999999999996</v>
      </c>
      <c r="G25">
        <v>4.45</v>
      </c>
      <c r="H25">
        <v>25</v>
      </c>
      <c r="I25">
        <v>4</v>
      </c>
      <c r="J25">
        <f t="shared" si="1"/>
        <v>3.2174999999999994E-3</v>
      </c>
      <c r="K25">
        <f t="shared" si="2"/>
        <v>3.2174999999999994</v>
      </c>
      <c r="L25">
        <f t="shared" si="3"/>
        <v>18.473511235955055</v>
      </c>
      <c r="Q25" s="1"/>
      <c r="R25">
        <v>4</v>
      </c>
      <c r="S25">
        <f t="shared" si="4"/>
        <v>32</v>
      </c>
      <c r="T25">
        <v>5</v>
      </c>
      <c r="U25">
        <v>10.999999999999996</v>
      </c>
      <c r="V25">
        <v>4.45</v>
      </c>
      <c r="W25">
        <v>25</v>
      </c>
      <c r="X25">
        <v>4</v>
      </c>
      <c r="Y25">
        <f t="shared" si="0"/>
        <v>-2.4750000000000002E-3</v>
      </c>
      <c r="Z25">
        <f t="shared" si="5"/>
        <v>-2.4750000000000001</v>
      </c>
      <c r="AA25">
        <f t="shared" si="6"/>
        <v>-14.210393258426967</v>
      </c>
    </row>
    <row r="26" spans="1:28" x14ac:dyDescent="0.25">
      <c r="B26" s="1"/>
      <c r="D26">
        <v>20.5</v>
      </c>
      <c r="E26">
        <v>5</v>
      </c>
      <c r="F26">
        <v>10.600000000000005</v>
      </c>
      <c r="G26">
        <v>4.47</v>
      </c>
      <c r="H26">
        <v>25</v>
      </c>
      <c r="I26">
        <v>4</v>
      </c>
      <c r="J26">
        <f t="shared" si="1"/>
        <v>2.5987499999999999E-3</v>
      </c>
      <c r="K26">
        <f t="shared" si="2"/>
        <v>2.5987499999999999</v>
      </c>
      <c r="L26">
        <f t="shared" si="3"/>
        <v>14.842525167785235</v>
      </c>
      <c r="Q26" s="1"/>
      <c r="R26">
        <v>0</v>
      </c>
      <c r="S26">
        <f t="shared" si="4"/>
        <v>0</v>
      </c>
      <c r="T26">
        <v>5</v>
      </c>
      <c r="U26">
        <v>10.600000000000005</v>
      </c>
      <c r="V26">
        <v>4.47</v>
      </c>
      <c r="W26">
        <v>25</v>
      </c>
      <c r="X26">
        <v>4</v>
      </c>
      <c r="Y26">
        <f t="shared" si="0"/>
        <v>0</v>
      </c>
      <c r="Z26">
        <f t="shared" si="5"/>
        <v>0</v>
      </c>
      <c r="AA26">
        <f t="shared" si="6"/>
        <v>0</v>
      </c>
    </row>
    <row r="27" spans="1:28" x14ac:dyDescent="0.25">
      <c r="A27" t="s">
        <v>21</v>
      </c>
      <c r="B27" s="1" t="s">
        <v>22</v>
      </c>
      <c r="D27">
        <v>22.5</v>
      </c>
      <c r="E27">
        <v>5</v>
      </c>
      <c r="F27">
        <v>9.8000000000000043</v>
      </c>
      <c r="G27">
        <v>4.51</v>
      </c>
      <c r="H27">
        <v>25</v>
      </c>
      <c r="I27">
        <v>4</v>
      </c>
      <c r="J27">
        <f t="shared" si="1"/>
        <v>1.3612499999999996E-3</v>
      </c>
      <c r="K27">
        <f t="shared" si="2"/>
        <v>1.3612499999999996</v>
      </c>
      <c r="L27">
        <f t="shared" si="3"/>
        <v>7.6936280487804867</v>
      </c>
      <c r="M27">
        <f t="shared" si="19"/>
        <v>9.0028068470736073</v>
      </c>
      <c r="P27" t="s">
        <v>21</v>
      </c>
      <c r="Q27" s="1" t="s">
        <v>22</v>
      </c>
      <c r="R27">
        <v>3.6</v>
      </c>
      <c r="S27">
        <f t="shared" si="4"/>
        <v>28.8</v>
      </c>
      <c r="T27">
        <v>5</v>
      </c>
      <c r="U27">
        <v>9.8000000000000043</v>
      </c>
      <c r="V27">
        <v>4.51</v>
      </c>
      <c r="W27">
        <v>25</v>
      </c>
      <c r="X27">
        <v>4</v>
      </c>
      <c r="Y27">
        <f t="shared" si="0"/>
        <v>-2.2275000000000003E-3</v>
      </c>
      <c r="Z27">
        <f t="shared" si="5"/>
        <v>-2.2275000000000005</v>
      </c>
      <c r="AA27">
        <f t="shared" si="6"/>
        <v>-12.589573170731711</v>
      </c>
      <c r="AB27">
        <f t="shared" ref="AB27" si="21">AVERAGE(AA27:AA29)</f>
        <v>21.535051824409578</v>
      </c>
    </row>
    <row r="28" spans="1:28" x14ac:dyDescent="0.25">
      <c r="D28">
        <v>22</v>
      </c>
      <c r="E28">
        <v>5</v>
      </c>
      <c r="F28">
        <v>10.399999999999991</v>
      </c>
      <c r="G28">
        <v>4.4800000000000004</v>
      </c>
      <c r="H28">
        <v>25</v>
      </c>
      <c r="I28">
        <v>4</v>
      </c>
      <c r="J28">
        <f t="shared" si="1"/>
        <v>1.6706249999999996E-3</v>
      </c>
      <c r="K28">
        <f t="shared" si="2"/>
        <v>1.6706249999999996</v>
      </c>
      <c r="L28">
        <f t="shared" si="3"/>
        <v>9.5165959821428547</v>
      </c>
      <c r="R28">
        <v>2.5</v>
      </c>
      <c r="S28">
        <f t="shared" si="4"/>
        <v>20</v>
      </c>
      <c r="T28">
        <v>5</v>
      </c>
      <c r="U28">
        <v>10.399999999999991</v>
      </c>
      <c r="V28">
        <v>4.4800000000000004</v>
      </c>
      <c r="W28">
        <v>25</v>
      </c>
      <c r="X28">
        <v>4</v>
      </c>
      <c r="Y28">
        <f t="shared" si="0"/>
        <v>-1.5468750000000001E-3</v>
      </c>
      <c r="Z28">
        <f t="shared" si="5"/>
        <v>-1.546875</v>
      </c>
      <c r="AA28">
        <f t="shared" si="6"/>
        <v>-8.8116629464285712</v>
      </c>
    </row>
    <row r="29" spans="1:28" x14ac:dyDescent="0.25">
      <c r="D29">
        <v>22</v>
      </c>
      <c r="E29">
        <v>5</v>
      </c>
      <c r="F29">
        <v>12.599999999999998</v>
      </c>
      <c r="G29">
        <v>4.37</v>
      </c>
      <c r="H29">
        <v>25</v>
      </c>
      <c r="I29">
        <v>4</v>
      </c>
      <c r="J29">
        <f t="shared" si="1"/>
        <v>1.6706249999999996E-3</v>
      </c>
      <c r="K29">
        <f t="shared" si="2"/>
        <v>1.6706249999999996</v>
      </c>
      <c r="L29">
        <f t="shared" si="3"/>
        <v>9.7981965102974797</v>
      </c>
      <c r="R29">
        <v>1.2</v>
      </c>
      <c r="S29">
        <f t="shared" si="4"/>
        <v>9.6</v>
      </c>
      <c r="T29">
        <v>5</v>
      </c>
      <c r="U29">
        <v>12.599999999999998</v>
      </c>
      <c r="V29">
        <v>4.37</v>
      </c>
      <c r="W29">
        <v>25</v>
      </c>
      <c r="X29">
        <v>4</v>
      </c>
      <c r="Y29">
        <f t="shared" si="0"/>
        <v>1.4664375E-2</v>
      </c>
      <c r="Z29">
        <f t="shared" si="5"/>
        <v>14.664375</v>
      </c>
      <c r="AA29">
        <f t="shared" si="6"/>
        <v>86.006391590389015</v>
      </c>
    </row>
    <row r="30" spans="1:28" x14ac:dyDescent="0.25">
      <c r="A30" t="s">
        <v>53</v>
      </c>
      <c r="C30">
        <v>24.9</v>
      </c>
    </row>
    <row r="31" spans="1:28" x14ac:dyDescent="0.25">
      <c r="C31">
        <v>24.6</v>
      </c>
    </row>
    <row r="32" spans="1:28" x14ac:dyDescent="0.25">
      <c r="C32">
        <v>24.6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2" sqref="E2"/>
    </sheetView>
  </sheetViews>
  <sheetFormatPr defaultRowHeight="15" x14ac:dyDescent="0.25"/>
  <cols>
    <col min="1" max="1" width="23.85546875" customWidth="1"/>
    <col min="3" max="3" width="29" customWidth="1"/>
    <col min="5" max="5" width="17.28515625" customWidth="1"/>
  </cols>
  <sheetData>
    <row r="1" spans="1:5" x14ac:dyDescent="0.25">
      <c r="B1" t="s">
        <v>58</v>
      </c>
      <c r="C1" t="s">
        <v>25</v>
      </c>
      <c r="D1" t="s">
        <v>59</v>
      </c>
      <c r="E1" t="s">
        <v>60</v>
      </c>
    </row>
    <row r="2" spans="1:5" x14ac:dyDescent="0.25">
      <c r="A2" t="s">
        <v>5</v>
      </c>
      <c r="B2" s="1" t="s">
        <v>6</v>
      </c>
      <c r="C2">
        <v>12.17</v>
      </c>
      <c r="D2">
        <v>20</v>
      </c>
      <c r="E2">
        <f>C2/D2</f>
        <v>0.60850000000000004</v>
      </c>
    </row>
    <row r="3" spans="1:5" x14ac:dyDescent="0.25">
      <c r="B3" s="1"/>
      <c r="C3">
        <v>10.58</v>
      </c>
      <c r="D3">
        <v>20</v>
      </c>
      <c r="E3">
        <f t="shared" ref="E3:E33" si="0">C3/D3</f>
        <v>0.52900000000000003</v>
      </c>
    </row>
    <row r="4" spans="1:5" x14ac:dyDescent="0.25">
      <c r="B4" s="1"/>
      <c r="C4">
        <v>11.4</v>
      </c>
      <c r="D4">
        <v>20</v>
      </c>
      <c r="E4">
        <f t="shared" si="0"/>
        <v>0.57000000000000006</v>
      </c>
    </row>
    <row r="5" spans="1:5" x14ac:dyDescent="0.25">
      <c r="A5" t="s">
        <v>7</v>
      </c>
      <c r="B5" s="1" t="s">
        <v>8</v>
      </c>
      <c r="C5">
        <v>21.68</v>
      </c>
      <c r="D5">
        <v>20</v>
      </c>
      <c r="E5">
        <f t="shared" si="0"/>
        <v>1.0840000000000001</v>
      </c>
    </row>
    <row r="6" spans="1:5" x14ac:dyDescent="0.25">
      <c r="B6" s="1"/>
      <c r="C6">
        <v>21.48</v>
      </c>
      <c r="D6">
        <v>20</v>
      </c>
      <c r="E6">
        <f t="shared" si="0"/>
        <v>1.0740000000000001</v>
      </c>
    </row>
    <row r="7" spans="1:5" x14ac:dyDescent="0.25">
      <c r="B7" s="1"/>
      <c r="C7">
        <v>21.13</v>
      </c>
      <c r="D7">
        <v>20</v>
      </c>
      <c r="E7">
        <f t="shared" si="0"/>
        <v>1.0565</v>
      </c>
    </row>
    <row r="8" spans="1:5" x14ac:dyDescent="0.25">
      <c r="A8" t="s">
        <v>9</v>
      </c>
      <c r="B8" s="1" t="s">
        <v>10</v>
      </c>
      <c r="C8">
        <v>17.07</v>
      </c>
      <c r="D8">
        <v>20</v>
      </c>
      <c r="E8">
        <f t="shared" si="0"/>
        <v>0.85350000000000004</v>
      </c>
    </row>
    <row r="9" spans="1:5" x14ac:dyDescent="0.25">
      <c r="B9" s="1"/>
      <c r="C9">
        <v>18.22</v>
      </c>
      <c r="D9">
        <v>20</v>
      </c>
      <c r="E9">
        <f t="shared" si="0"/>
        <v>0.91099999999999992</v>
      </c>
    </row>
    <row r="10" spans="1:5" x14ac:dyDescent="0.25">
      <c r="B10" s="1"/>
      <c r="C10">
        <v>17.8</v>
      </c>
      <c r="D10">
        <v>20</v>
      </c>
      <c r="E10">
        <f t="shared" si="0"/>
        <v>0.89</v>
      </c>
    </row>
    <row r="11" spans="1:5" x14ac:dyDescent="0.25">
      <c r="A11" t="s">
        <v>11</v>
      </c>
      <c r="B11" s="1" t="s">
        <v>12</v>
      </c>
      <c r="C11">
        <v>19.72</v>
      </c>
      <c r="D11">
        <v>20</v>
      </c>
      <c r="E11">
        <f t="shared" si="0"/>
        <v>0.98599999999999999</v>
      </c>
    </row>
    <row r="12" spans="1:5" x14ac:dyDescent="0.25">
      <c r="B12" s="1"/>
      <c r="C12">
        <v>18.72</v>
      </c>
      <c r="D12">
        <v>20</v>
      </c>
      <c r="E12">
        <f t="shared" si="0"/>
        <v>0.93599999999999994</v>
      </c>
    </row>
    <row r="13" spans="1:5" x14ac:dyDescent="0.25">
      <c r="B13" s="1"/>
      <c r="C13">
        <v>19.5</v>
      </c>
      <c r="D13">
        <v>20</v>
      </c>
      <c r="E13">
        <f t="shared" si="0"/>
        <v>0.97499999999999998</v>
      </c>
    </row>
    <row r="14" spans="1:5" x14ac:dyDescent="0.25">
      <c r="A14" t="s">
        <v>13</v>
      </c>
      <c r="B14" s="1" t="s">
        <v>14</v>
      </c>
      <c r="C14">
        <v>18.559999999999999</v>
      </c>
      <c r="D14">
        <v>20</v>
      </c>
      <c r="E14">
        <f t="shared" si="0"/>
        <v>0.92799999999999994</v>
      </c>
    </row>
    <row r="15" spans="1:5" x14ac:dyDescent="0.25">
      <c r="B15" s="1"/>
      <c r="C15">
        <v>18.350000000000001</v>
      </c>
      <c r="D15">
        <v>20</v>
      </c>
      <c r="E15">
        <f t="shared" si="0"/>
        <v>0.91750000000000009</v>
      </c>
    </row>
    <row r="16" spans="1:5" x14ac:dyDescent="0.25">
      <c r="B16" s="1"/>
      <c r="C16">
        <v>18.45</v>
      </c>
      <c r="D16">
        <v>20</v>
      </c>
      <c r="E16">
        <f t="shared" si="0"/>
        <v>0.92249999999999999</v>
      </c>
    </row>
    <row r="17" spans="1:5" x14ac:dyDescent="0.25">
      <c r="A17" t="s">
        <v>15</v>
      </c>
      <c r="B17" s="1" t="s">
        <v>16</v>
      </c>
      <c r="C17">
        <v>21.81</v>
      </c>
      <c r="D17">
        <v>20</v>
      </c>
      <c r="E17">
        <f t="shared" si="0"/>
        <v>1.0905</v>
      </c>
    </row>
    <row r="18" spans="1:5" x14ac:dyDescent="0.25">
      <c r="B18" s="1"/>
      <c r="C18">
        <v>21.53</v>
      </c>
      <c r="D18">
        <v>20</v>
      </c>
      <c r="E18">
        <f t="shared" si="0"/>
        <v>1.0765</v>
      </c>
    </row>
    <row r="19" spans="1:5" x14ac:dyDescent="0.25">
      <c r="B19" s="1"/>
      <c r="C19">
        <v>21.07</v>
      </c>
      <c r="D19">
        <v>20</v>
      </c>
      <c r="E19">
        <f t="shared" si="0"/>
        <v>1.0535000000000001</v>
      </c>
    </row>
    <row r="20" spans="1:5" x14ac:dyDescent="0.25">
      <c r="A20" t="s">
        <v>17</v>
      </c>
      <c r="B20" s="1" t="s">
        <v>18</v>
      </c>
      <c r="C20">
        <v>19.399999999999999</v>
      </c>
      <c r="D20">
        <v>20</v>
      </c>
      <c r="E20">
        <f t="shared" si="0"/>
        <v>0.97</v>
      </c>
    </row>
    <row r="21" spans="1:5" x14ac:dyDescent="0.25">
      <c r="B21" s="1"/>
      <c r="C21">
        <v>19.09</v>
      </c>
      <c r="D21">
        <v>20</v>
      </c>
      <c r="E21">
        <f t="shared" si="0"/>
        <v>0.95450000000000002</v>
      </c>
    </row>
    <row r="22" spans="1:5" x14ac:dyDescent="0.25">
      <c r="B22" s="1"/>
      <c r="C22">
        <v>19.07</v>
      </c>
      <c r="D22">
        <v>20</v>
      </c>
      <c r="E22">
        <f t="shared" si="0"/>
        <v>0.95350000000000001</v>
      </c>
    </row>
    <row r="23" spans="1:5" x14ac:dyDescent="0.25">
      <c r="A23" t="s">
        <v>19</v>
      </c>
      <c r="B23" s="1" t="s">
        <v>20</v>
      </c>
      <c r="C23">
        <v>17.600000000000001</v>
      </c>
      <c r="D23">
        <v>20</v>
      </c>
      <c r="E23">
        <f t="shared" si="0"/>
        <v>0.88000000000000012</v>
      </c>
    </row>
    <row r="24" spans="1:5" x14ac:dyDescent="0.25">
      <c r="B24" s="1"/>
      <c r="C24">
        <v>17.84</v>
      </c>
      <c r="D24">
        <v>20</v>
      </c>
      <c r="E24">
        <f t="shared" si="0"/>
        <v>0.89200000000000002</v>
      </c>
    </row>
    <row r="25" spans="1:5" x14ac:dyDescent="0.25">
      <c r="B25" s="1"/>
      <c r="C25">
        <v>16.96</v>
      </c>
      <c r="D25">
        <v>20</v>
      </c>
      <c r="E25">
        <f t="shared" si="0"/>
        <v>0.84800000000000009</v>
      </c>
    </row>
    <row r="26" spans="1:5" x14ac:dyDescent="0.25">
      <c r="A26" t="s">
        <v>21</v>
      </c>
      <c r="B26" s="1" t="s">
        <v>22</v>
      </c>
      <c r="C26">
        <v>19.95</v>
      </c>
      <c r="D26">
        <v>20</v>
      </c>
      <c r="E26">
        <f t="shared" si="0"/>
        <v>0.99749999999999994</v>
      </c>
    </row>
    <row r="27" spans="1:5" x14ac:dyDescent="0.25">
      <c r="C27">
        <v>18.809999999999999</v>
      </c>
      <c r="D27">
        <v>20</v>
      </c>
      <c r="E27">
        <f t="shared" si="0"/>
        <v>0.94049999999999989</v>
      </c>
    </row>
    <row r="28" spans="1:5" x14ac:dyDescent="0.25">
      <c r="C28">
        <v>19.3</v>
      </c>
      <c r="D28">
        <v>20</v>
      </c>
      <c r="E28">
        <f t="shared" si="0"/>
        <v>0.96500000000000008</v>
      </c>
    </row>
    <row r="29" spans="1:5" x14ac:dyDescent="0.25">
      <c r="A29" t="s">
        <v>53</v>
      </c>
      <c r="C29">
        <f>AVERAGE(C30:C33)</f>
        <v>24.2075</v>
      </c>
      <c r="D29">
        <v>1</v>
      </c>
      <c r="E29">
        <f t="shared" si="0"/>
        <v>24.2075</v>
      </c>
    </row>
    <row r="30" spans="1:5" x14ac:dyDescent="0.25">
      <c r="C30">
        <v>24.58</v>
      </c>
      <c r="D30">
        <v>1</v>
      </c>
      <c r="E30">
        <f t="shared" si="0"/>
        <v>24.58</v>
      </c>
    </row>
    <row r="31" spans="1:5" x14ac:dyDescent="0.25">
      <c r="C31">
        <v>24.1</v>
      </c>
      <c r="D31">
        <v>1</v>
      </c>
      <c r="E31">
        <f t="shared" si="0"/>
        <v>24.1</v>
      </c>
    </row>
    <row r="32" spans="1:5" x14ac:dyDescent="0.25">
      <c r="C32">
        <v>23.68</v>
      </c>
      <c r="D32">
        <v>1</v>
      </c>
      <c r="E32">
        <f t="shared" si="0"/>
        <v>23.68</v>
      </c>
    </row>
    <row r="33" spans="3:5" x14ac:dyDescent="0.25">
      <c r="C33">
        <v>24.47</v>
      </c>
      <c r="D33">
        <v>1</v>
      </c>
      <c r="E33">
        <f t="shared" si="0"/>
        <v>24.47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H1" zoomScale="90" zoomScaleNormal="90" workbookViewId="0">
      <selection activeCell="AA13" sqref="AA13"/>
    </sheetView>
  </sheetViews>
  <sheetFormatPr defaultRowHeight="15" x14ac:dyDescent="0.25"/>
  <cols>
    <col min="1" max="1" width="18.5703125" customWidth="1"/>
    <col min="2" max="2" width="11.5703125" customWidth="1"/>
    <col min="3" max="3" width="8.28515625" customWidth="1"/>
    <col min="4" max="4" width="13" customWidth="1"/>
    <col min="5" max="5" width="16.28515625" customWidth="1"/>
    <col min="6" max="6" width="15" customWidth="1"/>
    <col min="7" max="7" width="28.7109375" customWidth="1"/>
    <col min="8" max="8" width="17.7109375" customWidth="1"/>
    <col min="9" max="9" width="33.42578125" customWidth="1"/>
    <col min="10" max="10" width="16.5703125" customWidth="1"/>
    <col min="11" max="11" width="15.28515625" customWidth="1"/>
    <col min="12" max="12" width="19.7109375" customWidth="1"/>
    <col min="13" max="15" width="9.140625" customWidth="1"/>
    <col min="16" max="16" width="18" customWidth="1"/>
    <col min="17" max="17" width="10.7109375" customWidth="1"/>
    <col min="18" max="18" width="42.140625" customWidth="1"/>
    <col min="19" max="19" width="27.5703125" customWidth="1"/>
    <col min="20" max="20" width="20.28515625" customWidth="1"/>
    <col min="21" max="21" width="27.85546875" customWidth="1"/>
    <col min="22" max="22" width="19.85546875" customWidth="1"/>
    <col min="23" max="23" width="33.42578125" customWidth="1"/>
    <col min="24" max="24" width="16.5703125" customWidth="1"/>
    <col min="25" max="25" width="12.7109375" customWidth="1"/>
    <col min="26" max="26" width="21.5703125" customWidth="1"/>
    <col min="27" max="27" width="9.140625" customWidth="1"/>
    <col min="28" max="28" width="16.7109375" customWidth="1"/>
    <col min="30" max="30" width="25" customWidth="1"/>
    <col min="31" max="31" width="11" customWidth="1"/>
  </cols>
  <sheetData>
    <row r="1" spans="1:36" x14ac:dyDescent="0.25">
      <c r="D1" s="1" t="s">
        <v>56</v>
      </c>
      <c r="R1" s="1" t="s">
        <v>57</v>
      </c>
      <c r="AB1" t="s">
        <v>61</v>
      </c>
    </row>
    <row r="2" spans="1:36" x14ac:dyDescent="0.25"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54</v>
      </c>
      <c r="Q2" t="s">
        <v>23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62</v>
      </c>
      <c r="AC2" t="s">
        <v>63</v>
      </c>
      <c r="AD2" s="1" t="s">
        <v>64</v>
      </c>
      <c r="AE2" s="1" t="s">
        <v>65</v>
      </c>
      <c r="AF2" t="s">
        <v>54</v>
      </c>
      <c r="AG2" t="s">
        <v>68</v>
      </c>
      <c r="AH2" t="s">
        <v>69</v>
      </c>
      <c r="AI2" t="s">
        <v>70</v>
      </c>
      <c r="AJ2" t="s">
        <v>71</v>
      </c>
    </row>
    <row r="3" spans="1:36" x14ac:dyDescent="0.25">
      <c r="A3" t="s">
        <v>5</v>
      </c>
      <c r="B3" s="1" t="s">
        <v>6</v>
      </c>
      <c r="C3">
        <v>24.7</v>
      </c>
      <c r="D3">
        <v>20.100000000000001</v>
      </c>
      <c r="E3">
        <v>5</v>
      </c>
      <c r="F3">
        <v>8.8000000000000078</v>
      </c>
      <c r="G3">
        <v>4.5599999999999996</v>
      </c>
      <c r="H3">
        <v>25</v>
      </c>
      <c r="I3">
        <v>4</v>
      </c>
      <c r="J3">
        <f>($C$3-D3)*0.003*(0.033)*(H3/I3)</f>
        <v>2.846249999999999E-3</v>
      </c>
      <c r="K3">
        <f>J3*1000</f>
        <v>2.8462499999999991</v>
      </c>
      <c r="L3" s="2">
        <f>((K3*(H3+E3-G3))/G3)</f>
        <v>15.879078947368418</v>
      </c>
      <c r="M3" s="2">
        <f>AVERAGE(L3:L5)</f>
        <v>6.3462214200940084</v>
      </c>
      <c r="P3" t="s">
        <v>5</v>
      </c>
      <c r="Q3" s="1" t="s">
        <v>6</v>
      </c>
      <c r="R3">
        <f>Sheet1!E2</f>
        <v>0.60850000000000004</v>
      </c>
      <c r="S3">
        <v>5</v>
      </c>
      <c r="T3">
        <v>8.8000000000000078</v>
      </c>
      <c r="U3">
        <v>4.5599999999999996</v>
      </c>
      <c r="V3">
        <v>25</v>
      </c>
      <c r="W3">
        <v>4</v>
      </c>
      <c r="X3">
        <f>(($R$30-R3)*0.003*(0.033)*(V3/W3))</f>
        <v>1.4601881250000002E-2</v>
      </c>
      <c r="Y3">
        <f>X3*1000</f>
        <v>14.601881250000002</v>
      </c>
      <c r="Z3" s="12">
        <f>((Y3*(V3+S3-U3))/U3)</f>
        <v>81.463126973684226</v>
      </c>
      <c r="AA3">
        <f>AVERAGE(Z3:Z5)</f>
        <v>82.459590417085593</v>
      </c>
      <c r="AB3" s="12">
        <f>Z3-L3</f>
        <v>65.584048026315813</v>
      </c>
      <c r="AC3">
        <v>0.35</v>
      </c>
      <c r="AD3" s="14">
        <f>AB3/$AC$3</f>
        <v>187.38299436090233</v>
      </c>
      <c r="AE3" s="15">
        <f>AVERAGE(AD3:AD5)</f>
        <v>217.4667685628331</v>
      </c>
      <c r="AF3" s="13">
        <f>STDEV(AD3:AD5)*SQRT(3)</f>
        <v>45.224485237112461</v>
      </c>
      <c r="AG3" t="s">
        <v>72</v>
      </c>
      <c r="AH3" s="14">
        <f>AD3</f>
        <v>187.38299436090233</v>
      </c>
      <c r="AI3" t="s">
        <v>72</v>
      </c>
      <c r="AJ3" s="12">
        <f>AD3</f>
        <v>187.38299436090233</v>
      </c>
    </row>
    <row r="4" spans="1:36" x14ac:dyDescent="0.25">
      <c r="B4" s="1"/>
      <c r="D4">
        <v>24.3</v>
      </c>
      <c r="E4">
        <v>5</v>
      </c>
      <c r="F4">
        <v>9.1999999999999993</v>
      </c>
      <c r="G4">
        <v>4.54</v>
      </c>
      <c r="H4">
        <v>25</v>
      </c>
      <c r="I4">
        <v>4</v>
      </c>
      <c r="J4">
        <f t="shared" ref="J4:J29" si="0">($C$3-D4)*0.003*(0.033)*(H4/I4)</f>
        <v>2.4749999999999913E-4</v>
      </c>
      <c r="K4">
        <f t="shared" ref="K4:K29" si="1">J4*1000</f>
        <v>0.24749999999999914</v>
      </c>
      <c r="L4" s="2">
        <f>((K4*(H4+E4-G4))/G4)</f>
        <v>1.3879625550660744</v>
      </c>
      <c r="Q4" s="1"/>
      <c r="R4">
        <f>Sheet1!E3</f>
        <v>0.52900000000000003</v>
      </c>
      <c r="S4">
        <v>5</v>
      </c>
      <c r="T4">
        <v>9.1999999999999993</v>
      </c>
      <c r="U4">
        <v>4.54</v>
      </c>
      <c r="V4">
        <v>25</v>
      </c>
      <c r="W4">
        <v>4</v>
      </c>
      <c r="X4">
        <f t="shared" ref="X4:X29" si="2">(($R$30-R4)*0.003*(0.033)*(V4/W4))</f>
        <v>1.4651071875000001E-2</v>
      </c>
      <c r="Y4">
        <f t="shared" ref="Y4:Y29" si="3">X4*1000</f>
        <v>14.651071875000001</v>
      </c>
      <c r="Z4" s="12">
        <f>((Y4*(V4+S4-U4))/U4)</f>
        <v>82.162178400330404</v>
      </c>
      <c r="AB4" s="12">
        <f t="shared" ref="AB4:AB29" si="4">Z4-L4</f>
        <v>80.774215845264337</v>
      </c>
      <c r="AD4" s="14">
        <f t="shared" ref="AD4:AD29" si="5">AB4/$AC$3</f>
        <v>230.7834738436124</v>
      </c>
      <c r="AE4" s="15"/>
      <c r="AG4" t="s">
        <v>72</v>
      </c>
      <c r="AH4" s="14">
        <f t="shared" ref="AH4:AH5" si="6">AD4</f>
        <v>230.7834738436124</v>
      </c>
      <c r="AI4" t="s">
        <v>72</v>
      </c>
      <c r="AJ4" s="12">
        <f t="shared" ref="AJ4:AJ5" si="7">AD4</f>
        <v>230.7834738436124</v>
      </c>
    </row>
    <row r="5" spans="1:36" x14ac:dyDescent="0.25">
      <c r="B5" s="1"/>
      <c r="D5">
        <v>24.2</v>
      </c>
      <c r="E5">
        <v>5</v>
      </c>
      <c r="F5">
        <v>10.8</v>
      </c>
      <c r="G5">
        <v>4.46</v>
      </c>
      <c r="H5">
        <v>25</v>
      </c>
      <c r="I5">
        <v>4</v>
      </c>
      <c r="J5">
        <f t="shared" si="0"/>
        <v>3.0937500000000003E-4</v>
      </c>
      <c r="K5">
        <f t="shared" si="1"/>
        <v>0.30937500000000001</v>
      </c>
      <c r="L5" s="2">
        <f t="shared" ref="L5:L29" si="8">((K5*(H5+E5-G5))/G5)</f>
        <v>1.7716227578475336</v>
      </c>
      <c r="Q5" s="1"/>
      <c r="R5">
        <f>Sheet1!E4</f>
        <v>0.57000000000000006</v>
      </c>
      <c r="S5">
        <v>5</v>
      </c>
      <c r="T5">
        <v>10.8</v>
      </c>
      <c r="U5">
        <v>4.46</v>
      </c>
      <c r="V5">
        <v>25</v>
      </c>
      <c r="W5">
        <v>4</v>
      </c>
      <c r="X5">
        <f t="shared" si="2"/>
        <v>1.4625703125000002E-2</v>
      </c>
      <c r="Y5">
        <f t="shared" si="3"/>
        <v>14.625703125000001</v>
      </c>
      <c r="Z5" s="12">
        <f t="shared" ref="Z5:Z29" si="9">((Y5*(V5+S5-U5))/U5)</f>
        <v>83.753465877242149</v>
      </c>
      <c r="AB5" s="12">
        <f t="shared" si="4"/>
        <v>81.981843119394611</v>
      </c>
      <c r="AD5" s="14">
        <f t="shared" si="5"/>
        <v>234.23383748398462</v>
      </c>
      <c r="AE5" s="15"/>
      <c r="AG5" t="s">
        <v>72</v>
      </c>
      <c r="AH5" s="14">
        <f t="shared" si="6"/>
        <v>234.23383748398462</v>
      </c>
      <c r="AI5" t="s">
        <v>72</v>
      </c>
      <c r="AJ5" s="12">
        <f t="shared" si="7"/>
        <v>234.23383748398462</v>
      </c>
    </row>
    <row r="6" spans="1:36" x14ac:dyDescent="0.25">
      <c r="A6" t="s">
        <v>7</v>
      </c>
      <c r="B6" s="1" t="s">
        <v>8</v>
      </c>
      <c r="D6">
        <v>23.5</v>
      </c>
      <c r="E6">
        <v>5</v>
      </c>
      <c r="F6">
        <v>11.999999999999993</v>
      </c>
      <c r="G6">
        <v>4.4000000000000004</v>
      </c>
      <c r="H6">
        <v>25</v>
      </c>
      <c r="I6">
        <v>4</v>
      </c>
      <c r="J6">
        <f t="shared" si="0"/>
        <v>7.4249999999999956E-4</v>
      </c>
      <c r="K6">
        <f t="shared" si="1"/>
        <v>0.7424999999999996</v>
      </c>
      <c r="L6" s="2">
        <f t="shared" si="8"/>
        <v>4.3199999999999976</v>
      </c>
      <c r="M6">
        <f t="shared" ref="M6" si="10">AVERAGE(L6:L8)</f>
        <v>4.3599067164179113</v>
      </c>
      <c r="P6" t="s">
        <v>7</v>
      </c>
      <c r="Q6" s="1" t="s">
        <v>8</v>
      </c>
      <c r="R6">
        <f>Sheet1!E5</f>
        <v>1.0840000000000001</v>
      </c>
      <c r="S6">
        <v>5</v>
      </c>
      <c r="T6">
        <v>11.999999999999993</v>
      </c>
      <c r="U6">
        <v>4.4000000000000004</v>
      </c>
      <c r="V6">
        <v>25</v>
      </c>
      <c r="W6">
        <v>4</v>
      </c>
      <c r="X6">
        <f t="shared" si="2"/>
        <v>1.4307665625000002E-2</v>
      </c>
      <c r="Y6">
        <f t="shared" si="3"/>
        <v>14.307665625000002</v>
      </c>
      <c r="Z6" s="12">
        <f t="shared" si="9"/>
        <v>83.24460000000002</v>
      </c>
      <c r="AA6">
        <f t="shared" ref="AA6" si="11">AVERAGE(Z6:Z8)</f>
        <v>79.727768143656718</v>
      </c>
      <c r="AB6" s="12">
        <f t="shared" si="4"/>
        <v>78.924600000000027</v>
      </c>
      <c r="AD6" s="14">
        <f t="shared" si="5"/>
        <v>225.49885714285725</v>
      </c>
      <c r="AE6" s="15">
        <f t="shared" ref="AE6" si="12">AVERAGE(AD6:AD8)</f>
        <v>215.33674693496803</v>
      </c>
      <c r="AF6" s="13">
        <f>STDEV(AD6:AD8)*SQRT(3)</f>
        <v>15.61490075661095</v>
      </c>
      <c r="AG6" t="s">
        <v>76</v>
      </c>
      <c r="AH6" s="12">
        <f>AD9</f>
        <v>226.48170752895751</v>
      </c>
      <c r="AI6" t="s">
        <v>73</v>
      </c>
      <c r="AJ6" s="12">
        <f>AD6</f>
        <v>225.49885714285725</v>
      </c>
    </row>
    <row r="7" spans="1:36" x14ac:dyDescent="0.25">
      <c r="B7" s="1"/>
      <c r="D7">
        <v>23.4</v>
      </c>
      <c r="E7">
        <v>5</v>
      </c>
      <c r="F7">
        <v>6.1999999999999922</v>
      </c>
      <c r="G7">
        <v>4.6900000000000004</v>
      </c>
      <c r="H7">
        <v>25</v>
      </c>
      <c r="I7">
        <v>4</v>
      </c>
      <c r="J7">
        <f t="shared" si="0"/>
        <v>8.0437500000000062E-4</v>
      </c>
      <c r="K7">
        <f t="shared" si="1"/>
        <v>0.80437500000000062</v>
      </c>
      <c r="L7" s="2">
        <f t="shared" si="8"/>
        <v>4.3408808635394482</v>
      </c>
      <c r="Q7" s="1"/>
      <c r="R7">
        <f>Sheet1!E6</f>
        <v>1.0740000000000001</v>
      </c>
      <c r="S7">
        <v>5</v>
      </c>
      <c r="T7">
        <v>6.1999999999999922</v>
      </c>
      <c r="U7">
        <v>4.6900000000000004</v>
      </c>
      <c r="V7">
        <v>25</v>
      </c>
      <c r="W7">
        <v>4</v>
      </c>
      <c r="X7">
        <f t="shared" si="2"/>
        <v>1.4313853124999998E-2</v>
      </c>
      <c r="Y7">
        <f t="shared" si="3"/>
        <v>14.313853124999998</v>
      </c>
      <c r="Z7" s="12">
        <f t="shared" si="9"/>
        <v>77.245974966684415</v>
      </c>
      <c r="AB7" s="12">
        <f t="shared" si="4"/>
        <v>72.905094103144961</v>
      </c>
      <c r="AD7" s="14">
        <f t="shared" si="5"/>
        <v>208.30026886612848</v>
      </c>
      <c r="AE7" s="15"/>
      <c r="AG7" t="s">
        <v>76</v>
      </c>
      <c r="AH7" s="12">
        <f t="shared" ref="AH7:AH8" si="13">AD10</f>
        <v>211.35986397058824</v>
      </c>
      <c r="AI7" t="s">
        <v>75</v>
      </c>
      <c r="AJ7" s="12">
        <f t="shared" ref="AJ7:AJ8" si="14">AD7</f>
        <v>208.30026886612848</v>
      </c>
    </row>
    <row r="8" spans="1:36" x14ac:dyDescent="0.25">
      <c r="B8" s="1"/>
      <c r="D8">
        <v>23.4</v>
      </c>
      <c r="E8">
        <v>5</v>
      </c>
      <c r="F8">
        <v>7.5999999999999988</v>
      </c>
      <c r="G8">
        <v>4.62</v>
      </c>
      <c r="H8">
        <v>25</v>
      </c>
      <c r="I8">
        <v>4</v>
      </c>
      <c r="J8">
        <f t="shared" si="0"/>
        <v>8.0437500000000062E-4</v>
      </c>
      <c r="K8">
        <f t="shared" si="1"/>
        <v>0.80437500000000062</v>
      </c>
      <c r="L8" s="2">
        <f t="shared" si="8"/>
        <v>4.4188392857142889</v>
      </c>
      <c r="Q8" s="1"/>
      <c r="R8">
        <f>Sheet1!E7</f>
        <v>1.0565</v>
      </c>
      <c r="S8">
        <v>5</v>
      </c>
      <c r="T8">
        <v>7.5999999999999988</v>
      </c>
      <c r="U8">
        <v>4.62</v>
      </c>
      <c r="V8">
        <v>25</v>
      </c>
      <c r="W8">
        <v>4</v>
      </c>
      <c r="X8">
        <f t="shared" si="2"/>
        <v>1.432468125E-2</v>
      </c>
      <c r="Y8">
        <f t="shared" si="3"/>
        <v>14.324681250000001</v>
      </c>
      <c r="Z8" s="12">
        <f t="shared" si="9"/>
        <v>78.692729464285719</v>
      </c>
      <c r="AB8" s="12">
        <f t="shared" si="4"/>
        <v>74.273890178571435</v>
      </c>
      <c r="AD8" s="14">
        <f t="shared" si="5"/>
        <v>212.21111479591841</v>
      </c>
      <c r="AE8" s="15"/>
      <c r="AG8" t="s">
        <v>76</v>
      </c>
      <c r="AH8" s="12">
        <f t="shared" si="13"/>
        <v>192.5181696428572</v>
      </c>
      <c r="AI8" t="s">
        <v>73</v>
      </c>
      <c r="AJ8" s="12">
        <f t="shared" si="14"/>
        <v>212.21111479591841</v>
      </c>
    </row>
    <row r="9" spans="1:36" x14ac:dyDescent="0.25">
      <c r="A9" t="s">
        <v>9</v>
      </c>
      <c r="B9" s="1" t="s">
        <v>10</v>
      </c>
      <c r="D9">
        <v>23.6</v>
      </c>
      <c r="E9">
        <v>5</v>
      </c>
      <c r="F9">
        <v>11.199999999999992</v>
      </c>
      <c r="G9">
        <v>4.4400000000000004</v>
      </c>
      <c r="H9">
        <v>25</v>
      </c>
      <c r="I9">
        <v>4</v>
      </c>
      <c r="J9">
        <f t="shared" si="0"/>
        <v>6.8062499999999872E-4</v>
      </c>
      <c r="K9">
        <f t="shared" si="1"/>
        <v>0.6806249999999987</v>
      </c>
      <c r="L9" s="2">
        <f t="shared" si="8"/>
        <v>3.9181925675675595</v>
      </c>
      <c r="M9">
        <f t="shared" ref="M9" si="15">AVERAGE(L9:L11)</f>
        <v>8.0389808558558506</v>
      </c>
      <c r="P9" t="s">
        <v>9</v>
      </c>
      <c r="Q9" s="1" t="s">
        <v>10</v>
      </c>
      <c r="R9">
        <f>Sheet1!E8</f>
        <v>0.85350000000000004</v>
      </c>
      <c r="S9">
        <v>5</v>
      </c>
      <c r="T9">
        <v>11.199999999999992</v>
      </c>
      <c r="U9">
        <v>4.4400000000000004</v>
      </c>
      <c r="V9">
        <v>25</v>
      </c>
      <c r="W9">
        <v>4</v>
      </c>
      <c r="X9">
        <f t="shared" si="2"/>
        <v>1.4450287499999999E-2</v>
      </c>
      <c r="Y9">
        <f t="shared" si="3"/>
        <v>14.450287499999998</v>
      </c>
      <c r="Z9" s="12">
        <f t="shared" si="9"/>
        <v>83.186790202702682</v>
      </c>
      <c r="AA9">
        <f t="shared" ref="AA9" si="16">AVERAGE(Z9:Z11)</f>
        <v>81.580950655802852</v>
      </c>
      <c r="AB9" s="12">
        <f t="shared" si="4"/>
        <v>79.268597635135123</v>
      </c>
      <c r="AD9" s="14">
        <f t="shared" si="5"/>
        <v>226.48170752895751</v>
      </c>
      <c r="AE9" s="15">
        <f t="shared" ref="AE9" si="17">AVERAGE(AD9:AD11)</f>
        <v>210.11991371413433</v>
      </c>
      <c r="AF9" s="13">
        <f>STDEV(AD9:AD11)*SQRT(3)</f>
        <v>29.472033383226353</v>
      </c>
      <c r="AG9" t="s">
        <v>78</v>
      </c>
      <c r="AH9" s="13">
        <f>AD12</f>
        <v>227.6565321301324</v>
      </c>
      <c r="AI9" t="s">
        <v>79</v>
      </c>
      <c r="AJ9" s="12">
        <f>AD18</f>
        <v>213.10579593541203</v>
      </c>
    </row>
    <row r="10" spans="1:36" x14ac:dyDescent="0.25">
      <c r="B10" s="1"/>
      <c r="D10">
        <v>23</v>
      </c>
      <c r="E10">
        <v>5</v>
      </c>
      <c r="F10">
        <v>8.2000000000000028</v>
      </c>
      <c r="G10">
        <v>4.59</v>
      </c>
      <c r="H10">
        <v>25</v>
      </c>
      <c r="I10">
        <v>4</v>
      </c>
      <c r="J10">
        <f t="shared" si="0"/>
        <v>1.0518749999999996E-3</v>
      </c>
      <c r="K10">
        <f t="shared" si="1"/>
        <v>1.0518749999999997</v>
      </c>
      <c r="L10" s="2">
        <f t="shared" si="8"/>
        <v>5.8231249999999983</v>
      </c>
      <c r="Q10" s="1"/>
      <c r="R10">
        <f>Sheet1!E9</f>
        <v>0.91099999999999992</v>
      </c>
      <c r="S10">
        <v>5</v>
      </c>
      <c r="T10">
        <v>8.2000000000000028</v>
      </c>
      <c r="U10">
        <v>4.59</v>
      </c>
      <c r="V10">
        <v>25</v>
      </c>
      <c r="W10">
        <v>4</v>
      </c>
      <c r="X10">
        <f t="shared" si="2"/>
        <v>1.4414709374999999E-2</v>
      </c>
      <c r="Y10">
        <f t="shared" si="3"/>
        <v>14.414709374999999</v>
      </c>
      <c r="Z10" s="12">
        <f t="shared" si="9"/>
        <v>79.799077389705886</v>
      </c>
      <c r="AB10" s="12">
        <f t="shared" si="4"/>
        <v>73.975952389705881</v>
      </c>
      <c r="AD10" s="14">
        <f t="shared" si="5"/>
        <v>211.35986397058824</v>
      </c>
      <c r="AE10" s="15"/>
      <c r="AG10" t="s">
        <v>78</v>
      </c>
      <c r="AH10" s="13">
        <f t="shared" ref="AH10:AH11" si="18">AD13</f>
        <v>235.34585586734701</v>
      </c>
      <c r="AI10" t="s">
        <v>79</v>
      </c>
      <c r="AJ10" s="12">
        <f t="shared" ref="AJ10:AJ11" si="19">AD19</f>
        <v>201.72162340561223</v>
      </c>
    </row>
    <row r="11" spans="1:36" x14ac:dyDescent="0.25">
      <c r="B11" s="1"/>
      <c r="D11">
        <v>20.6</v>
      </c>
      <c r="E11">
        <v>5</v>
      </c>
      <c r="F11">
        <v>10</v>
      </c>
      <c r="G11">
        <v>4.5</v>
      </c>
      <c r="H11">
        <v>25</v>
      </c>
      <c r="I11">
        <v>4</v>
      </c>
      <c r="J11">
        <f t="shared" si="0"/>
        <v>2.5368749999999988E-3</v>
      </c>
      <c r="K11">
        <f t="shared" si="1"/>
        <v>2.5368749999999989</v>
      </c>
      <c r="L11" s="2">
        <f t="shared" si="8"/>
        <v>14.375624999999994</v>
      </c>
      <c r="Q11" s="1"/>
      <c r="R11">
        <f>Sheet1!E10</f>
        <v>0.89</v>
      </c>
      <c r="S11">
        <v>5</v>
      </c>
      <c r="T11">
        <v>10</v>
      </c>
      <c r="U11">
        <v>4.5</v>
      </c>
      <c r="V11">
        <v>25</v>
      </c>
      <c r="W11">
        <v>4</v>
      </c>
      <c r="X11">
        <f t="shared" si="2"/>
        <v>1.4427703125000002E-2</v>
      </c>
      <c r="Y11">
        <f t="shared" si="3"/>
        <v>14.427703125000003</v>
      </c>
      <c r="Z11" s="12">
        <f t="shared" si="9"/>
        <v>81.756984375000016</v>
      </c>
      <c r="AB11" s="12">
        <f t="shared" si="4"/>
        <v>67.381359375000017</v>
      </c>
      <c r="AD11" s="14">
        <f t="shared" si="5"/>
        <v>192.5181696428572</v>
      </c>
      <c r="AE11" s="15"/>
      <c r="AG11" t="s">
        <v>78</v>
      </c>
      <c r="AH11" s="13">
        <f t="shared" si="18"/>
        <v>219.71951175024188</v>
      </c>
      <c r="AI11" t="s">
        <v>79</v>
      </c>
      <c r="AJ11" s="12">
        <f t="shared" si="19"/>
        <v>216.22390478914681</v>
      </c>
    </row>
    <row r="12" spans="1:36" x14ac:dyDescent="0.25">
      <c r="A12" t="s">
        <v>11</v>
      </c>
      <c r="B12" s="1" t="s">
        <v>12</v>
      </c>
      <c r="D12">
        <v>22.5</v>
      </c>
      <c r="E12">
        <v>5</v>
      </c>
      <c r="F12">
        <v>15.8</v>
      </c>
      <c r="G12">
        <v>4.21</v>
      </c>
      <c r="H12">
        <v>25</v>
      </c>
      <c r="I12">
        <v>4</v>
      </c>
      <c r="J12">
        <f t="shared" si="0"/>
        <v>1.3612499999999996E-3</v>
      </c>
      <c r="K12">
        <f t="shared" si="1"/>
        <v>1.3612499999999996</v>
      </c>
      <c r="L12" s="2">
        <f t="shared" si="8"/>
        <v>8.3388687648456035</v>
      </c>
      <c r="M12">
        <f t="shared" ref="M12" si="20">AVERAGE(L12:L14)</f>
        <v>6.8305764446722774</v>
      </c>
      <c r="P12" t="s">
        <v>11</v>
      </c>
      <c r="Q12" s="1" t="s">
        <v>12</v>
      </c>
      <c r="R12">
        <f>Sheet1!E11</f>
        <v>0.98599999999999999</v>
      </c>
      <c r="S12">
        <v>5</v>
      </c>
      <c r="T12">
        <v>15.8</v>
      </c>
      <c r="U12">
        <v>4.21</v>
      </c>
      <c r="V12">
        <v>25</v>
      </c>
      <c r="W12">
        <v>4</v>
      </c>
      <c r="X12">
        <f t="shared" si="2"/>
        <v>1.4368303125000001E-2</v>
      </c>
      <c r="Y12">
        <f t="shared" si="3"/>
        <v>14.368303125000001</v>
      </c>
      <c r="Z12" s="12">
        <f t="shared" si="9"/>
        <v>88.018655010391939</v>
      </c>
      <c r="AA12">
        <f t="shared" ref="AA12" si="21">AVERAGE(Z12:Z14)</f>
        <v>86.481464748573089</v>
      </c>
      <c r="AB12" s="12">
        <f t="shared" si="4"/>
        <v>79.679786245546339</v>
      </c>
      <c r="AD12" s="14">
        <f t="shared" si="5"/>
        <v>227.6565321301324</v>
      </c>
      <c r="AE12" s="15">
        <f t="shared" ref="AE12" si="22">AVERAGE(AD12:AD14)</f>
        <v>227.57396658257377</v>
      </c>
      <c r="AF12" s="13">
        <f>STDEV(AD12:AD14)*SQRT(3)</f>
        <v>13.533377673601587</v>
      </c>
      <c r="AG12" t="s">
        <v>77</v>
      </c>
      <c r="AH12" s="13">
        <f>AD15</f>
        <v>222.26764261140238</v>
      </c>
      <c r="AI12" t="s">
        <v>17</v>
      </c>
      <c r="AJ12" s="12">
        <f>AD21</f>
        <v>199.81373818866109</v>
      </c>
    </row>
    <row r="13" spans="1:36" x14ac:dyDescent="0.25">
      <c r="B13" s="1"/>
      <c r="D13">
        <v>23.1</v>
      </c>
      <c r="E13">
        <v>5</v>
      </c>
      <c r="F13">
        <v>15.999999999999998</v>
      </c>
      <c r="G13">
        <v>4.2</v>
      </c>
      <c r="H13">
        <v>25</v>
      </c>
      <c r="I13">
        <v>4</v>
      </c>
      <c r="J13">
        <f t="shared" si="0"/>
        <v>9.8999999999999869E-4</v>
      </c>
      <c r="K13">
        <f t="shared" si="1"/>
        <v>0.98999999999999866</v>
      </c>
      <c r="L13" s="2">
        <f t="shared" si="8"/>
        <v>6.081428571428563</v>
      </c>
      <c r="Q13" s="1"/>
      <c r="R13">
        <f>Sheet1!E12</f>
        <v>0.93599999999999994</v>
      </c>
      <c r="S13">
        <v>5</v>
      </c>
      <c r="T13">
        <v>15.999999999999998</v>
      </c>
      <c r="U13">
        <v>4.2</v>
      </c>
      <c r="V13">
        <v>25</v>
      </c>
      <c r="W13">
        <v>4</v>
      </c>
      <c r="X13">
        <f t="shared" si="2"/>
        <v>1.4399240625000002E-2</v>
      </c>
      <c r="Y13">
        <f t="shared" si="3"/>
        <v>14.399240625000003</v>
      </c>
      <c r="Z13" s="12">
        <f t="shared" si="9"/>
        <v>88.452478125000013</v>
      </c>
      <c r="AB13" s="12">
        <f t="shared" si="4"/>
        <v>82.371049553571453</v>
      </c>
      <c r="AD13" s="14">
        <f t="shared" si="5"/>
        <v>235.34585586734701</v>
      </c>
      <c r="AE13" s="15"/>
      <c r="AG13" t="s">
        <v>77</v>
      </c>
      <c r="AH13" s="13">
        <f t="shared" ref="AH13:AH14" si="23">AD16</f>
        <v>224.05309245660882</v>
      </c>
      <c r="AI13" t="s">
        <v>17</v>
      </c>
      <c r="AJ13" s="12">
        <f t="shared" ref="AJ13:AJ14" si="24">AD22</f>
        <v>202.78315086206899</v>
      </c>
    </row>
    <row r="14" spans="1:36" x14ac:dyDescent="0.25">
      <c r="B14" s="1"/>
      <c r="D14">
        <v>23</v>
      </c>
      <c r="E14">
        <v>5</v>
      </c>
      <c r="F14">
        <v>11.400000000000006</v>
      </c>
      <c r="G14">
        <v>4.43</v>
      </c>
      <c r="H14">
        <v>25</v>
      </c>
      <c r="I14">
        <v>4</v>
      </c>
      <c r="J14">
        <f t="shared" si="0"/>
        <v>1.0518749999999996E-3</v>
      </c>
      <c r="K14">
        <f t="shared" si="1"/>
        <v>1.0518749999999997</v>
      </c>
      <c r="L14" s="2">
        <f t="shared" si="8"/>
        <v>6.0714319977426623</v>
      </c>
      <c r="Q14" s="1"/>
      <c r="R14">
        <f>Sheet1!E13</f>
        <v>0.97499999999999998</v>
      </c>
      <c r="S14">
        <v>5</v>
      </c>
      <c r="T14">
        <v>11.400000000000006</v>
      </c>
      <c r="U14">
        <v>4.43</v>
      </c>
      <c r="V14">
        <v>25</v>
      </c>
      <c r="W14">
        <v>4</v>
      </c>
      <c r="X14">
        <f t="shared" si="2"/>
        <v>1.4375109374999999E-2</v>
      </c>
      <c r="Y14">
        <f t="shared" si="3"/>
        <v>14.375109374999999</v>
      </c>
      <c r="Z14" s="12">
        <f t="shared" si="9"/>
        <v>82.973261110327314</v>
      </c>
      <c r="AB14" s="12">
        <f t="shared" si="4"/>
        <v>76.90182911258465</v>
      </c>
      <c r="AD14" s="14">
        <f t="shared" si="5"/>
        <v>219.71951175024188</v>
      </c>
      <c r="AE14" s="15"/>
      <c r="AG14" t="s">
        <v>77</v>
      </c>
      <c r="AH14" s="13">
        <f t="shared" si="23"/>
        <v>209.57453468406598</v>
      </c>
      <c r="AI14" t="s">
        <v>17</v>
      </c>
      <c r="AJ14" s="12">
        <f t="shared" si="24"/>
        <v>207.53283149568554</v>
      </c>
    </row>
    <row r="15" spans="1:36" x14ac:dyDescent="0.25">
      <c r="A15" t="s">
        <v>13</v>
      </c>
      <c r="B15" s="1" t="s">
        <v>14</v>
      </c>
      <c r="D15">
        <v>22.8</v>
      </c>
      <c r="E15">
        <v>5</v>
      </c>
      <c r="F15">
        <v>12.799999999999995</v>
      </c>
      <c r="G15">
        <v>4.3600000000000003</v>
      </c>
      <c r="H15">
        <v>25</v>
      </c>
      <c r="I15">
        <v>4</v>
      </c>
      <c r="J15">
        <f t="shared" si="0"/>
        <v>1.1756249999999994E-3</v>
      </c>
      <c r="K15">
        <f t="shared" si="1"/>
        <v>1.1756249999999995</v>
      </c>
      <c r="L15" s="2">
        <f t="shared" si="8"/>
        <v>6.9135378440366937</v>
      </c>
      <c r="M15">
        <f t="shared" ref="M15" si="25">AVERAGE(L15:L17)</f>
        <v>10.411998461192196</v>
      </c>
      <c r="P15" t="s">
        <v>13</v>
      </c>
      <c r="Q15" s="1" t="s">
        <v>14</v>
      </c>
      <c r="R15">
        <f>Sheet1!E14</f>
        <v>0.92799999999999994</v>
      </c>
      <c r="S15">
        <v>5</v>
      </c>
      <c r="T15">
        <v>12.799999999999995</v>
      </c>
      <c r="U15">
        <v>4.3600000000000003</v>
      </c>
      <c r="V15">
        <v>25</v>
      </c>
      <c r="W15">
        <v>4</v>
      </c>
      <c r="X15">
        <f t="shared" si="2"/>
        <v>1.4404190625E-2</v>
      </c>
      <c r="Y15">
        <f t="shared" si="3"/>
        <v>14.404190625</v>
      </c>
      <c r="Z15" s="12">
        <f t="shared" si="9"/>
        <v>84.707212758027524</v>
      </c>
      <c r="AA15">
        <f t="shared" ref="AA15" si="26">AVERAGE(Z15:Z17)</f>
        <v>86.933113265601193</v>
      </c>
      <c r="AB15" s="12">
        <f t="shared" si="4"/>
        <v>77.793674913990827</v>
      </c>
      <c r="AD15" s="14">
        <f t="shared" si="5"/>
        <v>222.26764261140238</v>
      </c>
      <c r="AE15" s="15">
        <f t="shared" ref="AE15" si="27">AVERAGE(AD15:AD17)</f>
        <v>218.63175658402574</v>
      </c>
      <c r="AF15" s="13">
        <f>STDEV(AD15:AD17)*SQRT(3)</f>
        <v>13.673541150294948</v>
      </c>
      <c r="AG15" t="s">
        <v>21</v>
      </c>
      <c r="AH15" s="12">
        <f>AD27</f>
        <v>209.92613675958196</v>
      </c>
      <c r="AI15" t="s">
        <v>19</v>
      </c>
      <c r="AJ15" s="12">
        <f>AD24</f>
        <v>191.11422595847915</v>
      </c>
    </row>
    <row r="16" spans="1:36" x14ac:dyDescent="0.25">
      <c r="B16" s="1"/>
      <c r="D16">
        <v>22.5</v>
      </c>
      <c r="E16">
        <v>5</v>
      </c>
      <c r="F16">
        <v>14.399999999999997</v>
      </c>
      <c r="G16">
        <v>4.28</v>
      </c>
      <c r="H16">
        <v>25</v>
      </c>
      <c r="I16">
        <v>4</v>
      </c>
      <c r="J16">
        <f t="shared" si="0"/>
        <v>1.3612499999999996E-3</v>
      </c>
      <c r="K16">
        <f t="shared" si="1"/>
        <v>1.3612499999999996</v>
      </c>
      <c r="L16" s="2">
        <f t="shared" si="8"/>
        <v>8.1802219626168196</v>
      </c>
      <c r="Q16" s="1"/>
      <c r="R16">
        <f>Sheet1!E15</f>
        <v>0.91750000000000009</v>
      </c>
      <c r="S16">
        <v>5</v>
      </c>
      <c r="T16">
        <v>14.399999999999997</v>
      </c>
      <c r="U16">
        <v>4.28</v>
      </c>
      <c r="V16">
        <v>25</v>
      </c>
      <c r="W16">
        <v>4</v>
      </c>
      <c r="X16">
        <f t="shared" si="2"/>
        <v>1.4410687500000002E-2</v>
      </c>
      <c r="Y16">
        <f t="shared" si="3"/>
        <v>14.410687500000002</v>
      </c>
      <c r="Z16" s="12">
        <f t="shared" si="9"/>
        <v>86.598804322429913</v>
      </c>
      <c r="AB16" s="12">
        <f t="shared" si="4"/>
        <v>78.418582359813087</v>
      </c>
      <c r="AD16" s="14">
        <f t="shared" si="5"/>
        <v>224.05309245660882</v>
      </c>
      <c r="AE16" s="15"/>
      <c r="AG16" t="s">
        <v>21</v>
      </c>
      <c r="AH16" s="12">
        <f t="shared" ref="AH16:AH17" si="28">AD28</f>
        <v>207.11939636479588</v>
      </c>
      <c r="AI16" t="s">
        <v>19</v>
      </c>
      <c r="AJ16" s="12">
        <f t="shared" ref="AJ16:AJ17" si="29">AD25</f>
        <v>183.87741362359557</v>
      </c>
    </row>
    <row r="17" spans="1:36" x14ac:dyDescent="0.25">
      <c r="B17" s="1"/>
      <c r="D17">
        <v>20.5</v>
      </c>
      <c r="E17">
        <v>5</v>
      </c>
      <c r="F17">
        <v>16.799999999999997</v>
      </c>
      <c r="G17">
        <v>4.16</v>
      </c>
      <c r="H17">
        <v>25</v>
      </c>
      <c r="I17">
        <v>4</v>
      </c>
      <c r="J17">
        <f t="shared" si="0"/>
        <v>2.5987499999999999E-3</v>
      </c>
      <c r="K17">
        <f t="shared" si="1"/>
        <v>2.5987499999999999</v>
      </c>
      <c r="L17" s="2">
        <f t="shared" si="8"/>
        <v>16.142235576923074</v>
      </c>
      <c r="Q17" s="1"/>
      <c r="R17">
        <f>Sheet1!E16</f>
        <v>0.92249999999999999</v>
      </c>
      <c r="S17">
        <v>5</v>
      </c>
      <c r="T17">
        <v>16.799999999999997</v>
      </c>
      <c r="U17">
        <v>4.16</v>
      </c>
      <c r="V17">
        <v>25</v>
      </c>
      <c r="W17">
        <v>4</v>
      </c>
      <c r="X17">
        <f t="shared" si="2"/>
        <v>1.4407593750000001E-2</v>
      </c>
      <c r="Y17">
        <f t="shared" si="3"/>
        <v>14.407593750000002</v>
      </c>
      <c r="Z17" s="12">
        <f t="shared" si="9"/>
        <v>89.493322716346157</v>
      </c>
      <c r="AB17" s="12">
        <f t="shared" si="4"/>
        <v>73.351087139423086</v>
      </c>
      <c r="AD17" s="14">
        <f t="shared" si="5"/>
        <v>209.57453468406598</v>
      </c>
      <c r="AE17" s="15"/>
      <c r="AG17" t="s">
        <v>21</v>
      </c>
      <c r="AH17" s="12">
        <f t="shared" si="28"/>
        <v>212.99412890241911</v>
      </c>
      <c r="AI17" t="s">
        <v>19</v>
      </c>
      <c r="AJ17" s="12">
        <f t="shared" si="29"/>
        <v>193.45262649808248</v>
      </c>
    </row>
    <row r="18" spans="1:36" x14ac:dyDescent="0.25">
      <c r="A18" t="s">
        <v>15</v>
      </c>
      <c r="B18" s="1" t="s">
        <v>16</v>
      </c>
      <c r="D18">
        <v>22.8</v>
      </c>
      <c r="E18">
        <v>5</v>
      </c>
      <c r="F18">
        <v>10.199999999999996</v>
      </c>
      <c r="G18">
        <v>4.49</v>
      </c>
      <c r="H18">
        <v>25</v>
      </c>
      <c r="I18">
        <v>4</v>
      </c>
      <c r="J18">
        <f t="shared" si="0"/>
        <v>1.1756249999999994E-3</v>
      </c>
      <c r="K18">
        <f t="shared" si="1"/>
        <v>1.1756249999999995</v>
      </c>
      <c r="L18" s="2">
        <f t="shared" si="8"/>
        <v>6.6793304565701526</v>
      </c>
      <c r="M18">
        <f t="shared" ref="M18" si="30">AVERAGE(L18:L20)</f>
        <v>8.6508014507489452</v>
      </c>
      <c r="P18" t="s">
        <v>15</v>
      </c>
      <c r="Q18" s="1" t="s">
        <v>16</v>
      </c>
      <c r="R18">
        <f>Sheet1!E17</f>
        <v>1.0905</v>
      </c>
      <c r="S18">
        <v>5</v>
      </c>
      <c r="T18">
        <v>10.199999999999996</v>
      </c>
      <c r="U18">
        <v>4.49</v>
      </c>
      <c r="V18">
        <v>25</v>
      </c>
      <c r="W18">
        <v>4</v>
      </c>
      <c r="X18">
        <f t="shared" si="2"/>
        <v>1.4303643750000001E-2</v>
      </c>
      <c r="Y18">
        <f t="shared" si="3"/>
        <v>14.303643750000001</v>
      </c>
      <c r="Z18" s="12">
        <f t="shared" si="9"/>
        <v>81.266359033964363</v>
      </c>
      <c r="AA18">
        <f t="shared" ref="AA18" si="31">AVERAGE(Z18:Z20)</f>
        <v>82.273455932602232</v>
      </c>
      <c r="AB18" s="12">
        <f t="shared" si="4"/>
        <v>74.587028577394207</v>
      </c>
      <c r="AD18" s="14">
        <f t="shared" si="5"/>
        <v>213.10579593541203</v>
      </c>
      <c r="AE18" s="15">
        <f t="shared" ref="AE18" si="32">AVERAGE(AD18:AD20)</f>
        <v>210.35044137672369</v>
      </c>
      <c r="AF18" s="13">
        <f>STDEV(AD18:AD20)*SQRT(3)</f>
        <v>13.221916508948338</v>
      </c>
    </row>
    <row r="19" spans="1:36" x14ac:dyDescent="0.25">
      <c r="B19" s="1"/>
      <c r="D19">
        <v>21.6</v>
      </c>
      <c r="E19">
        <v>5</v>
      </c>
      <c r="F19">
        <v>10.399999999999991</v>
      </c>
      <c r="G19">
        <v>4.4800000000000004</v>
      </c>
      <c r="H19">
        <v>25</v>
      </c>
      <c r="I19">
        <v>4</v>
      </c>
      <c r="J19">
        <f t="shared" si="0"/>
        <v>1.9181249999999988E-3</v>
      </c>
      <c r="K19">
        <f t="shared" si="1"/>
        <v>1.9181249999999987</v>
      </c>
      <c r="L19" s="2">
        <f t="shared" si="8"/>
        <v>10.92646205357142</v>
      </c>
      <c r="Q19" s="1"/>
      <c r="R19">
        <f>Sheet1!E18</f>
        <v>1.0765</v>
      </c>
      <c r="S19">
        <v>5</v>
      </c>
      <c r="T19">
        <v>10.399999999999991</v>
      </c>
      <c r="U19">
        <v>4.4800000000000004</v>
      </c>
      <c r="V19">
        <v>25</v>
      </c>
      <c r="W19">
        <v>4</v>
      </c>
      <c r="X19">
        <f t="shared" si="2"/>
        <v>1.4312306249999998E-2</v>
      </c>
      <c r="Y19">
        <f t="shared" si="3"/>
        <v>14.312306249999999</v>
      </c>
      <c r="Z19" s="12">
        <f t="shared" si="9"/>
        <v>81.529030245535694</v>
      </c>
      <c r="AB19" s="12">
        <f t="shared" si="4"/>
        <v>70.602568191964281</v>
      </c>
      <c r="AD19" s="14">
        <f t="shared" si="5"/>
        <v>201.72162340561223</v>
      </c>
      <c r="AE19" s="15"/>
    </row>
    <row r="20" spans="1:36" x14ac:dyDescent="0.25">
      <c r="B20" s="1"/>
      <c r="D20">
        <v>22.4</v>
      </c>
      <c r="E20">
        <v>5</v>
      </c>
      <c r="F20">
        <v>12.599999999999998</v>
      </c>
      <c r="G20">
        <v>4.37</v>
      </c>
      <c r="H20">
        <v>25</v>
      </c>
      <c r="I20">
        <v>4</v>
      </c>
      <c r="J20">
        <f t="shared" si="0"/>
        <v>1.4231250000000006E-3</v>
      </c>
      <c r="K20">
        <f t="shared" si="1"/>
        <v>1.4231250000000006</v>
      </c>
      <c r="L20" s="2">
        <f t="shared" si="8"/>
        <v>8.3466118421052666</v>
      </c>
      <c r="Q20" s="1"/>
      <c r="R20">
        <f>Sheet1!E19</f>
        <v>1.0535000000000001</v>
      </c>
      <c r="S20">
        <v>5</v>
      </c>
      <c r="T20">
        <v>12.599999999999998</v>
      </c>
      <c r="U20">
        <v>4.37</v>
      </c>
      <c r="V20">
        <v>25</v>
      </c>
      <c r="W20">
        <v>4</v>
      </c>
      <c r="X20">
        <f t="shared" si="2"/>
        <v>1.43265375E-2</v>
      </c>
      <c r="Y20">
        <f t="shared" si="3"/>
        <v>14.326537500000001</v>
      </c>
      <c r="Z20" s="12">
        <f t="shared" si="9"/>
        <v>84.024978518306639</v>
      </c>
      <c r="AB20" s="12">
        <f t="shared" si="4"/>
        <v>75.678366676201378</v>
      </c>
      <c r="AD20" s="14">
        <f t="shared" si="5"/>
        <v>216.22390478914681</v>
      </c>
      <c r="AE20" s="15"/>
    </row>
    <row r="21" spans="1:36" x14ac:dyDescent="0.25">
      <c r="A21" t="s">
        <v>17</v>
      </c>
      <c r="B21" s="1" t="s">
        <v>18</v>
      </c>
      <c r="D21">
        <v>21.2</v>
      </c>
      <c r="E21">
        <v>5</v>
      </c>
      <c r="F21">
        <v>10.8</v>
      </c>
      <c r="G21">
        <v>4.46</v>
      </c>
      <c r="H21">
        <v>25</v>
      </c>
      <c r="I21">
        <v>4</v>
      </c>
      <c r="J21">
        <f t="shared" si="0"/>
        <v>2.165625E-3</v>
      </c>
      <c r="K21">
        <f t="shared" si="1"/>
        <v>2.1656249999999999</v>
      </c>
      <c r="L21" s="2">
        <f t="shared" si="8"/>
        <v>12.401359304932734</v>
      </c>
      <c r="M21">
        <f t="shared" ref="M21" si="33">AVERAGE(L21:L23)</f>
        <v>11.935749956153233</v>
      </c>
      <c r="P21" t="s">
        <v>17</v>
      </c>
      <c r="Q21" s="1" t="s">
        <v>18</v>
      </c>
      <c r="R21">
        <f>Sheet1!E20</f>
        <v>0.97</v>
      </c>
      <c r="S21">
        <v>5</v>
      </c>
      <c r="T21">
        <v>10.8</v>
      </c>
      <c r="U21">
        <v>4.46</v>
      </c>
      <c r="V21">
        <v>25</v>
      </c>
      <c r="W21">
        <v>4</v>
      </c>
      <c r="X21">
        <f t="shared" si="2"/>
        <v>1.4378203124999999E-2</v>
      </c>
      <c r="Y21">
        <f t="shared" si="3"/>
        <v>14.378203124999999</v>
      </c>
      <c r="Z21" s="12">
        <f t="shared" si="9"/>
        <v>82.336167670964116</v>
      </c>
      <c r="AA21">
        <f t="shared" ref="AA21" si="34">AVERAGE(Z21:Z23)</f>
        <v>83.117550686568393</v>
      </c>
      <c r="AB21" s="12">
        <f t="shared" si="4"/>
        <v>69.934808366031376</v>
      </c>
      <c r="AD21" s="14">
        <f t="shared" si="5"/>
        <v>199.81373818866109</v>
      </c>
      <c r="AE21" s="15">
        <f t="shared" ref="AE21" si="35">AVERAGE(AD21:AD23)</f>
        <v>203.37657351547185</v>
      </c>
      <c r="AF21" s="13">
        <f>STDEV(AD21:AD23)*SQRT(3)</f>
        <v>6.7439335416690325</v>
      </c>
    </row>
    <row r="22" spans="1:36" x14ac:dyDescent="0.25">
      <c r="B22" s="1"/>
      <c r="D22">
        <v>20.9</v>
      </c>
      <c r="E22">
        <v>5</v>
      </c>
      <c r="F22">
        <v>13.000000000000005</v>
      </c>
      <c r="G22">
        <v>4.3499999999999996</v>
      </c>
      <c r="H22">
        <v>25</v>
      </c>
      <c r="I22">
        <v>4</v>
      </c>
      <c r="J22">
        <f t="shared" si="0"/>
        <v>2.3512500000000005E-3</v>
      </c>
      <c r="K22">
        <f t="shared" si="1"/>
        <v>2.3512500000000003</v>
      </c>
      <c r="L22" s="2">
        <f t="shared" si="8"/>
        <v>13.864267241379313</v>
      </c>
      <c r="Q22" s="1"/>
      <c r="R22">
        <f>Sheet1!E21</f>
        <v>0.95450000000000002</v>
      </c>
      <c r="S22">
        <v>5</v>
      </c>
      <c r="T22">
        <v>13.000000000000005</v>
      </c>
      <c r="U22">
        <v>4.3499999999999996</v>
      </c>
      <c r="V22">
        <v>25</v>
      </c>
      <c r="W22">
        <v>4</v>
      </c>
      <c r="X22">
        <f t="shared" si="2"/>
        <v>1.4387793750000001E-2</v>
      </c>
      <c r="Y22">
        <f t="shared" si="3"/>
        <v>14.38779375</v>
      </c>
      <c r="Z22" s="12">
        <f t="shared" si="9"/>
        <v>84.838370043103453</v>
      </c>
      <c r="AB22" s="12">
        <f t="shared" si="4"/>
        <v>70.974102801724143</v>
      </c>
      <c r="AD22" s="14">
        <f t="shared" si="5"/>
        <v>202.78315086206899</v>
      </c>
      <c r="AE22" s="15"/>
    </row>
    <row r="23" spans="1:36" x14ac:dyDescent="0.25">
      <c r="B23" s="1"/>
      <c r="D23">
        <v>22</v>
      </c>
      <c r="E23">
        <v>5</v>
      </c>
      <c r="F23">
        <v>10.600000000000005</v>
      </c>
      <c r="G23">
        <v>4.47</v>
      </c>
      <c r="H23">
        <v>25</v>
      </c>
      <c r="I23">
        <v>4</v>
      </c>
      <c r="J23">
        <f t="shared" si="0"/>
        <v>1.6706249999999996E-3</v>
      </c>
      <c r="K23">
        <f t="shared" si="1"/>
        <v>1.6706249999999996</v>
      </c>
      <c r="L23" s="2">
        <f t="shared" si="8"/>
        <v>9.5416233221476485</v>
      </c>
      <c r="Q23" s="1"/>
      <c r="R23">
        <f>Sheet1!E22</f>
        <v>0.95350000000000001</v>
      </c>
      <c r="S23">
        <v>5</v>
      </c>
      <c r="T23">
        <v>10.600000000000005</v>
      </c>
      <c r="U23">
        <v>4.47</v>
      </c>
      <c r="V23">
        <v>25</v>
      </c>
      <c r="W23">
        <v>4</v>
      </c>
      <c r="X23">
        <f t="shared" si="2"/>
        <v>1.4388412499999998E-2</v>
      </c>
      <c r="Y23">
        <f t="shared" si="3"/>
        <v>14.388412499999998</v>
      </c>
      <c r="Z23" s="12">
        <f t="shared" si="9"/>
        <v>82.178114345637582</v>
      </c>
      <c r="AB23" s="12">
        <f t="shared" si="4"/>
        <v>72.636491023489938</v>
      </c>
      <c r="AD23" s="14">
        <f t="shared" si="5"/>
        <v>207.53283149568554</v>
      </c>
      <c r="AE23" s="15"/>
    </row>
    <row r="24" spans="1:36" x14ac:dyDescent="0.25">
      <c r="A24" t="s">
        <v>19</v>
      </c>
      <c r="B24" s="1" t="s">
        <v>20</v>
      </c>
      <c r="D24">
        <v>20.399999999999999</v>
      </c>
      <c r="E24">
        <v>5</v>
      </c>
      <c r="F24">
        <v>10.199999999999996</v>
      </c>
      <c r="G24">
        <v>4.49</v>
      </c>
      <c r="H24">
        <v>25</v>
      </c>
      <c r="I24">
        <v>4</v>
      </c>
      <c r="J24">
        <f t="shared" si="0"/>
        <v>2.6606250000000007E-3</v>
      </c>
      <c r="K24">
        <f t="shared" si="1"/>
        <v>2.6606250000000005</v>
      </c>
      <c r="L24" s="2">
        <f t="shared" si="8"/>
        <v>15.116379454342985</v>
      </c>
      <c r="M24">
        <f t="shared" ref="M24:M27" si="36">AVERAGE(L24:L26)</f>
        <v>16.14413861936109</v>
      </c>
      <c r="P24" t="s">
        <v>19</v>
      </c>
      <c r="Q24" s="1" t="s">
        <v>20</v>
      </c>
      <c r="R24">
        <f>Sheet1!E23</f>
        <v>0.88000000000000012</v>
      </c>
      <c r="S24">
        <v>5</v>
      </c>
      <c r="T24">
        <v>10.199999999999996</v>
      </c>
      <c r="U24">
        <v>4.49</v>
      </c>
      <c r="V24">
        <v>25</v>
      </c>
      <c r="W24">
        <v>4</v>
      </c>
      <c r="X24">
        <f t="shared" si="2"/>
        <v>1.4433890625000003E-2</v>
      </c>
      <c r="Y24">
        <f t="shared" si="3"/>
        <v>14.433890625000002</v>
      </c>
      <c r="Z24" s="12">
        <f t="shared" si="9"/>
        <v>82.006358539810691</v>
      </c>
      <c r="AA24">
        <f t="shared" ref="AA24" si="37">AVERAGE(Z24:Z26)</f>
        <v>82.462636328712776</v>
      </c>
      <c r="AB24" s="12">
        <f t="shared" si="4"/>
        <v>66.889979085467701</v>
      </c>
      <c r="AD24" s="14">
        <f t="shared" si="5"/>
        <v>191.11422595847915</v>
      </c>
      <c r="AE24" s="15">
        <f t="shared" ref="AE24" si="38">AVERAGE(AD24:AD26)</f>
        <v>189.48142202671909</v>
      </c>
      <c r="AF24" s="13">
        <f>STDEV(AD24:AD26)*SQRT(3)</f>
        <v>8.6465100313849188</v>
      </c>
    </row>
    <row r="25" spans="1:36" x14ac:dyDescent="0.25">
      <c r="B25" s="1"/>
      <c r="D25">
        <v>19.5</v>
      </c>
      <c r="E25">
        <v>5</v>
      </c>
      <c r="F25">
        <v>10.999999999999996</v>
      </c>
      <c r="G25">
        <v>4.45</v>
      </c>
      <c r="H25">
        <v>25</v>
      </c>
      <c r="I25">
        <v>4</v>
      </c>
      <c r="J25">
        <f t="shared" si="0"/>
        <v>3.2174999999999994E-3</v>
      </c>
      <c r="K25">
        <f t="shared" si="1"/>
        <v>3.2174999999999994</v>
      </c>
      <c r="L25" s="2">
        <f t="shared" si="8"/>
        <v>18.473511235955055</v>
      </c>
      <c r="Q25" s="1"/>
      <c r="R25">
        <f>Sheet1!E24</f>
        <v>0.89200000000000002</v>
      </c>
      <c r="S25">
        <v>5</v>
      </c>
      <c r="T25">
        <v>10.999999999999996</v>
      </c>
      <c r="U25">
        <v>4.45</v>
      </c>
      <c r="V25">
        <v>25</v>
      </c>
      <c r="W25">
        <v>4</v>
      </c>
      <c r="X25">
        <f t="shared" si="2"/>
        <v>1.4426465625000003E-2</v>
      </c>
      <c r="Y25">
        <f t="shared" si="3"/>
        <v>14.426465625000002</v>
      </c>
      <c r="Z25" s="12">
        <f t="shared" si="9"/>
        <v>82.830606004213507</v>
      </c>
      <c r="AB25" s="12">
        <f t="shared" si="4"/>
        <v>64.357094768258449</v>
      </c>
      <c r="AD25" s="14">
        <f t="shared" si="5"/>
        <v>183.87741362359557</v>
      </c>
      <c r="AE25" s="15"/>
    </row>
    <row r="26" spans="1:36" x14ac:dyDescent="0.25">
      <c r="B26" s="1"/>
      <c r="D26">
        <v>20.5</v>
      </c>
      <c r="E26">
        <v>5</v>
      </c>
      <c r="F26">
        <v>10.600000000000005</v>
      </c>
      <c r="G26">
        <v>4.47</v>
      </c>
      <c r="H26">
        <v>25</v>
      </c>
      <c r="I26">
        <v>4</v>
      </c>
      <c r="J26">
        <f t="shared" si="0"/>
        <v>2.5987499999999999E-3</v>
      </c>
      <c r="K26">
        <f t="shared" si="1"/>
        <v>2.5987499999999999</v>
      </c>
      <c r="L26" s="2">
        <f t="shared" si="8"/>
        <v>14.842525167785235</v>
      </c>
      <c r="Q26" s="1"/>
      <c r="R26">
        <f>Sheet1!E25</f>
        <v>0.84800000000000009</v>
      </c>
      <c r="S26">
        <v>5</v>
      </c>
      <c r="T26">
        <v>10.600000000000005</v>
      </c>
      <c r="U26">
        <v>4.47</v>
      </c>
      <c r="V26">
        <v>25</v>
      </c>
      <c r="W26">
        <v>4</v>
      </c>
      <c r="X26">
        <f t="shared" si="2"/>
        <v>1.4453690625E-2</v>
      </c>
      <c r="Y26">
        <f t="shared" si="3"/>
        <v>14.453690625</v>
      </c>
      <c r="Z26" s="12">
        <f t="shared" si="9"/>
        <v>82.550944442114101</v>
      </c>
      <c r="AB26" s="12">
        <f t="shared" si="4"/>
        <v>67.708419274328861</v>
      </c>
      <c r="AD26" s="14">
        <f t="shared" si="5"/>
        <v>193.45262649808248</v>
      </c>
      <c r="AE26" s="15"/>
    </row>
    <row r="27" spans="1:36" x14ac:dyDescent="0.25">
      <c r="A27" t="s">
        <v>21</v>
      </c>
      <c r="B27" s="1" t="s">
        <v>22</v>
      </c>
      <c r="D27">
        <v>22.5</v>
      </c>
      <c r="E27">
        <v>5</v>
      </c>
      <c r="F27">
        <v>9.8000000000000043</v>
      </c>
      <c r="G27">
        <v>4.51</v>
      </c>
      <c r="H27">
        <v>25</v>
      </c>
      <c r="I27">
        <v>4</v>
      </c>
      <c r="J27">
        <f t="shared" si="0"/>
        <v>1.3612499999999996E-3</v>
      </c>
      <c r="K27">
        <f t="shared" si="1"/>
        <v>1.3612499999999996</v>
      </c>
      <c r="L27" s="2">
        <f t="shared" si="8"/>
        <v>7.6936280487804867</v>
      </c>
      <c r="M27">
        <f t="shared" si="36"/>
        <v>9.0028068470736073</v>
      </c>
      <c r="P27" t="s">
        <v>21</v>
      </c>
      <c r="Q27" s="1" t="s">
        <v>22</v>
      </c>
      <c r="R27">
        <f>Sheet1!E26</f>
        <v>0.99749999999999994</v>
      </c>
      <c r="S27">
        <v>5</v>
      </c>
      <c r="T27">
        <v>9.8000000000000043</v>
      </c>
      <c r="U27">
        <v>4.51</v>
      </c>
      <c r="V27">
        <v>25</v>
      </c>
      <c r="W27">
        <v>4</v>
      </c>
      <c r="X27">
        <f t="shared" si="2"/>
        <v>1.4361187500000001E-2</v>
      </c>
      <c r="Y27">
        <f t="shared" si="3"/>
        <v>14.361187500000002</v>
      </c>
      <c r="Z27" s="12">
        <f t="shared" si="9"/>
        <v>81.167775914634163</v>
      </c>
      <c r="AA27">
        <f t="shared" ref="AA27" si="39">AVERAGE(Z27:Z29)</f>
        <v>82.507434083533255</v>
      </c>
      <c r="AB27" s="12">
        <f t="shared" si="4"/>
        <v>73.474147865853681</v>
      </c>
      <c r="AD27" s="14">
        <f t="shared" si="5"/>
        <v>209.92613675958196</v>
      </c>
      <c r="AE27" s="15">
        <f t="shared" ref="AE27" si="40">AVERAGE(AD27:AD29)</f>
        <v>210.01322067559897</v>
      </c>
      <c r="AF27" s="13">
        <f t="shared" ref="AF27" si="41">STDEV(AD27:AD29)*SQRT(3)</f>
        <v>5.0893442515143095</v>
      </c>
    </row>
    <row r="28" spans="1:36" x14ac:dyDescent="0.25">
      <c r="D28">
        <v>22</v>
      </c>
      <c r="E28">
        <v>5</v>
      </c>
      <c r="F28">
        <v>10.399999999999991</v>
      </c>
      <c r="G28">
        <v>4.4800000000000004</v>
      </c>
      <c r="H28">
        <v>25</v>
      </c>
      <c r="I28">
        <v>4</v>
      </c>
      <c r="J28">
        <f t="shared" si="0"/>
        <v>1.6706249999999996E-3</v>
      </c>
      <c r="K28">
        <f t="shared" si="1"/>
        <v>1.6706249999999996</v>
      </c>
      <c r="L28" s="2">
        <f t="shared" si="8"/>
        <v>9.5165959821428547</v>
      </c>
      <c r="R28">
        <f>Sheet1!E27</f>
        <v>0.94049999999999989</v>
      </c>
      <c r="S28">
        <v>5</v>
      </c>
      <c r="T28">
        <v>10.399999999999991</v>
      </c>
      <c r="U28">
        <v>4.4800000000000004</v>
      </c>
      <c r="V28">
        <v>25</v>
      </c>
      <c r="W28">
        <v>4</v>
      </c>
      <c r="X28">
        <f t="shared" si="2"/>
        <v>1.439645625E-2</v>
      </c>
      <c r="Y28">
        <f t="shared" si="3"/>
        <v>14.39645625</v>
      </c>
      <c r="Z28" s="12">
        <f t="shared" si="9"/>
        <v>82.008384709821414</v>
      </c>
      <c r="AB28" s="12">
        <f t="shared" si="4"/>
        <v>72.491788727678554</v>
      </c>
      <c r="AD28" s="14">
        <f t="shared" si="5"/>
        <v>207.11939636479588</v>
      </c>
    </row>
    <row r="29" spans="1:36" x14ac:dyDescent="0.25">
      <c r="D29">
        <v>22</v>
      </c>
      <c r="E29">
        <v>5</v>
      </c>
      <c r="F29">
        <v>12.599999999999998</v>
      </c>
      <c r="G29">
        <v>4.37</v>
      </c>
      <c r="H29">
        <v>25</v>
      </c>
      <c r="I29">
        <v>4</v>
      </c>
      <c r="J29">
        <f t="shared" si="0"/>
        <v>1.6706249999999996E-3</v>
      </c>
      <c r="K29">
        <f t="shared" si="1"/>
        <v>1.6706249999999996</v>
      </c>
      <c r="L29" s="2">
        <f t="shared" si="8"/>
        <v>9.7981965102974797</v>
      </c>
      <c r="R29">
        <f>Sheet1!E28</f>
        <v>0.96500000000000008</v>
      </c>
      <c r="S29">
        <v>5</v>
      </c>
      <c r="T29">
        <v>12.599999999999998</v>
      </c>
      <c r="U29">
        <v>4.37</v>
      </c>
      <c r="V29">
        <v>25</v>
      </c>
      <c r="W29">
        <v>4</v>
      </c>
      <c r="X29">
        <f t="shared" si="2"/>
        <v>1.4381296875E-2</v>
      </c>
      <c r="Y29">
        <f t="shared" si="3"/>
        <v>14.381296875</v>
      </c>
      <c r="Z29" s="12">
        <f t="shared" si="9"/>
        <v>84.34614162614416</v>
      </c>
      <c r="AB29" s="12">
        <f t="shared" si="4"/>
        <v>74.547945115846687</v>
      </c>
      <c r="AD29" s="14">
        <f t="shared" si="5"/>
        <v>212.99412890241911</v>
      </c>
    </row>
    <row r="30" spans="1:36" x14ac:dyDescent="0.25">
      <c r="A30" t="s">
        <v>53</v>
      </c>
      <c r="C30">
        <v>24.9</v>
      </c>
      <c r="R30">
        <f>Sheet1!E29</f>
        <v>24.2075</v>
      </c>
    </row>
    <row r="31" spans="1:36" x14ac:dyDescent="0.25">
      <c r="A31" t="s">
        <v>53</v>
      </c>
      <c r="C31">
        <v>24.6</v>
      </c>
      <c r="R31">
        <f>Sheet1!E30</f>
        <v>24.58</v>
      </c>
    </row>
    <row r="32" spans="1:36" x14ac:dyDescent="0.25">
      <c r="A32" t="s">
        <v>53</v>
      </c>
      <c r="C32">
        <v>24.6</v>
      </c>
      <c r="R32">
        <f>Sheet1!E31</f>
        <v>24.1</v>
      </c>
    </row>
    <row r="33" spans="1:18" x14ac:dyDescent="0.25">
      <c r="A33" t="s">
        <v>53</v>
      </c>
      <c r="R33">
        <f>Sheet1!E32</f>
        <v>23.68</v>
      </c>
    </row>
    <row r="34" spans="1:18" x14ac:dyDescent="0.25">
      <c r="A34" t="s">
        <v>53</v>
      </c>
      <c r="R34">
        <f>Sheet1!E33</f>
        <v>24.47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moisture</vt:lpstr>
      <vt:lpstr>DOC</vt:lpstr>
      <vt:lpstr>nitrate</vt:lpstr>
      <vt:lpstr>ammonium</vt:lpstr>
      <vt:lpstr>MBC</vt:lpstr>
      <vt:lpstr>Sheet1</vt:lpstr>
      <vt:lpstr>MBC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Khadeeja Rehman</dc:creator>
  <cp:lastModifiedBy>TANVIR</cp:lastModifiedBy>
  <dcterms:created xsi:type="dcterms:W3CDTF">2014-07-14T05:21:27Z</dcterms:created>
  <dcterms:modified xsi:type="dcterms:W3CDTF">2016-01-07T15:52:16Z</dcterms:modified>
</cp:coreProperties>
</file>