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trlProps/ctrlProp1.xml" ContentType="application/vnd.ms-excel.controlproperties+xml"/>
  <Override PartName="/xl/comments4.xml" ContentType="application/vnd.openxmlformats-officedocument.spreadsheetml.comment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C:\Users\Adolfo\Documents\Textos\eucaliptos\Incendios\PeerJ\"/>
    </mc:Choice>
  </mc:AlternateContent>
  <bookViews>
    <workbookView xWindow="0" yWindow="0" windowWidth="16005" windowHeight="8280" firstSheet="4" activeTab="4"/>
  </bookViews>
  <sheets>
    <sheet name="Correlation tests1_HID_HID" sheetId="19" state="hidden" r:id="rId1"/>
    <sheet name="Correlation tests1_HID" sheetId="18" state="hidden" r:id="rId2"/>
    <sheet name="Correlation tests8_HID_HID" sheetId="56" state="hidden" r:id="rId3"/>
    <sheet name="Correlation tests8_HID" sheetId="55" state="hidden" r:id="rId4"/>
    <sheet name="Fires data" sheetId="16" r:id="rId5"/>
    <sheet name="Datos2_HID" sheetId="63" state="hidden" r:id="rId6"/>
    <sheet name="Correlation tests9_HID_HID" sheetId="66" state="hidden" r:id="rId7"/>
    <sheet name="Correlation tests9_HID" sheetId="65" state="hidden" r:id="rId8"/>
    <sheet name="Correlation tests9_HID1" sheetId="67" state="hidden" r:id="rId9"/>
    <sheet name="Décadas_HID_HID" sheetId="81" state="hidden" r:id="rId10"/>
    <sheet name="Décadas_HID" sheetId="80" state="hidden" r:id="rId11"/>
    <sheet name="Decades" sheetId="52" r:id="rId12"/>
    <sheet name="Correlation tests_HID_HID" sheetId="15" state="hidden" r:id="rId13"/>
    <sheet name="Correlation tests_HID" sheetId="14" state="hidden" r:id="rId14"/>
    <sheet name="Correlation tests2_HID_HID" sheetId="22" state="hidden" r:id="rId15"/>
    <sheet name="Correlation tests2_HID" sheetId="21" state="hidden" r:id="rId16"/>
    <sheet name="Correlation tests3_HID_HID" sheetId="25" state="hidden" r:id="rId17"/>
    <sheet name="Correlation tests3_HID" sheetId="24" state="hidden" r:id="rId18"/>
    <sheet name="Correlation tests4_HID_HID" sheetId="28" state="hidden" r:id="rId19"/>
    <sheet name="Correlation tests4_HID" sheetId="27" state="hidden" r:id="rId20"/>
    <sheet name="Correlation tests6_HID_HID" sheetId="34" state="hidden" r:id="rId21"/>
    <sheet name="Correlation tests6_HID" sheetId="33" state="hidden" r:id="rId22"/>
    <sheet name="Correlation tests7_HID_HID" sheetId="37" state="hidden" r:id="rId23"/>
    <sheet name="Correlation tests7_HID" sheetId="36" state="hidden" r:id="rId24"/>
    <sheet name="Correlation tests7_HID1_HID" sheetId="40" state="hidden" r:id="rId25"/>
    <sheet name="Correlation tests7_HID1" sheetId="39" state="hidden" r:id="rId26"/>
    <sheet name="Correlation tests7_HID2_HID" sheetId="43" state="hidden" r:id="rId27"/>
    <sheet name="Correlation tests7_HID2" sheetId="42" state="hidden" r:id="rId28"/>
    <sheet name="Correlation tests7_HID3_HID" sheetId="46" state="hidden" r:id="rId29"/>
    <sheet name="Correlation tests7_HID3" sheetId="45" state="hidden" r:id="rId30"/>
    <sheet name="Summary 1968-2012" sheetId="53" r:id="rId31"/>
    <sheet name="Mediterraneo_HID_HID" sheetId="77" state="hidden" r:id="rId32"/>
    <sheet name="Mediterraneo_HID" sheetId="76" state="hidden" r:id="rId33"/>
    <sheet name="Mediterraneo_HID1_HID" sheetId="79" state="hidden" r:id="rId34"/>
    <sheet name="Mediterraneo_HID1" sheetId="78" state="hidden" r:id="rId35"/>
    <sheet name="Mediterranean" sheetId="10" r:id="rId36"/>
    <sheet name="South Europe" sheetId="12" r:id="rId37"/>
    <sheet name="precipitacion" sheetId="6" r:id="rId38"/>
    <sheet name="Forest inventories" sheetId="7" r:id="rId39"/>
    <sheet name="Correlation tests5_HID_HID" sheetId="31" state="hidden" r:id="rId40"/>
    <sheet name="Correlation tests5_HID" sheetId="30" state="hidden" r:id="rId41"/>
    <sheet name="Hoja1" sheetId="8" state="hidden" r:id="rId42"/>
  </sheets>
  <definedNames>
    <definedName name="xdata1" localSheetId="38" hidden="1">7682566+(ROW(OFFSET('Forest inventories'!$B$1,0,0,70,1))-1)*393019.637681159</definedName>
    <definedName name="xdata1" hidden="1">2096+(ROW(OFFSET(#REF!,0,0,70,1))-1)*29.9130434782609</definedName>
    <definedName name="xdata10" localSheetId="38" hidden="1">7682566+(ROW(OFFSET('Forest inventories'!$B$1,0,0,100,1))-1)*273922.777777778</definedName>
    <definedName name="xdata10" hidden="1">2096+(ROW(OFFSET(#REF!,0,0,100,1))-1)*20.8484848484848</definedName>
    <definedName name="xdata11" localSheetId="38" hidden="1">0+(ROW(OFFSET('Forest inventories'!$B$1,0,0,70,1))-1)*231.884057971014</definedName>
    <definedName name="xdata11" hidden="1">2000+(ROW(OFFSET(#REF!,0,0,70,1))-1)*173.913043478261</definedName>
    <definedName name="xdata113" localSheetId="38" hidden="1">3640708.59+(ROW(OFFSET('Forest inventories'!$B$1,0,0,70,1))-1)*702931.723478261</definedName>
    <definedName name="xdata115" localSheetId="38" hidden="1">3640708.59+(ROW(OFFSET('Forest inventories'!$B$1,0,0,70,1))-1)*702931.723478261</definedName>
    <definedName name="xdata117" localSheetId="38" hidden="1">3640708.59+(ROW(OFFSET('Forest inventories'!$B$1,0,0,100,1))-1)*489922.11030303</definedName>
    <definedName name="xdata119" localSheetId="38" hidden="1">3640708.59+(ROW(OFFSET('Forest inventories'!$B$1,0,0,100,1))-1)*489922.11030303</definedName>
    <definedName name="xdata12" localSheetId="38" hidden="1">0+(ROW(OFFSET('Forest inventories'!$B$1,0,0,70,1))-1)*231.884057971014</definedName>
    <definedName name="xdata12" hidden="1">2000+(ROW(OFFSET(#REF!,0,0,70,1))-1)*173.913043478261</definedName>
    <definedName name="xdata121" localSheetId="38" hidden="1">17.1017070218565+(ROW(OFFSET('Forest inventories'!$B$1,0,0,70,1))-1)*0.285659555420802</definedName>
    <definedName name="xdata123" localSheetId="38" hidden="1">14.0990622308099+(ROW(OFFSET('Forest inventories'!$B$1,0,0,70,1))-1)*0.32917614659539</definedName>
    <definedName name="xdata125" localSheetId="38" hidden="1">3640708.59+(ROW(OFFSET('Forest inventories'!$B$1,0,0,70,1))-1)*702931.723478261</definedName>
    <definedName name="xdata13" localSheetId="38" hidden="1">7682566+(ROW(OFFSET('Forest inventories'!$B$1,0,0,70,1))-1)*393019.637681159</definedName>
    <definedName name="xdata13" hidden="1">2096+(ROW(OFFSET(#REF!,0,0,70,1))-1)*31.8695652173913</definedName>
    <definedName name="xdata14" localSheetId="38" hidden="1">7682566+(ROW(OFFSET('Forest inventories'!$B$1,0,0,70,1))-1)*393019.637681159</definedName>
    <definedName name="xdata14" hidden="1">2096+(ROW(OFFSET(#REF!,0,0,70,1))-1)*31.8695652173913</definedName>
    <definedName name="xdata15" localSheetId="38" hidden="1">7682566+(ROW(OFFSET('Forest inventories'!$B$1,0,0,100,1))-1)*273922.777777778</definedName>
    <definedName name="xdata15" hidden="1">2096+(ROW(OFFSET(#REF!,0,0,100,1))-1)*22.2121212121212</definedName>
    <definedName name="xdata16" localSheetId="38" hidden="1">7682566+(ROW(OFFSET('Forest inventories'!$B$1,0,0,100,1))-1)*273922.777777778</definedName>
    <definedName name="xdata16" hidden="1">2096+(ROW(OFFSET(#REF!,0,0,100,1))-1)*22.2121212121212</definedName>
    <definedName name="xdata17" localSheetId="38" hidden="1">0+(ROW(OFFSET('Forest inventories'!$B$1,0,0,70,1))-1)*202.898550724638</definedName>
    <definedName name="xdata17" hidden="1">-5000+(ROW(OFFSET(#REF!,0,0,70,1))-1)*724.63768115942</definedName>
    <definedName name="xdata18" localSheetId="38" hidden="1">0+(ROW(OFFSET('Forest inventories'!$B$1,0,0,70,1))-1)*202.898550724638</definedName>
    <definedName name="xdata18" hidden="1">-5000+(ROW(OFFSET(#REF!,0,0,70,1))-1)*724.63768115942</definedName>
    <definedName name="xdata19" localSheetId="38" hidden="1">7682566+(ROW(OFFSET('Forest inventories'!$B$1,0,0,70,1))-1)*393019.637681159</definedName>
    <definedName name="xdata2" localSheetId="38" hidden="1">7682566+(ROW(OFFSET('Forest inventories'!$B$1,0,0,70,1))-1)*393019.637681159</definedName>
    <definedName name="xdata2" hidden="1">2096+(ROW(OFFSET(#REF!,0,0,70,1))-1)*29.9130434782609</definedName>
    <definedName name="xdata20" localSheetId="38" hidden="1">7682566+(ROW(OFFSET('Forest inventories'!$B$1,0,0,70,1))-1)*393019.637681159</definedName>
    <definedName name="xdata21" localSheetId="38" hidden="1">7682566+(ROW(OFFSET('Forest inventories'!$B$1,0,0,100,1))-1)*273922.777777778</definedName>
    <definedName name="xdata22" localSheetId="38" hidden="1">7682566+(ROW(OFFSET('Forest inventories'!$B$1,0,0,100,1))-1)*273922.777777778</definedName>
    <definedName name="xdata23" localSheetId="38" hidden="1">1000+(ROW(OFFSET('Forest inventories'!$B$1,0,0,70,1))-1)*115.942028985507</definedName>
    <definedName name="xdata24" localSheetId="38" hidden="1">1000+(ROW(OFFSET('Forest inventories'!$B$1,0,0,70,1))-1)*115.942028985507</definedName>
    <definedName name="xdata25" localSheetId="38" hidden="1">7682566+(ROW(OFFSET('Forest inventories'!$B$1,0,0,70,1))-1)*393019.637681159</definedName>
    <definedName name="xdata26" localSheetId="38" hidden="1">7682566+(ROW(OFFSET('Forest inventories'!$B$1,0,0,70,1))-1)*393019.637681159</definedName>
    <definedName name="xdata27" localSheetId="38" hidden="1">7682566+(ROW(OFFSET('Forest inventories'!$B$1,0,0,100,1))-1)*273922.777777778</definedName>
    <definedName name="xdata28" localSheetId="38" hidden="1">7682566+(ROW(OFFSET('Forest inventories'!$B$1,0,0,100,1))-1)*273922.777777778</definedName>
    <definedName name="xdata29" localSheetId="38" hidden="1">0+(ROW(OFFSET('Forest inventories'!$B$1,0,0,70,1))-1)*202.898550724638</definedName>
    <definedName name="xdata3" localSheetId="38" hidden="1">7682566+(ROW(OFFSET('Forest inventories'!$B$1,0,0,100,1))-1)*273922.777777778</definedName>
    <definedName name="xdata3" hidden="1">2096+(ROW(OFFSET(#REF!,0,0,100,1))-1)*20.8484848484848</definedName>
    <definedName name="xdata30" localSheetId="38" hidden="1">0+(ROW(OFFSET('Forest inventories'!$B$1,0,0,70,1))-1)*202.898550724638</definedName>
    <definedName name="xdata31" localSheetId="38" hidden="1">7682566+(ROW(OFFSET('Forest inventories'!$B$1,0,0,70,1))-1)*393019.637681159</definedName>
    <definedName name="xdata32" localSheetId="38" hidden="1">7682566+(ROW(OFFSET('Forest inventories'!$B$1,0,0,70,1))-1)*393019.637681159</definedName>
    <definedName name="xdata33" localSheetId="38" hidden="1">7682566+(ROW(OFFSET('Forest inventories'!$B$1,0,0,100,1))-1)*273922.777777778</definedName>
    <definedName name="xdata34" localSheetId="38" hidden="1">7682566+(ROW(OFFSET('Forest inventories'!$B$1,0,0,100,1))-1)*273922.777777778</definedName>
    <definedName name="xdata35" localSheetId="38" hidden="1">0+(ROW(OFFSET('Forest inventories'!$B$1,0,0,70,1))-1)*173.913043478261</definedName>
    <definedName name="xdata36" localSheetId="38" hidden="1">0+(ROW(OFFSET('Forest inventories'!$B$1,0,0,70,1))-1)*173.913043478261</definedName>
    <definedName name="xdata37" localSheetId="38" hidden="1">7682566+(ROW(OFFSET('Forest inventories'!$B$1,0,0,70,1))-1)*393019.637681159</definedName>
    <definedName name="xdata38" localSheetId="38" hidden="1">7682566+(ROW(OFFSET('Forest inventories'!$B$1,0,0,70,1))-1)*393019.637681159</definedName>
    <definedName name="xdata39" localSheetId="38" hidden="1">7682566+(ROW(OFFSET('Forest inventories'!$B$1,0,0,100,1))-1)*273922.777777778</definedName>
    <definedName name="xdata4" localSheetId="38" hidden="1">7682566+(ROW(OFFSET('Forest inventories'!$B$1,0,0,100,1))-1)*273922.777777778</definedName>
    <definedName name="xdata4" hidden="1">2096+(ROW(OFFSET(#REF!,0,0,100,1))-1)*20.8484848484848</definedName>
    <definedName name="xdata40" localSheetId="38" hidden="1">7682566+(ROW(OFFSET('Forest inventories'!$B$1,0,0,100,1))-1)*273922.777777778</definedName>
    <definedName name="xdata41" localSheetId="38" hidden="1">0+(ROW(OFFSET('Forest inventories'!$B$1,0,0,70,1))-1)*231.884057971014</definedName>
    <definedName name="xdata42" localSheetId="38" hidden="1">0+(ROW(OFFSET('Forest inventories'!$B$1,0,0,70,1))-1)*231.884057971014</definedName>
    <definedName name="xdata43" localSheetId="38" hidden="1">0+(ROW(OFFSET('Forest inventories'!$B$1,0,0,70,1))-1)*231.884057971014</definedName>
    <definedName name="xdata44" localSheetId="38" hidden="1">0+(ROW(OFFSET('Forest inventories'!$B$1,0,0,70,1))-1)*231.884057971014</definedName>
    <definedName name="xdata45" localSheetId="38" hidden="1">7682566+(ROW(OFFSET('Forest inventories'!$B$1,0,0,70,1))-1)*585776.436231884</definedName>
    <definedName name="xdata46" localSheetId="38" hidden="1">7682566+(ROW(OFFSET('Forest inventories'!$B$1,0,0,70,1))-1)*585776.436231884</definedName>
    <definedName name="xdata47" localSheetId="38" hidden="1">7682566+(ROW(OFFSET('Forest inventories'!$B$1,0,0,100,1))-1)*408268.425252525</definedName>
    <definedName name="xdata48" localSheetId="38" hidden="1">7682566+(ROW(OFFSET('Forest inventories'!$B$1,0,0,100,1))-1)*408268.425252525</definedName>
    <definedName name="xdata49" localSheetId="38" hidden="1">0+(ROW(OFFSET('Forest inventories'!$B$1,0,0,70,1))-1)*231.884057971014</definedName>
    <definedName name="xdata5" localSheetId="38" hidden="1">0+(ROW(OFFSET('Forest inventories'!$B$1,0,0,70,1))-1)*173.913043478261</definedName>
    <definedName name="xdata5" hidden="1">2000+(ROW(OFFSET(#REF!,0,0,70,1))-1)*173.913043478261</definedName>
    <definedName name="xdata50" localSheetId="38" hidden="1">0+(ROW(OFFSET('Forest inventories'!$B$1,0,0,70,1))-1)*231.884057971014</definedName>
    <definedName name="xdata51" localSheetId="38" hidden="1">7682566+(ROW(OFFSET('Forest inventories'!$B$1,0,0,70,1))-1)*585776.436231884</definedName>
    <definedName name="xdata52" localSheetId="38" hidden="1">7682566+(ROW(OFFSET('Forest inventories'!$B$1,0,0,70,1))-1)*585776.436231884</definedName>
    <definedName name="xdata53" localSheetId="38" hidden="1">7682566+(ROW(OFFSET('Forest inventories'!$B$1,0,0,100,1))-1)*408268.425252525</definedName>
    <definedName name="xdata54" localSheetId="38" hidden="1">7682566+(ROW(OFFSET('Forest inventories'!$B$1,0,0,100,1))-1)*408268.425252525</definedName>
    <definedName name="xdata55" localSheetId="38" hidden="1">0+(ROW(OFFSET('Forest inventories'!$B$1,0,0,70,1))-1)*231.884057971014</definedName>
    <definedName name="xdata56" localSheetId="38" hidden="1">0+(ROW(OFFSET('Forest inventories'!$B$1,0,0,70,1))-1)*231.884057971014</definedName>
    <definedName name="xdata6" localSheetId="38" hidden="1">0+(ROW(OFFSET('Forest inventories'!$B$1,0,0,70,1))-1)*173.913043478261</definedName>
    <definedName name="xdata6" hidden="1">2000+(ROW(OFFSET(#REF!,0,0,70,1))-1)*173.913043478261</definedName>
    <definedName name="xdata7" localSheetId="38" hidden="1">7682566+(ROW(OFFSET('Forest inventories'!$B$1,0,0,70,1))-1)*393019.637681159</definedName>
    <definedName name="xdata7" hidden="1">2096+(ROW(OFFSET(#REF!,0,0,70,1))-1)*29.9130434782609</definedName>
    <definedName name="xdata8" localSheetId="38" hidden="1">7682566+(ROW(OFFSET('Forest inventories'!$B$1,0,0,70,1))-1)*393019.637681159</definedName>
    <definedName name="xdata8" hidden="1">2096+(ROW(OFFSET(#REF!,0,0,70,1))-1)*29.9130434782609</definedName>
    <definedName name="xdata9" localSheetId="38" hidden="1">7682566+(ROW(OFFSET('Forest inventories'!$B$1,0,0,100,1))-1)*273922.777777778</definedName>
    <definedName name="xdata9" hidden="1">2096+(ROW(OFFSET(#REF!,0,0,100,1))-1)*20.8484848484848</definedName>
    <definedName name="ydata1" localSheetId="38" hidden="1">-1831.25485522296+0.000339523689213793*'Forest inventories'!xdata1-8774.50843312457*(0.333333333333333+('Forest inventories'!xdata1-19368078.6666667)^2/388766308399033)^0.5</definedName>
    <definedName name="ydata1" hidden="1">-8282.07928534616+4.96327150732276*[0]!xdata1-4911.40460801573*(0.0555555555555556+([0]!xdata1-3351.27777777778)^2/6906277.61111111)^0.5</definedName>
    <definedName name="ydata10" localSheetId="38" hidden="1">-3391.02921707636+0.000511857477159309*'Forest inventories'!xdata10+1863.07338334796*(1.33333333333333+('Forest inventories'!xdata10-19368078.6666667)^2/388766308399033)^0.5</definedName>
    <definedName name="ydata10" hidden="1">0+1*[0]!xdata9-7218.82189560452*(1.03846153846154+([0]!xdata9-7419.65384615385)^2/293607536.323392)^0.5</definedName>
    <definedName name="ydata11" localSheetId="38" hidden="1">0+1*'Forest inventories'!xdata11-1863.07338334796*(1.33333333333333+('Forest inventories'!xdata11-6522.66666666667)^2/101856025.173347)^0.5</definedName>
    <definedName name="ydata114" localSheetId="38" hidden="1">15.1427733852322+3.22946057772916E-07*'Forest inventories'!xdata113-10.5780951310646*(0.0416666666666667+('Forest inventories'!xdata113-26551344.025)^2/6047747537386880)^0.5</definedName>
    <definedName name="ydata116" localSheetId="38" hidden="1">15.1427733852322+3.22946057772916E-07*'Forest inventories'!xdata115+10.5780951310646*(0.0416666666666667+('Forest inventories'!xdata115-26551344.025)^2/6047747537386880)^0.5</definedName>
    <definedName name="ydata118" localSheetId="38" hidden="1">15.1427733852322+3.22946057772916E-07*'Forest inventories'!xdata117-10.5780951310646*(1.04166666666667+('Forest inventories'!xdata117-26551344.025)^2/6047747537386880)^0.5</definedName>
    <definedName name="ydata12" localSheetId="38" hidden="1">0+1*'Forest inventories'!xdata12+1863.07338334796*(1.33333333333333+('Forest inventories'!xdata12-6522.66666666667)^2/101856025.173347)^0.5</definedName>
    <definedName name="ydata12" hidden="1">0+1*[0]!xdata11+7218.82189560452*(1.03846153846154+([0]!xdata11-7419.65384615385)^2/293607536.323392)^0.5</definedName>
    <definedName name="ydata120" localSheetId="38" hidden="1">15.1427733852322+3.22946057772916E-07*'Forest inventories'!xdata119+10.5780951310646*(1.04166666666667+('Forest inventories'!xdata119-26551344.025)^2/6047747537386880)^0.5</definedName>
    <definedName name="ydata122" localSheetId="38" hidden="1">0+1*'Forest inventories'!xdata121-10.5780951310646*(1.04166666666667+('Forest inventories'!xdata121-23.7174252666784)^2/572.3652706407)^0.5</definedName>
    <definedName name="ydata124" localSheetId="38" hidden="1">0+1*'Forest inventories'!xdata123+10.5780951310646*(1.04166666666667+('Forest inventories'!xdata123-23.7174252666784)^2/572.3652706407)^0.5</definedName>
    <definedName name="ydata126" localSheetId="38" hidden="1">15.1427733852322+3.22946057772916E-07*'Forest inventories'!xdata125-10.5780951310646*(0.0416666666666667+('Forest inventories'!xdata125-26551344.025)^2/6047747537386880)^0.5</definedName>
    <definedName name="ydata13" localSheetId="38" hidden="1">-3389.85979957743+0.000457412079193887*'Forest inventories'!xdata13-22166.0636275285*(0.333333333333333+('Forest inventories'!xdata13-19368078.6666667)^2/388766308399033)^0.5</definedName>
    <definedName name="ydata14" localSheetId="38" hidden="1">-3389.85979957743+0.000457412079193887*'Forest inventories'!xdata14+22166.0636275285*(0.333333333333333+('Forest inventories'!xdata14-19368078.6666667)^2/388766308399033)^0.5</definedName>
    <definedName name="ydata15" localSheetId="38" hidden="1">-3389.85979957743+0.000457412079193887*'Forest inventories'!xdata15-22166.0636275285*(1.33333333333333+('Forest inventories'!xdata15-19368078.6666667)^2/388766308399033)^0.5</definedName>
    <definedName name="ydata16" localSheetId="38" hidden="1">-3389.85979957743+0.000457412079193887*'Forest inventories'!xdata16+22166.0636275285*(1.33333333333333+('Forest inventories'!xdata16-19368078.6666667)^2/388766308399033)^0.5</definedName>
    <definedName name="ydata17" localSheetId="38" hidden="1">0+1*'Forest inventories'!xdata17-22166.0636275285*(1.33333333333333+('Forest inventories'!xdata17-5469.33333333333)^2/81339945.850325)^0.5</definedName>
    <definedName name="ydata18" localSheetId="38" hidden="1">0+1*'Forest inventories'!xdata18+22166.0636275285*(1.33333333333333+('Forest inventories'!xdata18-5469.33333333333)^2/81339945.850325)^0.5</definedName>
    <definedName name="ydata19" localSheetId="38" hidden="1">-388.218779551009+0.000260009551431896*'Forest inventories'!xdata19-3627.11028554633*(0.333333333333333+('Forest inventories'!xdata19-19368078.6666667)^2/388766308399033)^0.5</definedName>
    <definedName name="ydata2" localSheetId="38" hidden="1">-1831.25485522296+0.000339523689213793*'Forest inventories'!xdata2+8774.50843312457*(0.333333333333333+('Forest inventories'!xdata2-19368078.6666667)^2/388766308399033)^0.5</definedName>
    <definedName name="ydata2" hidden="1">0+1*[0]!xdata1-6427.94096053354*(1.03846153846154+([0]!xdata1-7419.65384615385)^2/200630822.304683)^0.5</definedName>
    <definedName name="ydata20" localSheetId="38" hidden="1">-388.218779551009+0.000260009551431896*'Forest inventories'!xdata20+3627.11028554633*(0.333333333333333+('Forest inventories'!xdata20-19368078.6666667)^2/388766308399033)^0.5</definedName>
    <definedName name="ydata21" localSheetId="38" hidden="1">-388.218779551009+0.000260009551431896*'Forest inventories'!xdata21-3627.11028554633*(1.33333333333333+('Forest inventories'!xdata21-19368078.6666667)^2/388766308399033)^0.5</definedName>
    <definedName name="ydata22" localSheetId="38" hidden="1">-388.218779551009+0.000260009551431896*'Forest inventories'!xdata22+3627.11028554633*(1.33333333333333+('Forest inventories'!xdata22-19368078.6666667)^2/388766308399033)^0.5</definedName>
    <definedName name="ydata23" localSheetId="38" hidden="1">0+1*'Forest inventories'!xdata23-3627.11028554633*(1.33333333333333+('Forest inventories'!xdata23-4647.66666666667)^2/26282533.3861991)^0.5</definedName>
    <definedName name="ydata24" localSheetId="38" hidden="1">0+1*'Forest inventories'!xdata24+3627.11028554633*(1.33333333333333+('Forest inventories'!xdata24-4647.66666666667)^2/26282533.3861991)^0.5</definedName>
    <definedName name="ydata25" localSheetId="38" hidden="1">-2162.76610313032+0.000419699147397635*'Forest inventories'!xdata25-7972.67063505476*(0.333333333333333+('Forest inventories'!xdata25-19368078.6666667)^2/388766308399033)^0.5</definedName>
    <definedName name="ydata26" localSheetId="38" hidden="1">-2162.76610313032+0.000419699147397635*'Forest inventories'!xdata26+7972.67063505476*(0.333333333333333+('Forest inventories'!xdata26-19368078.6666667)^2/388766308399033)^0.5</definedName>
    <definedName name="ydata27" localSheetId="38" hidden="1">-2162.76610313032+0.000419699147397635*'Forest inventories'!xdata27-7972.67063505476*(1.33333333333333+('Forest inventories'!xdata27-19368078.6666667)^2/388766308399033)^0.5</definedName>
    <definedName name="ydata28" localSheetId="38" hidden="1">-2162.76610313032+0.000419699147397635*'Forest inventories'!xdata28+7972.67063505476*(1.33333333333333+('Forest inventories'!xdata28-19368078.6666667)^2/388766308399033)^0.5</definedName>
    <definedName name="ydata29" localSheetId="38" hidden="1">0+1*'Forest inventories'!xdata29-7972.67063505476*(1.33333333333333+('Forest inventories'!xdata29-5966)^2/68480164.4510188)^0.5</definedName>
    <definedName name="ydata3" localSheetId="38" hidden="1">-1831.25485522296+0.000339523689213793*'Forest inventories'!xdata3-8774.50843312457*(1.33333333333333+('Forest inventories'!xdata3-19368078.6666667)^2/388766308399033)^0.5</definedName>
    <definedName name="ydata3" hidden="1">-8282.07928534616+4.96327150732276*[0]!xdata3-4911.40460801573*(1.05555555555556+([0]!xdata3-3351.27777777778)^2/6906277.61111111)^0.5</definedName>
    <definedName name="ydata30" localSheetId="38" hidden="1">0+1*'Forest inventories'!xdata30+7972.67063505476*(1.33333333333333+('Forest inventories'!xdata30-5966)^2/68480164.4510188)^0.5</definedName>
    <definedName name="ydata31" localSheetId="38" hidden="1">-2232.62575091162+0.000397700388879304*'Forest inventories'!xdata31-6684.61180536279*(0.333333333333333+('Forest inventories'!xdata31-19368078.6666667)^2/388766308399033)^0.5</definedName>
    <definedName name="ydata32" localSheetId="38" hidden="1">-2232.62575091162+0.000397700388879304*'Forest inventories'!xdata32+6684.61180536279*(0.333333333333333+('Forest inventories'!xdata32-19368078.6666667)^2/388766308399033)^0.5</definedName>
    <definedName name="ydata33" localSheetId="38" hidden="1">-2232.62575091162+0.000397700388879304*'Forest inventories'!xdata33-6684.61180536279*(1.33333333333333+('Forest inventories'!xdata33-19368078.6666667)^2/388766308399033)^0.5</definedName>
    <definedName name="ydata34" localSheetId="38" hidden="1">-2232.62575091162+0.000397700388879304*'Forest inventories'!xdata34+6684.61180536279*(1.33333333333333+('Forest inventories'!xdata34-19368078.6666667)^2/388766308399033)^0.5</definedName>
    <definedName name="ydata35" localSheetId="38" hidden="1">0+1*'Forest inventories'!xdata35-6684.61180536279*(1.33333333333333+('Forest inventories'!xdata35-5470.06666666667)^2/61489456.1613157)^0.5</definedName>
    <definedName name="ydata36" localSheetId="38" hidden="1">0+1*'Forest inventories'!xdata36+6684.61180536279*(1.33333333333333+('Forest inventories'!xdata36-5470.06666666667)^2/61489456.1613157)^0.5</definedName>
    <definedName name="ydata37" localSheetId="38" hidden="1">-2232.62575091162+0.000397700388879304*'Forest inventories'!xdata37-3114.18483881425*(0.0666666666666667+('Forest inventories'!xdata37-19368078.6666667)^2/1943831541995160)^0.5</definedName>
    <definedName name="ydata38" localSheetId="38" hidden="1">-2232.62575091162+0.000397700388879304*'Forest inventories'!xdata38+3114.18483881425*(0.0666666666666667+('Forest inventories'!xdata38-19368078.6666667)^2/1943831541995160)^0.5</definedName>
    <definedName name="ydata39" localSheetId="38" hidden="1">-2232.62575091162+0.000397700388879304*'Forest inventories'!xdata39-3114.18483881425*(1.06666666666667+('Forest inventories'!xdata39-19368078.6666667)^2/1943831541995160)^0.5</definedName>
    <definedName name="ydata4" localSheetId="38" hidden="1">-1831.25485522296+0.000339523689213793*'Forest inventories'!xdata4+8774.50843312457*(1.33333333333333+('Forest inventories'!xdata4-19368078.6666667)^2/388766308399033)^0.5</definedName>
    <definedName name="ydata4" hidden="1">0+1*[0]!xdata3+6427.94096053354*(1.03846153846154+([0]!xdata3-7419.65384615385)^2/200630822.304683)^0.5</definedName>
    <definedName name="ydata40" localSheetId="38" hidden="1">-2232.62575091162+0.000397700388879304*'Forest inventories'!xdata40+3114.18483881425*(1.06666666666667+('Forest inventories'!xdata40-19368078.6666667)^2/1943831541995160)^0.5</definedName>
    <definedName name="ydata41" localSheetId="38" hidden="1">0+1*'Forest inventories'!xdata41-3114.18483881425*(1.06666666666667+('Forest inventories'!xdata41-5470.06666666667)^2/307447280.806579)^0.5</definedName>
    <definedName name="ydata42" localSheetId="38" hidden="1">0+1*'Forest inventories'!xdata42+3114.18483881425*(1.06666666666667+('Forest inventories'!xdata42-5470.06666666667)^2/307447280.806579)^0.5</definedName>
    <definedName name="ydata43" localSheetId="38" hidden="1">0+1*'Forest inventories'!xdata43-3157.22972217783*(1.06666666666667+('Forest inventories'!xdata43-5470.06666666667)^2/308831136.133333)^0.5</definedName>
    <definedName name="ydata44" localSheetId="38" hidden="1">0+1*'Forest inventories'!xdata44+3157.22972217783*(1.06666666666667+('Forest inventories'!xdata44-5470.06666666667)^2/308831136.133333)^0.5</definedName>
    <definedName name="ydata45" localSheetId="38" hidden="1">456.357269195825+0.000185342823305063*'Forest inventories'!xdata45-7999.47488631117*(0.0416666666666667+('Forest inventories'!xdata45-26551344.025)^2/6047747537386880)^0.5</definedName>
    <definedName name="ydata46" localSheetId="38" hidden="1">456.357269195825+0.000185342823305063*'Forest inventories'!xdata46+7999.47488631117*(0.0416666666666667+('Forest inventories'!xdata46-26551344.025)^2/6047747537386880)^0.5</definedName>
    <definedName name="ydata47" localSheetId="38" hidden="1">456.357269195825+0.000185342823305063*'Forest inventories'!xdata47-7999.47488631117*(1.04166666666667+('Forest inventories'!xdata47-26551344.025)^2/6047747537386880)^0.5</definedName>
    <definedName name="ydata48" localSheetId="38" hidden="1">456.357269195825+0.000185342823305063*'Forest inventories'!xdata48+7999.47488631117*(1.04166666666667+('Forest inventories'!xdata48-26551344.025)^2/6047747537386880)^0.5</definedName>
    <definedName name="ydata49" localSheetId="38" hidden="1">0+1*'Forest inventories'!xdata49-7999.47488631117*(1.04166666666667+('Forest inventories'!xdata49-5377.45833333333)^2/207751994.501253)^0.5</definedName>
    <definedName name="ydata5" localSheetId="38" hidden="1">0+1*'Forest inventories'!xdata5-8774.50843312457*(1.33333333333333+('Forest inventories'!xdata5-4744.66666666667)^2/44815555.4126215)^0.5</definedName>
    <definedName name="ydata5" hidden="1">0+1*[0]!xdata5-4911.40460801573*(1.05555555555556+([0]!xdata5-8351.22222222222)^2/170129685.056499)^0.5</definedName>
    <definedName name="ydata50" localSheetId="38" hidden="1">0+1*'Forest inventories'!xdata50+7999.47488631117*(1.04166666666667+('Forest inventories'!xdata50-5377.45833333333)^2/207751994.501253)^0.5</definedName>
    <definedName name="ydata51" localSheetId="38" hidden="1">456.357269195825+0.000185342823305063*'Forest inventories'!xdata51-7999.47488631117*(0.0416666666666667+('Forest inventories'!xdata51-26551344.025)^2/6047747537386880)^0.5</definedName>
    <definedName name="ydata52" localSheetId="38" hidden="1">456.357269195825+0.000185342823305063*'Forest inventories'!xdata52+7999.47488631117*(0.0416666666666667+('Forest inventories'!xdata52-26551344.025)^2/6047747537386880)^0.5</definedName>
    <definedName name="ydata53" localSheetId="38" hidden="1">456.357269195825+0.000185342823305063*'Forest inventories'!xdata53-7999.47488631117*(1.04166666666667+('Forest inventories'!xdata53-26551344.025)^2/6047747537386880)^0.5</definedName>
    <definedName name="ydata54" localSheetId="38" hidden="1">456.357269195825+0.000185342823305063*'Forest inventories'!xdata54+7999.47488631117*(1.04166666666667+('Forest inventories'!xdata54-26551344.025)^2/6047747537386880)^0.5</definedName>
    <definedName name="ydata55" localSheetId="38" hidden="1">0+1*'Forest inventories'!xdata55-7999.47488631117*(1.04166666666667+('Forest inventories'!xdata55-5377.45833333333)^2/207751994.501253)^0.5</definedName>
    <definedName name="ydata56" localSheetId="38" hidden="1">0+1*'Forest inventories'!xdata56+7999.47488631117*(1.04166666666667+('Forest inventories'!xdata56-5377.45833333333)^2/207751994.501253)^0.5</definedName>
    <definedName name="ydata6" localSheetId="38" hidden="1">0+1*'Forest inventories'!xdata6+8774.50843312457*(1.33333333333333+('Forest inventories'!xdata6-4744.66666666667)^2/44815555.4126215)^0.5</definedName>
    <definedName name="ydata6" hidden="1">0+1*[0]!xdata6+4911.40460801573*(1.05555555555556+([0]!xdata6-8351.22222222222)^2/170129685.056499)^0.5</definedName>
    <definedName name="ydata7" localSheetId="38" hidden="1">-3391.02921707636+0.000511857477159309*'Forest inventories'!xdata7-1863.07338334796*(0.333333333333333+('Forest inventories'!xdata7-19368078.6666667)^2/388766308399033)^0.5</definedName>
    <definedName name="ydata8" localSheetId="38" hidden="1">-3391.02921707636+0.000511857477159309*'Forest inventories'!xdata8+1863.07338334796*(0.333333333333333+('Forest inventories'!xdata8-19368078.6666667)^2/388766308399033)^0.5</definedName>
    <definedName name="ydata8" hidden="1">1838.43127799015+3.42555827277731*[0]!xdata7+7218.82189560452*(1.03846153846154+([0]!xdata7-1629.28846153846)^2/2758201.40653846)^0.5</definedName>
    <definedName name="ydata9" localSheetId="38" hidden="1">-3391.02921707636+0.000511857477159309*'Forest inventories'!xdata9-1863.07338334796*(1.33333333333333+('Forest inventories'!xdata9-19368078.6666667)^2/388766308399033)^0.5</definedName>
  </definedNames>
  <calcPr calcId="152511" concurrentCalc="0"/>
</workbook>
</file>

<file path=xl/calcChain.xml><?xml version="1.0" encoding="utf-8"?>
<calcChain xmlns="http://schemas.openxmlformats.org/spreadsheetml/2006/main">
  <c r="F5" i="7" l="1"/>
  <c r="F2" i="7"/>
  <c r="F6" i="7"/>
  <c r="E6" i="7"/>
  <c r="D6" i="7"/>
  <c r="C6" i="7"/>
  <c r="HA42" i="16"/>
  <c r="HA43" i="16"/>
  <c r="HA44" i="16"/>
  <c r="HA45" i="16"/>
  <c r="HA46" i="16"/>
  <c r="HA47" i="16"/>
  <c r="HA50" i="16"/>
  <c r="M23" i="52"/>
  <c r="HB42" i="16"/>
  <c r="HB43" i="16"/>
  <c r="HB44" i="16"/>
  <c r="HB45" i="16"/>
  <c r="HB46" i="16"/>
  <c r="HB47" i="16"/>
  <c r="HB50" i="16"/>
  <c r="U23" i="52"/>
  <c r="AC23" i="52"/>
  <c r="AG23" i="52"/>
  <c r="DH42" i="16"/>
  <c r="DH43" i="16"/>
  <c r="DH44" i="16"/>
  <c r="DH45" i="16"/>
  <c r="DH46" i="16"/>
  <c r="DG47" i="16"/>
  <c r="DH47" i="16"/>
  <c r="DH48" i="16"/>
  <c r="DG49" i="16"/>
  <c r="DH49" i="16"/>
  <c r="DH51" i="16"/>
  <c r="DH52" i="16"/>
  <c r="DH53" i="16"/>
  <c r="M22" i="52"/>
  <c r="DI42" i="16"/>
  <c r="DI43" i="16"/>
  <c r="DI44" i="16"/>
  <c r="DI45" i="16"/>
  <c r="DI46" i="16"/>
  <c r="DI47" i="16"/>
  <c r="DI48" i="16"/>
  <c r="DI49" i="16"/>
  <c r="DI51" i="16"/>
  <c r="DI52" i="16"/>
  <c r="DI53" i="16"/>
  <c r="U22" i="52"/>
  <c r="AC22" i="52"/>
  <c r="AG22" i="52"/>
  <c r="DN42" i="16"/>
  <c r="DN43" i="16"/>
  <c r="DN44" i="16"/>
  <c r="DN45" i="16"/>
  <c r="DN46" i="16"/>
  <c r="DM47" i="16"/>
  <c r="DN47" i="16"/>
  <c r="DM48" i="16"/>
  <c r="DN48" i="16"/>
  <c r="DM49" i="16"/>
  <c r="DN49" i="16"/>
  <c r="DN51" i="16"/>
  <c r="DN52" i="16"/>
  <c r="DN53" i="16"/>
  <c r="M21" i="52"/>
  <c r="DO42" i="16"/>
  <c r="DO43" i="16"/>
  <c r="DO44" i="16"/>
  <c r="DO45" i="16"/>
  <c r="DO46" i="16"/>
  <c r="DO47" i="16"/>
  <c r="DO48" i="16"/>
  <c r="DO49" i="16"/>
  <c r="DO51" i="16"/>
  <c r="DO52" i="16"/>
  <c r="DO53" i="16"/>
  <c r="U21" i="52"/>
  <c r="AC21" i="52"/>
  <c r="AG21" i="52"/>
  <c r="DB42" i="16"/>
  <c r="DB43" i="16"/>
  <c r="DB44" i="16"/>
  <c r="DB45" i="16"/>
  <c r="DB46" i="16"/>
  <c r="DB47" i="16"/>
  <c r="DB48" i="16"/>
  <c r="DB49" i="16"/>
  <c r="DB50" i="16"/>
  <c r="DB51" i="16"/>
  <c r="DB52" i="16"/>
  <c r="DB53" i="16"/>
  <c r="M20" i="52"/>
  <c r="DC42" i="16"/>
  <c r="DC43" i="16"/>
  <c r="DC44" i="16"/>
  <c r="DC45" i="16"/>
  <c r="DC46" i="16"/>
  <c r="DA47" i="16"/>
  <c r="DC47" i="16"/>
  <c r="DC48" i="16"/>
  <c r="DC49" i="16"/>
  <c r="DC50" i="16"/>
  <c r="DC51" i="16"/>
  <c r="DC52" i="16"/>
  <c r="DC53" i="16"/>
  <c r="U20" i="52"/>
  <c r="AC20" i="52"/>
  <c r="AG20" i="52"/>
  <c r="FZ42" i="16"/>
  <c r="FZ43" i="16"/>
  <c r="FZ44" i="16"/>
  <c r="FZ45" i="16"/>
  <c r="FZ46" i="16"/>
  <c r="FY47" i="16"/>
  <c r="FZ47" i="16"/>
  <c r="FZ48" i="16"/>
  <c r="FZ49" i="16"/>
  <c r="FZ50" i="16"/>
  <c r="FZ51" i="16"/>
  <c r="FZ52" i="16"/>
  <c r="FZ53" i="16"/>
  <c r="M19" i="52"/>
  <c r="GA42" i="16"/>
  <c r="GA43" i="16"/>
  <c r="GA44" i="16"/>
  <c r="GA45" i="16"/>
  <c r="GA46" i="16"/>
  <c r="GA47" i="16"/>
  <c r="GA48" i="16"/>
  <c r="GA49" i="16"/>
  <c r="GA50" i="16"/>
  <c r="GA51" i="16"/>
  <c r="GA52" i="16"/>
  <c r="GA53" i="16"/>
  <c r="U19" i="52"/>
  <c r="AC19" i="52"/>
  <c r="AG19" i="52"/>
  <c r="EN42" i="16"/>
  <c r="EN43" i="16"/>
  <c r="EN44" i="16"/>
  <c r="EN45" i="16"/>
  <c r="EN46" i="16"/>
  <c r="EM47" i="16"/>
  <c r="EN47" i="16"/>
  <c r="EN48" i="16"/>
  <c r="EN49" i="16"/>
  <c r="EN50" i="16"/>
  <c r="EN51" i="16"/>
  <c r="EN52" i="16"/>
  <c r="EN53" i="16"/>
  <c r="M18" i="52"/>
  <c r="EO42" i="16"/>
  <c r="EO43" i="16"/>
  <c r="EO44" i="16"/>
  <c r="EO45" i="16"/>
  <c r="EO46" i="16"/>
  <c r="EO47" i="16"/>
  <c r="EO48" i="16"/>
  <c r="EO49" i="16"/>
  <c r="EO50" i="16"/>
  <c r="EO51" i="16"/>
  <c r="EO52" i="16"/>
  <c r="EO53" i="16"/>
  <c r="U18" i="52"/>
  <c r="AC18" i="52"/>
  <c r="AG18" i="52"/>
  <c r="EH42" i="16"/>
  <c r="EH43" i="16"/>
  <c r="EH44" i="16"/>
  <c r="EH45" i="16"/>
  <c r="EH46" i="16"/>
  <c r="EG47" i="16"/>
  <c r="EH47" i="16"/>
  <c r="EH48" i="16"/>
  <c r="EH49" i="16"/>
  <c r="EH50" i="16"/>
  <c r="EH51" i="16"/>
  <c r="EH52" i="16"/>
  <c r="EH53" i="16"/>
  <c r="M17" i="52"/>
  <c r="EI42" i="16"/>
  <c r="EI43" i="16"/>
  <c r="EI44" i="16"/>
  <c r="EI45" i="16"/>
  <c r="EI46" i="16"/>
  <c r="EI47" i="16"/>
  <c r="EI48" i="16"/>
  <c r="EI49" i="16"/>
  <c r="EI50" i="16"/>
  <c r="EI51" i="16"/>
  <c r="EI52" i="16"/>
  <c r="EI53" i="16"/>
  <c r="U17" i="52"/>
  <c r="AC17" i="52"/>
  <c r="AG17" i="52"/>
  <c r="EA42" i="16"/>
  <c r="EA43" i="16"/>
  <c r="EA44" i="16"/>
  <c r="EA45" i="16"/>
  <c r="EA46" i="16"/>
  <c r="DZ47" i="16"/>
  <c r="EA47" i="16"/>
  <c r="EA48" i="16"/>
  <c r="EA49" i="16"/>
  <c r="EA50" i="16"/>
  <c r="EA51" i="16"/>
  <c r="EA52" i="16"/>
  <c r="EA53" i="16"/>
  <c r="M16" i="52"/>
  <c r="EC42" i="16"/>
  <c r="EC43" i="16"/>
  <c r="EC44" i="16"/>
  <c r="EC45" i="16"/>
  <c r="EC46" i="16"/>
  <c r="EC47" i="16"/>
  <c r="EC48" i="16"/>
  <c r="EC49" i="16"/>
  <c r="EC50" i="16"/>
  <c r="EC51" i="16"/>
  <c r="EC52" i="16"/>
  <c r="EC53" i="16"/>
  <c r="U16" i="52"/>
  <c r="AC16" i="52"/>
  <c r="AG16" i="52"/>
  <c r="DT42" i="16"/>
  <c r="DT43" i="16"/>
  <c r="DT44" i="16"/>
  <c r="DT45" i="16"/>
  <c r="DT46" i="16"/>
  <c r="DS47" i="16"/>
  <c r="DT47" i="16"/>
  <c r="DT48" i="16"/>
  <c r="DT49" i="16"/>
  <c r="DT50" i="16"/>
  <c r="DT51" i="16"/>
  <c r="DT52" i="16"/>
  <c r="DT53" i="16"/>
  <c r="M15" i="52"/>
  <c r="DV42" i="16"/>
  <c r="DV43" i="16"/>
  <c r="DV44" i="16"/>
  <c r="DV45" i="16"/>
  <c r="DV46" i="16"/>
  <c r="DV47" i="16"/>
  <c r="DV48" i="16"/>
  <c r="DV49" i="16"/>
  <c r="DV50" i="16"/>
  <c r="DV51" i="16"/>
  <c r="DV52" i="16"/>
  <c r="DV53" i="16"/>
  <c r="U15" i="52"/>
  <c r="AC15" i="52"/>
  <c r="AG15" i="52"/>
  <c r="CD42" i="16"/>
  <c r="CD43" i="16"/>
  <c r="CD44" i="16"/>
  <c r="CD45" i="16"/>
  <c r="CD46" i="16"/>
  <c r="CC47" i="16"/>
  <c r="CD47" i="16"/>
  <c r="CD48" i="16"/>
  <c r="CD49" i="16"/>
  <c r="CD50" i="16"/>
  <c r="CD51" i="16"/>
  <c r="CD52" i="16"/>
  <c r="CD53" i="16"/>
  <c r="M14" i="52"/>
  <c r="CE42" i="16"/>
  <c r="CE43" i="16"/>
  <c r="CE44" i="16"/>
  <c r="CE45" i="16"/>
  <c r="CE46" i="16"/>
  <c r="CE47" i="16"/>
  <c r="CE48" i="16"/>
  <c r="CE49" i="16"/>
  <c r="CE50" i="16"/>
  <c r="CE51" i="16"/>
  <c r="CE52" i="16"/>
  <c r="CE53" i="16"/>
  <c r="U14" i="52"/>
  <c r="AC14" i="52"/>
  <c r="AG14" i="52"/>
  <c r="CP42" i="16"/>
  <c r="CP43" i="16"/>
  <c r="CP44" i="16"/>
  <c r="CP45" i="16"/>
  <c r="CP46" i="16"/>
  <c r="CO47" i="16"/>
  <c r="CP47" i="16"/>
  <c r="CP48" i="16"/>
  <c r="CP49" i="16"/>
  <c r="CP50" i="16"/>
  <c r="CP51" i="16"/>
  <c r="CP52" i="16"/>
  <c r="CP53" i="16"/>
  <c r="M13" i="52"/>
  <c r="CQ42" i="16"/>
  <c r="CQ43" i="16"/>
  <c r="CQ44" i="16"/>
  <c r="CQ45" i="16"/>
  <c r="CQ46" i="16"/>
  <c r="CQ47" i="16"/>
  <c r="CQ48" i="16"/>
  <c r="CQ49" i="16"/>
  <c r="CQ50" i="16"/>
  <c r="CQ51" i="16"/>
  <c r="CQ52" i="16"/>
  <c r="CQ53" i="16"/>
  <c r="U13" i="52"/>
  <c r="AC13" i="52"/>
  <c r="AG13" i="52"/>
  <c r="CV42" i="16"/>
  <c r="CV43" i="16"/>
  <c r="CV44" i="16"/>
  <c r="CV45" i="16"/>
  <c r="CV46" i="16"/>
  <c r="CU47" i="16"/>
  <c r="CV47" i="16"/>
  <c r="CU48" i="16"/>
  <c r="CV48" i="16"/>
  <c r="CU49" i="16"/>
  <c r="CV49" i="16"/>
  <c r="CV50" i="16"/>
  <c r="CV51" i="16"/>
  <c r="CV52" i="16"/>
  <c r="CV53" i="16"/>
  <c r="M12" i="52"/>
  <c r="CW42" i="16"/>
  <c r="CW43" i="16"/>
  <c r="CW44" i="16"/>
  <c r="CW45" i="16"/>
  <c r="CW46" i="16"/>
  <c r="CW47" i="16"/>
  <c r="CW48" i="16"/>
  <c r="CW49" i="16"/>
  <c r="CW50" i="16"/>
  <c r="CW51" i="16"/>
  <c r="CW52" i="16"/>
  <c r="CW53" i="16"/>
  <c r="U12" i="52"/>
  <c r="AC12" i="52"/>
  <c r="AG12" i="52"/>
  <c r="CJ42" i="16"/>
  <c r="CJ43" i="16"/>
  <c r="CJ44" i="16"/>
  <c r="CJ45" i="16"/>
  <c r="CJ46" i="16"/>
  <c r="CI47" i="16"/>
  <c r="CJ47" i="16"/>
  <c r="CJ48" i="16"/>
  <c r="CJ49" i="16"/>
  <c r="CJ50" i="16"/>
  <c r="CJ51" i="16"/>
  <c r="CJ52" i="16"/>
  <c r="CJ53" i="16"/>
  <c r="M11" i="52"/>
  <c r="CK42" i="16"/>
  <c r="CK43" i="16"/>
  <c r="CK44" i="16"/>
  <c r="CK45" i="16"/>
  <c r="CK46" i="16"/>
  <c r="CK47" i="16"/>
  <c r="CK48" i="16"/>
  <c r="CK49" i="16"/>
  <c r="CK50" i="16"/>
  <c r="CK51" i="16"/>
  <c r="CK52" i="16"/>
  <c r="CK53" i="16"/>
  <c r="U11" i="52"/>
  <c r="AC11" i="52"/>
  <c r="AG11" i="52"/>
  <c r="BX42" i="16"/>
  <c r="BX43" i="16"/>
  <c r="BX44" i="16"/>
  <c r="BX45" i="16"/>
  <c r="BX46" i="16"/>
  <c r="BW47" i="16"/>
  <c r="BX47" i="16"/>
  <c r="BX48" i="16"/>
  <c r="BX49" i="16"/>
  <c r="BX50" i="16"/>
  <c r="BX51" i="16"/>
  <c r="BX52" i="16"/>
  <c r="BX53" i="16"/>
  <c r="M10" i="52"/>
  <c r="BY42" i="16"/>
  <c r="BY43" i="16"/>
  <c r="BY44" i="16"/>
  <c r="BY45" i="16"/>
  <c r="BY46" i="16"/>
  <c r="BY47" i="16"/>
  <c r="BY48" i="16"/>
  <c r="BY49" i="16"/>
  <c r="BY50" i="16"/>
  <c r="BY51" i="16"/>
  <c r="BY52" i="16"/>
  <c r="BY53" i="16"/>
  <c r="U10" i="52"/>
  <c r="AC10" i="52"/>
  <c r="AG10" i="52"/>
  <c r="BR42" i="16"/>
  <c r="BR43" i="16"/>
  <c r="BR44" i="16"/>
  <c r="BR45" i="16"/>
  <c r="BR46" i="16"/>
  <c r="BQ47" i="16"/>
  <c r="BR47" i="16"/>
  <c r="BR48" i="16"/>
  <c r="BR49" i="16"/>
  <c r="BR50" i="16"/>
  <c r="BR51" i="16"/>
  <c r="BR52" i="16"/>
  <c r="BR53" i="16"/>
  <c r="M9" i="52"/>
  <c r="BS42" i="16"/>
  <c r="BS43" i="16"/>
  <c r="BS44" i="16"/>
  <c r="BS45" i="16"/>
  <c r="BS46" i="16"/>
  <c r="BS47" i="16"/>
  <c r="BS48" i="16"/>
  <c r="BS49" i="16"/>
  <c r="BS50" i="16"/>
  <c r="BS51" i="16"/>
  <c r="BS52" i="16"/>
  <c r="BS53" i="16"/>
  <c r="U9" i="52"/>
  <c r="AC9" i="52"/>
  <c r="AG9" i="52"/>
  <c r="BK42" i="16"/>
  <c r="BK43" i="16"/>
  <c r="BK44" i="16"/>
  <c r="BK45" i="16"/>
  <c r="BK46" i="16"/>
  <c r="BJ47" i="16"/>
  <c r="BK47" i="16"/>
  <c r="BK48" i="16"/>
  <c r="BK49" i="16"/>
  <c r="BK50" i="16"/>
  <c r="BK51" i="16"/>
  <c r="BH52" i="16"/>
  <c r="BK52" i="16"/>
  <c r="BH53" i="16"/>
  <c r="BK53" i="16"/>
  <c r="M8" i="52"/>
  <c r="BM42" i="16"/>
  <c r="BM43" i="16"/>
  <c r="BM44" i="16"/>
  <c r="BM45" i="16"/>
  <c r="BM46" i="16"/>
  <c r="BM47" i="16"/>
  <c r="BM48" i="16"/>
  <c r="BM49" i="16"/>
  <c r="BM50" i="16"/>
  <c r="BM51" i="16"/>
  <c r="BM52" i="16"/>
  <c r="BM53" i="16"/>
  <c r="U8" i="52"/>
  <c r="AC8" i="52"/>
  <c r="AG8" i="52"/>
  <c r="BD42" i="16"/>
  <c r="BD43" i="16"/>
  <c r="BD44" i="16"/>
  <c r="BD45" i="16"/>
  <c r="BD46" i="16"/>
  <c r="BC47" i="16"/>
  <c r="BD47" i="16"/>
  <c r="BD48" i="16"/>
  <c r="BD49" i="16"/>
  <c r="BD50" i="16"/>
  <c r="BD51" i="16"/>
  <c r="BD52" i="16"/>
  <c r="BA53" i="16"/>
  <c r="BD53" i="16"/>
  <c r="M7" i="52"/>
  <c r="BF42" i="16"/>
  <c r="BF43" i="16"/>
  <c r="BF44" i="16"/>
  <c r="BF45" i="16"/>
  <c r="BF46" i="16"/>
  <c r="BF47" i="16"/>
  <c r="BF48" i="16"/>
  <c r="BF49" i="16"/>
  <c r="BF50" i="16"/>
  <c r="BF51" i="16"/>
  <c r="BF52" i="16"/>
  <c r="BF53" i="16"/>
  <c r="U7" i="52"/>
  <c r="AC7" i="52"/>
  <c r="AG7" i="52"/>
  <c r="FL42" i="16"/>
  <c r="FL43" i="16"/>
  <c r="FL44" i="16"/>
  <c r="FL45" i="16"/>
  <c r="FL46" i="16"/>
  <c r="FK47" i="16"/>
  <c r="FL47" i="16"/>
  <c r="FL48" i="16"/>
  <c r="FL49" i="16"/>
  <c r="FL50" i="16"/>
  <c r="FL51" i="16"/>
  <c r="FL52" i="16"/>
  <c r="FL53" i="16"/>
  <c r="M6" i="52"/>
  <c r="FN42" i="16"/>
  <c r="FN43" i="16"/>
  <c r="FN44" i="16"/>
  <c r="FN45" i="16"/>
  <c r="FN46" i="16"/>
  <c r="FN47" i="16"/>
  <c r="FN48" i="16"/>
  <c r="FN49" i="16"/>
  <c r="FN50" i="16"/>
  <c r="FN51" i="16"/>
  <c r="FN52" i="16"/>
  <c r="FN53" i="16"/>
  <c r="U6" i="52"/>
  <c r="AC6" i="52"/>
  <c r="AG6" i="52"/>
  <c r="FF42" i="16"/>
  <c r="FF43" i="16"/>
  <c r="FF44" i="16"/>
  <c r="FF45" i="16"/>
  <c r="FF46" i="16"/>
  <c r="FF47" i="16"/>
  <c r="FF48" i="16"/>
  <c r="FF49" i="16"/>
  <c r="FF50" i="16"/>
  <c r="FF51" i="16"/>
  <c r="FF52" i="16"/>
  <c r="FF53" i="16"/>
  <c r="M5" i="52"/>
  <c r="FH42" i="16"/>
  <c r="FH43" i="16"/>
  <c r="FH44" i="16"/>
  <c r="FH45" i="16"/>
  <c r="FH46" i="16"/>
  <c r="FE47" i="16"/>
  <c r="FH47" i="16"/>
  <c r="FH48" i="16"/>
  <c r="FH49" i="16"/>
  <c r="FH50" i="16"/>
  <c r="FH51" i="16"/>
  <c r="FH52" i="16"/>
  <c r="FH53" i="16"/>
  <c r="U5" i="52"/>
  <c r="AC5" i="52"/>
  <c r="AG5" i="52"/>
  <c r="EZ42" i="16"/>
  <c r="EZ43" i="16"/>
  <c r="EZ44" i="16"/>
  <c r="EZ45" i="16"/>
  <c r="EZ46" i="16"/>
  <c r="EY47" i="16"/>
  <c r="EZ47" i="16"/>
  <c r="EZ48" i="16"/>
  <c r="EZ49" i="16"/>
  <c r="EZ50" i="16"/>
  <c r="EZ51" i="16"/>
  <c r="EZ52" i="16"/>
  <c r="EZ53" i="16"/>
  <c r="M4" i="52"/>
  <c r="FB42" i="16"/>
  <c r="FB43" i="16"/>
  <c r="FB44" i="16"/>
  <c r="FB45" i="16"/>
  <c r="FB46" i="16"/>
  <c r="FB47" i="16"/>
  <c r="FB48" i="16"/>
  <c r="FB49" i="16"/>
  <c r="FB50" i="16"/>
  <c r="FB51" i="16"/>
  <c r="FB52" i="16"/>
  <c r="FB53" i="16"/>
  <c r="U4" i="52"/>
  <c r="AC4" i="52"/>
  <c r="AG4" i="52"/>
  <c r="ET42" i="16"/>
  <c r="ET43" i="16"/>
  <c r="ET44" i="16"/>
  <c r="ET45" i="16"/>
  <c r="ET46" i="16"/>
  <c r="ES47" i="16"/>
  <c r="ET47" i="16"/>
  <c r="ET48" i="16"/>
  <c r="ET49" i="16"/>
  <c r="ET50" i="16"/>
  <c r="ET51" i="16"/>
  <c r="ET52" i="16"/>
  <c r="ET53" i="16"/>
  <c r="M3" i="52"/>
  <c r="EV42" i="16"/>
  <c r="EV43" i="16"/>
  <c r="EV44" i="16"/>
  <c r="EV45" i="16"/>
  <c r="EV46" i="16"/>
  <c r="EV47" i="16"/>
  <c r="EV48" i="16"/>
  <c r="EV49" i="16"/>
  <c r="EV50" i="16"/>
  <c r="EV51" i="16"/>
  <c r="EV52" i="16"/>
  <c r="EV53" i="16"/>
  <c r="U3" i="52"/>
  <c r="AC3" i="52"/>
  <c r="AG3" i="52"/>
  <c r="AF23" i="52"/>
  <c r="AF22" i="52"/>
  <c r="AF21" i="52"/>
  <c r="AF20" i="52"/>
  <c r="AF19" i="52"/>
  <c r="AF18" i="52"/>
  <c r="AF17" i="52"/>
  <c r="AF16" i="52"/>
  <c r="AF15" i="52"/>
  <c r="AF14" i="52"/>
  <c r="AF13" i="52"/>
  <c r="AF12" i="52"/>
  <c r="AF11" i="52"/>
  <c r="AF10" i="52"/>
  <c r="AF9" i="52"/>
  <c r="AF8" i="52"/>
  <c r="AF7" i="52"/>
  <c r="AF6" i="52"/>
  <c r="AF5" i="52"/>
  <c r="AF4" i="52"/>
  <c r="AF3" i="52"/>
  <c r="V37" i="10"/>
  <c r="U37" i="10"/>
  <c r="V36" i="10"/>
  <c r="U36" i="10"/>
  <c r="V33" i="10"/>
  <c r="U33" i="10"/>
  <c r="V32" i="10"/>
  <c r="U32" i="10"/>
  <c r="V29" i="10"/>
  <c r="U29" i="10"/>
  <c r="V28" i="10"/>
  <c r="U28" i="10"/>
  <c r="V21" i="10"/>
  <c r="U21" i="10"/>
  <c r="V17" i="10"/>
  <c r="U17" i="10"/>
  <c r="V15" i="10"/>
  <c r="U15" i="10"/>
  <c r="V10" i="10"/>
  <c r="U10" i="10"/>
  <c r="V9" i="10"/>
  <c r="U9" i="10"/>
  <c r="AX53" i="16"/>
  <c r="AX52" i="16"/>
  <c r="AX51" i="16"/>
  <c r="AX50" i="16"/>
  <c r="AX49" i="16"/>
  <c r="AX48" i="16"/>
  <c r="AX47" i="16"/>
  <c r="AX46" i="16"/>
  <c r="AX45" i="16"/>
  <c r="AX44" i="16"/>
  <c r="AX43" i="16"/>
  <c r="AX42" i="16"/>
  <c r="AX41" i="16"/>
  <c r="AX40" i="16"/>
  <c r="AX39" i="16"/>
  <c r="AX38" i="16"/>
  <c r="AX37" i="16"/>
  <c r="AX36" i="16"/>
  <c r="AX35" i="16"/>
  <c r="AX34" i="16"/>
  <c r="AX33" i="16"/>
  <c r="AX32" i="16"/>
  <c r="AX31" i="16"/>
  <c r="AX30" i="16"/>
  <c r="AX29" i="16"/>
  <c r="AX28" i="16"/>
  <c r="AX27" i="16"/>
  <c r="AX26" i="16"/>
  <c r="AW53" i="16"/>
  <c r="AW52" i="16"/>
  <c r="AW51" i="16"/>
  <c r="AW50" i="16"/>
  <c r="AW49" i="16"/>
  <c r="AW48" i="16"/>
  <c r="AW47" i="16"/>
  <c r="AW46" i="16"/>
  <c r="AW45" i="16"/>
  <c r="AW44" i="16"/>
  <c r="AW43" i="16"/>
  <c r="AW42" i="16"/>
  <c r="AW41" i="16"/>
  <c r="AW40" i="16"/>
  <c r="AW39" i="16"/>
  <c r="AW38" i="16"/>
  <c r="AW37" i="16"/>
  <c r="AW36" i="16"/>
  <c r="AW35" i="16"/>
  <c r="AW34" i="16"/>
  <c r="AW33" i="16"/>
  <c r="AW32" i="16"/>
  <c r="AW31" i="16"/>
  <c r="AW30" i="16"/>
  <c r="AW29" i="16"/>
  <c r="AW28" i="16"/>
  <c r="AW27" i="16"/>
  <c r="AW26" i="1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R2" i="6"/>
  <c r="CW32" i="16"/>
  <c r="CW33" i="16"/>
  <c r="CW34" i="16"/>
  <c r="CW35" i="16"/>
  <c r="CW36" i="16"/>
  <c r="CW37" i="16"/>
  <c r="CW39" i="16"/>
  <c r="CW40" i="16"/>
  <c r="CW41" i="16"/>
  <c r="T12" i="52"/>
  <c r="CW22" i="16"/>
  <c r="CW23" i="16"/>
  <c r="CW24" i="16"/>
  <c r="CW25" i="16"/>
  <c r="CW26" i="16"/>
  <c r="CW27" i="16"/>
  <c r="CW29" i="16"/>
  <c r="CW30" i="16"/>
  <c r="CW31" i="16"/>
  <c r="S12" i="52"/>
  <c r="CW9" i="16"/>
  <c r="CW10" i="16"/>
  <c r="CW11" i="16"/>
  <c r="CW12" i="16"/>
  <c r="CW13" i="16"/>
  <c r="CW14" i="16"/>
  <c r="CW15" i="16"/>
  <c r="CW16" i="16"/>
  <c r="CW17" i="16"/>
  <c r="CW19" i="16"/>
  <c r="CW20" i="16"/>
  <c r="CW21" i="16"/>
  <c r="R12" i="52"/>
  <c r="CV32" i="16"/>
  <c r="CV33" i="16"/>
  <c r="CV34" i="16"/>
  <c r="CV35" i="16"/>
  <c r="CV36" i="16"/>
  <c r="CV37" i="16"/>
  <c r="CV39" i="16"/>
  <c r="CV40" i="16"/>
  <c r="CV41" i="16"/>
  <c r="L12" i="52"/>
  <c r="AB12" i="52"/>
  <c r="CV22" i="16"/>
  <c r="CV23" i="16"/>
  <c r="CV24" i="16"/>
  <c r="CV25" i="16"/>
  <c r="CV26" i="16"/>
  <c r="CV27" i="16"/>
  <c r="CV29" i="16"/>
  <c r="CV30" i="16"/>
  <c r="CV31" i="16"/>
  <c r="K12" i="52"/>
  <c r="AA12" i="52"/>
  <c r="CV9" i="16"/>
  <c r="CV10" i="16"/>
  <c r="CV11" i="16"/>
  <c r="CV12" i="16"/>
  <c r="CV13" i="16"/>
  <c r="CV14" i="16"/>
  <c r="CV15" i="16"/>
  <c r="CV16" i="16"/>
  <c r="CV17" i="16"/>
  <c r="CV19" i="16"/>
  <c r="CV20" i="16"/>
  <c r="CV21" i="16"/>
  <c r="J12" i="52"/>
  <c r="Z12" i="52"/>
  <c r="HA32" i="16"/>
  <c r="HA33" i="16"/>
  <c r="HA34" i="16"/>
  <c r="HA35" i="16"/>
  <c r="HA36" i="16"/>
  <c r="HA37" i="16"/>
  <c r="HA39" i="16"/>
  <c r="HA40" i="16"/>
  <c r="HA41" i="16"/>
  <c r="L23" i="52"/>
  <c r="HB32" i="16"/>
  <c r="HB33" i="16"/>
  <c r="HB34" i="16"/>
  <c r="HB35" i="16"/>
  <c r="HB36" i="16"/>
  <c r="HB37" i="16"/>
  <c r="HB39" i="16"/>
  <c r="HB40" i="16"/>
  <c r="HB41" i="16"/>
  <c r="T23" i="52"/>
  <c r="AB23" i="52"/>
  <c r="HA22" i="16"/>
  <c r="HA23" i="16"/>
  <c r="HA24" i="16"/>
  <c r="HA25" i="16"/>
  <c r="HA26" i="16"/>
  <c r="HA27" i="16"/>
  <c r="HA29" i="16"/>
  <c r="HA30" i="16"/>
  <c r="HA31" i="16"/>
  <c r="K23" i="52"/>
  <c r="HB22" i="16"/>
  <c r="HB23" i="16"/>
  <c r="HB24" i="16"/>
  <c r="HB25" i="16"/>
  <c r="HB26" i="16"/>
  <c r="HB27" i="16"/>
  <c r="HB29" i="16"/>
  <c r="HB30" i="16"/>
  <c r="HB31" i="16"/>
  <c r="S23" i="52"/>
  <c r="AA23" i="52"/>
  <c r="HA9" i="16"/>
  <c r="HA10" i="16"/>
  <c r="HA11" i="16"/>
  <c r="HA12" i="16"/>
  <c r="HA13" i="16"/>
  <c r="HA14" i="16"/>
  <c r="HA15" i="16"/>
  <c r="HA16" i="16"/>
  <c r="HA17" i="16"/>
  <c r="HA19" i="16"/>
  <c r="HA20" i="16"/>
  <c r="HA21" i="16"/>
  <c r="J23" i="52"/>
  <c r="HB9" i="16"/>
  <c r="HB10" i="16"/>
  <c r="HB11" i="16"/>
  <c r="HB12" i="16"/>
  <c r="HB13" i="16"/>
  <c r="HB14" i="16"/>
  <c r="HB15" i="16"/>
  <c r="HB16" i="16"/>
  <c r="HB17" i="16"/>
  <c r="HB19" i="16"/>
  <c r="HB20" i="16"/>
  <c r="HB21" i="16"/>
  <c r="R23" i="52"/>
  <c r="Z23" i="52"/>
  <c r="DH32" i="16"/>
  <c r="DH33" i="16"/>
  <c r="DH34" i="16"/>
  <c r="DH35" i="16"/>
  <c r="DH36" i="16"/>
  <c r="DH37" i="16"/>
  <c r="DH39" i="16"/>
  <c r="DH40" i="16"/>
  <c r="DH41" i="16"/>
  <c r="L22" i="52"/>
  <c r="DI32" i="16"/>
  <c r="DI33" i="16"/>
  <c r="DI34" i="16"/>
  <c r="DI35" i="16"/>
  <c r="DI36" i="16"/>
  <c r="DI37" i="16"/>
  <c r="DI39" i="16"/>
  <c r="DI40" i="16"/>
  <c r="DI41" i="16"/>
  <c r="T22" i="52"/>
  <c r="AB22" i="52"/>
  <c r="DH22" i="16"/>
  <c r="DH23" i="16"/>
  <c r="DH24" i="16"/>
  <c r="DH25" i="16"/>
  <c r="DH26" i="16"/>
  <c r="DH27" i="16"/>
  <c r="DH29" i="16"/>
  <c r="DH30" i="16"/>
  <c r="DH31" i="16"/>
  <c r="K22" i="52"/>
  <c r="DI22" i="16"/>
  <c r="DI23" i="16"/>
  <c r="DI24" i="16"/>
  <c r="DI25" i="16"/>
  <c r="DI26" i="16"/>
  <c r="DI27" i="16"/>
  <c r="DI29" i="16"/>
  <c r="DI30" i="16"/>
  <c r="DI31" i="16"/>
  <c r="S22" i="52"/>
  <c r="AA22" i="52"/>
  <c r="DH9" i="16"/>
  <c r="DH10" i="16"/>
  <c r="DH11" i="16"/>
  <c r="DH12" i="16"/>
  <c r="DH13" i="16"/>
  <c r="DH14" i="16"/>
  <c r="DH15" i="16"/>
  <c r="DH16" i="16"/>
  <c r="DH17" i="16"/>
  <c r="DH19" i="16"/>
  <c r="DH20" i="16"/>
  <c r="DH21" i="16"/>
  <c r="J22" i="52"/>
  <c r="DI9" i="16"/>
  <c r="DI10" i="16"/>
  <c r="DI11" i="16"/>
  <c r="DI12" i="16"/>
  <c r="DI13" i="16"/>
  <c r="DI14" i="16"/>
  <c r="DI15" i="16"/>
  <c r="DI16" i="16"/>
  <c r="DI17" i="16"/>
  <c r="DI19" i="16"/>
  <c r="DI20" i="16"/>
  <c r="DI21" i="16"/>
  <c r="R22" i="52"/>
  <c r="Z22" i="52"/>
  <c r="DN32" i="16"/>
  <c r="DN33" i="16"/>
  <c r="DN34" i="16"/>
  <c r="DN35" i="16"/>
  <c r="DN36" i="16"/>
  <c r="DN37" i="16"/>
  <c r="DN39" i="16"/>
  <c r="DN40" i="16"/>
  <c r="DN41" i="16"/>
  <c r="L21" i="52"/>
  <c r="DO32" i="16"/>
  <c r="DO33" i="16"/>
  <c r="DO34" i="16"/>
  <c r="DO35" i="16"/>
  <c r="DO36" i="16"/>
  <c r="DO37" i="16"/>
  <c r="DO39" i="16"/>
  <c r="DO40" i="16"/>
  <c r="DO41" i="16"/>
  <c r="T21" i="52"/>
  <c r="AB21" i="52"/>
  <c r="DN22" i="16"/>
  <c r="DN23" i="16"/>
  <c r="DN24" i="16"/>
  <c r="DN25" i="16"/>
  <c r="DN26" i="16"/>
  <c r="DN27" i="16"/>
  <c r="DN29" i="16"/>
  <c r="DN30" i="16"/>
  <c r="DN31" i="16"/>
  <c r="K21" i="52"/>
  <c r="DO22" i="16"/>
  <c r="DO23" i="16"/>
  <c r="DO24" i="16"/>
  <c r="DO25" i="16"/>
  <c r="DO26" i="16"/>
  <c r="DO27" i="16"/>
  <c r="DO29" i="16"/>
  <c r="DO30" i="16"/>
  <c r="DO31" i="16"/>
  <c r="S21" i="52"/>
  <c r="AA21" i="52"/>
  <c r="DN9" i="16"/>
  <c r="DN10" i="16"/>
  <c r="DN11" i="16"/>
  <c r="DN12" i="16"/>
  <c r="DN13" i="16"/>
  <c r="DN14" i="16"/>
  <c r="DN15" i="16"/>
  <c r="DN16" i="16"/>
  <c r="DN17" i="16"/>
  <c r="DN19" i="16"/>
  <c r="DN20" i="16"/>
  <c r="DN21" i="16"/>
  <c r="J21" i="52"/>
  <c r="DO9" i="16"/>
  <c r="DO10" i="16"/>
  <c r="DO11" i="16"/>
  <c r="DO12" i="16"/>
  <c r="DO13" i="16"/>
  <c r="DO14" i="16"/>
  <c r="DO15" i="16"/>
  <c r="DO16" i="16"/>
  <c r="DO17" i="16"/>
  <c r="DO19" i="16"/>
  <c r="DO20" i="16"/>
  <c r="DO21" i="16"/>
  <c r="R21" i="52"/>
  <c r="Z21" i="52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E23" i="52"/>
  <c r="AB32" i="16"/>
  <c r="AB34" i="16"/>
  <c r="AB35" i="16"/>
  <c r="AB36" i="16"/>
  <c r="AB37" i="16"/>
  <c r="AB38" i="16"/>
  <c r="AB39" i="16"/>
  <c r="AB40" i="16"/>
  <c r="AB41" i="16"/>
  <c r="D23" i="52"/>
  <c r="AB23" i="16"/>
  <c r="AB27" i="16"/>
  <c r="AB30" i="16"/>
  <c r="AB31" i="16"/>
  <c r="C23" i="52"/>
  <c r="AB10" i="16"/>
  <c r="AB11" i="16"/>
  <c r="AB13" i="16"/>
  <c r="AB14" i="16"/>
  <c r="AB15" i="16"/>
  <c r="AB16" i="16"/>
  <c r="AB17" i="16"/>
  <c r="AB18" i="16"/>
  <c r="AB19" i="16"/>
  <c r="B23" i="52"/>
  <c r="B3" i="52"/>
  <c r="DN8" i="16"/>
  <c r="DN7" i="16"/>
  <c r="DN6" i="16"/>
  <c r="DN5" i="16"/>
  <c r="DN4" i="16"/>
  <c r="DN3" i="16"/>
  <c r="DN2" i="16"/>
  <c r="DH8" i="16"/>
  <c r="DH7" i="16"/>
  <c r="DH6" i="16"/>
  <c r="DH5" i="16"/>
  <c r="DH4" i="16"/>
  <c r="DH3" i="16"/>
  <c r="DH2" i="16"/>
  <c r="E22" i="52"/>
  <c r="D22" i="52"/>
  <c r="C22" i="52"/>
  <c r="B22" i="52"/>
  <c r="E21" i="52"/>
  <c r="D21" i="52"/>
  <c r="C21" i="52"/>
  <c r="B21" i="52"/>
  <c r="E12" i="52"/>
  <c r="D12" i="52"/>
  <c r="C12" i="52"/>
  <c r="B12" i="52"/>
  <c r="HC50" i="16"/>
  <c r="HC47" i="16"/>
  <c r="HC46" i="16"/>
  <c r="HC45" i="16"/>
  <c r="HC44" i="16"/>
  <c r="HC43" i="16"/>
  <c r="HC42" i="16"/>
  <c r="HC41" i="16"/>
  <c r="HC40" i="16"/>
  <c r="HC39" i="16"/>
  <c r="HC37" i="16"/>
  <c r="HC36" i="16"/>
  <c r="HC35" i="16"/>
  <c r="HC34" i="16"/>
  <c r="HC33" i="16"/>
  <c r="HC32" i="16"/>
  <c r="HC31" i="16"/>
  <c r="HC30" i="16"/>
  <c r="HC29" i="16"/>
  <c r="HC27" i="16"/>
  <c r="HC26" i="16"/>
  <c r="HC25" i="16"/>
  <c r="HC24" i="16"/>
  <c r="HC23" i="16"/>
  <c r="HC22" i="16"/>
  <c r="HC21" i="16"/>
  <c r="HC20" i="16"/>
  <c r="HC19" i="16"/>
  <c r="HC17" i="16"/>
  <c r="HC16" i="16"/>
  <c r="HC15" i="16"/>
  <c r="HC14" i="16"/>
  <c r="HC13" i="16"/>
  <c r="HC12" i="16"/>
  <c r="HC11" i="16"/>
  <c r="HC10" i="16"/>
  <c r="HC9" i="16"/>
  <c r="HB8" i="16"/>
  <c r="HC8" i="16"/>
  <c r="HA8" i="16"/>
  <c r="HB7" i="16"/>
  <c r="HC7" i="16"/>
  <c r="HA7" i="16"/>
  <c r="HB6" i="16"/>
  <c r="HC6" i="16"/>
  <c r="HA6" i="16"/>
  <c r="HB5" i="16"/>
  <c r="HC5" i="16"/>
  <c r="HA5" i="16"/>
  <c r="HB4" i="16"/>
  <c r="HC4" i="16"/>
  <c r="HA4" i="16"/>
  <c r="HB3" i="16"/>
  <c r="HC3" i="16"/>
  <c r="HA3" i="16"/>
  <c r="HB2" i="16"/>
  <c r="HC2" i="16"/>
  <c r="HA2" i="16"/>
  <c r="DP53" i="16"/>
  <c r="DP52" i="16"/>
  <c r="DP51" i="16"/>
  <c r="DP49" i="16"/>
  <c r="DP48" i="16"/>
  <c r="DP47" i="16"/>
  <c r="DP46" i="16"/>
  <c r="DP45" i="16"/>
  <c r="DP44" i="16"/>
  <c r="DP43" i="16"/>
  <c r="DP42" i="16"/>
  <c r="DP41" i="16"/>
  <c r="DP40" i="16"/>
  <c r="DP39" i="16"/>
  <c r="DP37" i="16"/>
  <c r="DP36" i="16"/>
  <c r="DP35" i="16"/>
  <c r="DP34" i="16"/>
  <c r="DP33" i="16"/>
  <c r="DP32" i="16"/>
  <c r="DP31" i="16"/>
  <c r="DP30" i="16"/>
  <c r="DP29" i="16"/>
  <c r="DP27" i="16"/>
  <c r="DP26" i="16"/>
  <c r="DP25" i="16"/>
  <c r="DP24" i="16"/>
  <c r="DP23" i="16"/>
  <c r="DP22" i="16"/>
  <c r="DP21" i="16"/>
  <c r="DP20" i="16"/>
  <c r="DP19" i="16"/>
  <c r="DP17" i="16"/>
  <c r="DP16" i="16"/>
  <c r="DP15" i="16"/>
  <c r="DP14" i="16"/>
  <c r="DP13" i="16"/>
  <c r="DP12" i="16"/>
  <c r="DP11" i="16"/>
  <c r="DP10" i="16"/>
  <c r="DP9" i="16"/>
  <c r="DO8" i="16"/>
  <c r="DP8" i="16"/>
  <c r="DO7" i="16"/>
  <c r="DP7" i="16"/>
  <c r="DO6" i="16"/>
  <c r="DP6" i="16"/>
  <c r="DO5" i="16"/>
  <c r="DP5" i="16"/>
  <c r="DO4" i="16"/>
  <c r="DP4" i="16"/>
  <c r="DO3" i="16"/>
  <c r="DP3" i="16"/>
  <c r="DO2" i="16"/>
  <c r="DP2" i="16"/>
  <c r="DJ53" i="16"/>
  <c r="DJ52" i="16"/>
  <c r="DJ51" i="16"/>
  <c r="DJ49" i="16"/>
  <c r="DJ48" i="16"/>
  <c r="DJ47" i="16"/>
  <c r="DJ46" i="16"/>
  <c r="DJ45" i="16"/>
  <c r="DJ44" i="16"/>
  <c r="DJ43" i="16"/>
  <c r="DJ42" i="16"/>
  <c r="DJ41" i="16"/>
  <c r="DJ40" i="16"/>
  <c r="DJ39" i="16"/>
  <c r="DJ37" i="16"/>
  <c r="DJ36" i="16"/>
  <c r="DJ35" i="16"/>
  <c r="DJ34" i="16"/>
  <c r="DJ33" i="16"/>
  <c r="DJ32" i="16"/>
  <c r="DJ31" i="16"/>
  <c r="DJ30" i="16"/>
  <c r="DJ29" i="16"/>
  <c r="DJ27" i="16"/>
  <c r="DJ26" i="16"/>
  <c r="DJ25" i="16"/>
  <c r="DJ24" i="16"/>
  <c r="DJ23" i="16"/>
  <c r="DJ22" i="16"/>
  <c r="DJ21" i="16"/>
  <c r="DJ20" i="16"/>
  <c r="DJ19" i="16"/>
  <c r="DJ17" i="16"/>
  <c r="DJ16" i="16"/>
  <c r="DJ15" i="16"/>
  <c r="DJ14" i="16"/>
  <c r="DJ13" i="16"/>
  <c r="DJ12" i="16"/>
  <c r="DJ11" i="16"/>
  <c r="DJ10" i="16"/>
  <c r="DJ9" i="16"/>
  <c r="DI8" i="16"/>
  <c r="DJ8" i="16"/>
  <c r="DI7" i="16"/>
  <c r="DJ7" i="16"/>
  <c r="DI6" i="16"/>
  <c r="DJ6" i="16"/>
  <c r="DI5" i="16"/>
  <c r="DJ5" i="16"/>
  <c r="DI4" i="16"/>
  <c r="DJ4" i="16"/>
  <c r="DI3" i="16"/>
  <c r="DJ3" i="16"/>
  <c r="DI2" i="16"/>
  <c r="DJ2" i="16"/>
  <c r="CX53" i="16"/>
  <c r="CX52" i="16"/>
  <c r="CX51" i="16"/>
  <c r="CX50" i="16"/>
  <c r="CX49" i="16"/>
  <c r="CX48" i="16"/>
  <c r="CX47" i="16"/>
  <c r="CX46" i="16"/>
  <c r="CX45" i="16"/>
  <c r="CX44" i="16"/>
  <c r="CX43" i="16"/>
  <c r="CX42" i="16"/>
  <c r="CX41" i="16"/>
  <c r="CX40" i="16"/>
  <c r="CX39" i="16"/>
  <c r="CX37" i="16"/>
  <c r="CX36" i="16"/>
  <c r="CX35" i="16"/>
  <c r="CX34" i="16"/>
  <c r="CX33" i="16"/>
  <c r="CX32" i="16"/>
  <c r="CX31" i="16"/>
  <c r="CX30" i="16"/>
  <c r="CX29" i="16"/>
  <c r="CX27" i="16"/>
  <c r="CX26" i="16"/>
  <c r="CX25" i="16"/>
  <c r="CX24" i="16"/>
  <c r="CX23" i="16"/>
  <c r="CX22" i="16"/>
  <c r="CX21" i="16"/>
  <c r="CX20" i="16"/>
  <c r="CX19" i="16"/>
  <c r="CX17" i="16"/>
  <c r="CX16" i="16"/>
  <c r="CX15" i="16"/>
  <c r="CX14" i="16"/>
  <c r="CX13" i="16"/>
  <c r="CX12" i="16"/>
  <c r="CX11" i="16"/>
  <c r="CX10" i="16"/>
  <c r="CX9" i="16"/>
  <c r="CW8" i="16"/>
  <c r="CX8" i="16"/>
  <c r="CV8" i="16"/>
  <c r="CW7" i="16"/>
  <c r="CX7" i="16"/>
  <c r="CV7" i="16"/>
  <c r="CW6" i="16"/>
  <c r="CX6" i="16"/>
  <c r="CV6" i="16"/>
  <c r="CW5" i="16"/>
  <c r="CX5" i="16"/>
  <c r="CV5" i="16"/>
  <c r="CW4" i="16"/>
  <c r="CX4" i="16"/>
  <c r="CV4" i="16"/>
  <c r="CW3" i="16"/>
  <c r="CX3" i="16"/>
  <c r="CV3" i="16"/>
  <c r="CW2" i="16"/>
  <c r="CX2" i="16"/>
  <c r="CV2" i="16"/>
  <c r="GM42" i="16"/>
  <c r="GM43" i="16"/>
  <c r="GM44" i="16"/>
  <c r="GM45" i="16"/>
  <c r="GM46" i="16"/>
  <c r="GL47" i="16"/>
  <c r="GM47" i="16"/>
  <c r="GM48" i="16"/>
  <c r="GM49" i="16"/>
  <c r="GM50" i="16"/>
  <c r="GM51" i="16"/>
  <c r="GM52" i="16"/>
  <c r="GM53" i="16"/>
  <c r="M27" i="52"/>
  <c r="GO42" i="16"/>
  <c r="GO43" i="16"/>
  <c r="GO44" i="16"/>
  <c r="GO45" i="16"/>
  <c r="GO46" i="16"/>
  <c r="GO47" i="16"/>
  <c r="GO48" i="16"/>
  <c r="GO49" i="16"/>
  <c r="GO50" i="16"/>
  <c r="GO51" i="16"/>
  <c r="GO52" i="16"/>
  <c r="GO53" i="16"/>
  <c r="U27" i="52"/>
  <c r="AC27" i="52"/>
  <c r="GM32" i="16"/>
  <c r="GM33" i="16"/>
  <c r="GM34" i="16"/>
  <c r="GM35" i="16"/>
  <c r="GM36" i="16"/>
  <c r="GM37" i="16"/>
  <c r="GM39" i="16"/>
  <c r="GM40" i="16"/>
  <c r="GM41" i="16"/>
  <c r="L27" i="52"/>
  <c r="GO32" i="16"/>
  <c r="GO33" i="16"/>
  <c r="GO34" i="16"/>
  <c r="GO35" i="16"/>
  <c r="GO36" i="16"/>
  <c r="GO37" i="16"/>
  <c r="GO39" i="16"/>
  <c r="GO40" i="16"/>
  <c r="GO41" i="16"/>
  <c r="T27" i="52"/>
  <c r="AB27" i="52"/>
  <c r="GM22" i="16"/>
  <c r="GM23" i="16"/>
  <c r="GM24" i="16"/>
  <c r="GM25" i="16"/>
  <c r="GM26" i="16"/>
  <c r="GM27" i="16"/>
  <c r="GM29" i="16"/>
  <c r="GM30" i="16"/>
  <c r="GM31" i="16"/>
  <c r="K27" i="52"/>
  <c r="GO22" i="16"/>
  <c r="GO23" i="16"/>
  <c r="GO24" i="16"/>
  <c r="GO25" i="16"/>
  <c r="GO26" i="16"/>
  <c r="GO27" i="16"/>
  <c r="GO29" i="16"/>
  <c r="GO30" i="16"/>
  <c r="GO31" i="16"/>
  <c r="S27" i="52"/>
  <c r="AA27" i="52"/>
  <c r="GM9" i="16"/>
  <c r="GM10" i="16"/>
  <c r="GM11" i="16"/>
  <c r="GM12" i="16"/>
  <c r="GM13" i="16"/>
  <c r="GM14" i="16"/>
  <c r="GM15" i="16"/>
  <c r="GM16" i="16"/>
  <c r="GM17" i="16"/>
  <c r="GM19" i="16"/>
  <c r="GM20" i="16"/>
  <c r="GM21" i="16"/>
  <c r="J27" i="52"/>
  <c r="GO9" i="16"/>
  <c r="GO10" i="16"/>
  <c r="GO11" i="16"/>
  <c r="GO12" i="16"/>
  <c r="GO13" i="16"/>
  <c r="GO14" i="16"/>
  <c r="GO15" i="16"/>
  <c r="GO16" i="16"/>
  <c r="GO17" i="16"/>
  <c r="GO19" i="16"/>
  <c r="GO20" i="16"/>
  <c r="GO21" i="16"/>
  <c r="R27" i="52"/>
  <c r="Z27" i="52"/>
  <c r="GF42" i="16"/>
  <c r="GF43" i="16"/>
  <c r="GF44" i="16"/>
  <c r="GF45" i="16"/>
  <c r="GF46" i="16"/>
  <c r="GE47" i="16"/>
  <c r="GF47" i="16"/>
  <c r="GF48" i="16"/>
  <c r="GF50" i="16"/>
  <c r="M26" i="52"/>
  <c r="GH42" i="16"/>
  <c r="GH43" i="16"/>
  <c r="GH44" i="16"/>
  <c r="GH45" i="16"/>
  <c r="GH46" i="16"/>
  <c r="GH47" i="16"/>
  <c r="GH48" i="16"/>
  <c r="GH50" i="16"/>
  <c r="U26" i="52"/>
  <c r="AC26" i="52"/>
  <c r="GF32" i="16"/>
  <c r="GF33" i="16"/>
  <c r="GF34" i="16"/>
  <c r="GF35" i="16"/>
  <c r="GF36" i="16"/>
  <c r="GF37" i="16"/>
  <c r="GF39" i="16"/>
  <c r="GF40" i="16"/>
  <c r="GF41" i="16"/>
  <c r="L26" i="52"/>
  <c r="GH32" i="16"/>
  <c r="GH33" i="16"/>
  <c r="GH34" i="16"/>
  <c r="GH35" i="16"/>
  <c r="GH36" i="16"/>
  <c r="GH37" i="16"/>
  <c r="GH39" i="16"/>
  <c r="GH40" i="16"/>
  <c r="GH41" i="16"/>
  <c r="T26" i="52"/>
  <c r="AB26" i="52"/>
  <c r="GF22" i="16"/>
  <c r="GF23" i="16"/>
  <c r="GF24" i="16"/>
  <c r="GF25" i="16"/>
  <c r="GF26" i="16"/>
  <c r="GF27" i="16"/>
  <c r="GF29" i="16"/>
  <c r="GF30" i="16"/>
  <c r="GF31" i="16"/>
  <c r="K26" i="52"/>
  <c r="GH22" i="16"/>
  <c r="GH23" i="16"/>
  <c r="GH24" i="16"/>
  <c r="GH25" i="16"/>
  <c r="GH26" i="16"/>
  <c r="GH27" i="16"/>
  <c r="GH29" i="16"/>
  <c r="GH30" i="16"/>
  <c r="GH31" i="16"/>
  <c r="S26" i="52"/>
  <c r="AA26" i="52"/>
  <c r="GF9" i="16"/>
  <c r="GF10" i="16"/>
  <c r="GF11" i="16"/>
  <c r="GF12" i="16"/>
  <c r="GF13" i="16"/>
  <c r="GF14" i="16"/>
  <c r="GF15" i="16"/>
  <c r="GF16" i="16"/>
  <c r="GF17" i="16"/>
  <c r="GF19" i="16"/>
  <c r="GF20" i="16"/>
  <c r="GF21" i="16"/>
  <c r="J26" i="52"/>
  <c r="GH9" i="16"/>
  <c r="GH10" i="16"/>
  <c r="GH11" i="16"/>
  <c r="GH12" i="16"/>
  <c r="GH13" i="16"/>
  <c r="GH14" i="16"/>
  <c r="GH15" i="16"/>
  <c r="GH16" i="16"/>
  <c r="GH17" i="16"/>
  <c r="GH19" i="16"/>
  <c r="GH20" i="16"/>
  <c r="GH21" i="16"/>
  <c r="R26" i="52"/>
  <c r="Z26" i="52"/>
  <c r="GT42" i="16"/>
  <c r="GT43" i="16"/>
  <c r="GT44" i="16"/>
  <c r="GT45" i="16"/>
  <c r="GT46" i="16"/>
  <c r="GT47" i="16"/>
  <c r="GT50" i="16"/>
  <c r="GT51" i="16"/>
  <c r="GT52" i="16"/>
  <c r="GT53" i="16"/>
  <c r="M25" i="52"/>
  <c r="GV42" i="16"/>
  <c r="GV43" i="16"/>
  <c r="GV44" i="16"/>
  <c r="GV45" i="16"/>
  <c r="GV46" i="16"/>
  <c r="GV47" i="16"/>
  <c r="GV50" i="16"/>
  <c r="GV51" i="16"/>
  <c r="GV52" i="16"/>
  <c r="GV53" i="16"/>
  <c r="U25" i="52"/>
  <c r="AC25" i="52"/>
  <c r="GT32" i="16"/>
  <c r="GT33" i="16"/>
  <c r="GT34" i="16"/>
  <c r="GT35" i="16"/>
  <c r="GT36" i="16"/>
  <c r="GT37" i="16"/>
  <c r="GT39" i="16"/>
  <c r="GT40" i="16"/>
  <c r="GT41" i="16"/>
  <c r="L25" i="52"/>
  <c r="GV32" i="16"/>
  <c r="GV33" i="16"/>
  <c r="GV34" i="16"/>
  <c r="GV35" i="16"/>
  <c r="GV36" i="16"/>
  <c r="GV37" i="16"/>
  <c r="GV39" i="16"/>
  <c r="GV40" i="16"/>
  <c r="GV41" i="16"/>
  <c r="T25" i="52"/>
  <c r="AB25" i="52"/>
  <c r="GT22" i="16"/>
  <c r="GT23" i="16"/>
  <c r="GT24" i="16"/>
  <c r="GT25" i="16"/>
  <c r="GT26" i="16"/>
  <c r="GT27" i="16"/>
  <c r="GT29" i="16"/>
  <c r="GT30" i="16"/>
  <c r="GT31" i="16"/>
  <c r="K25" i="52"/>
  <c r="GV22" i="16"/>
  <c r="GV23" i="16"/>
  <c r="GV24" i="16"/>
  <c r="GV25" i="16"/>
  <c r="GV26" i="16"/>
  <c r="GV27" i="16"/>
  <c r="GV29" i="16"/>
  <c r="GV30" i="16"/>
  <c r="GV31" i="16"/>
  <c r="S25" i="52"/>
  <c r="AA25" i="52"/>
  <c r="GT9" i="16"/>
  <c r="GT10" i="16"/>
  <c r="GT11" i="16"/>
  <c r="GT12" i="16"/>
  <c r="GT13" i="16"/>
  <c r="GT14" i="16"/>
  <c r="GT15" i="16"/>
  <c r="GT16" i="16"/>
  <c r="GT17" i="16"/>
  <c r="GT19" i="16"/>
  <c r="GT20" i="16"/>
  <c r="GT21" i="16"/>
  <c r="J25" i="52"/>
  <c r="GV9" i="16"/>
  <c r="GV10" i="16"/>
  <c r="GV11" i="16"/>
  <c r="GV12" i="16"/>
  <c r="GV13" i="16"/>
  <c r="GV14" i="16"/>
  <c r="GV15" i="16"/>
  <c r="GV16" i="16"/>
  <c r="GV17" i="16"/>
  <c r="GV19" i="16"/>
  <c r="GV20" i="16"/>
  <c r="GV21" i="16"/>
  <c r="R25" i="52"/>
  <c r="Z25" i="52"/>
  <c r="DB32" i="16"/>
  <c r="DB33" i="16"/>
  <c r="DB34" i="16"/>
  <c r="DB35" i="16"/>
  <c r="DB36" i="16"/>
  <c r="DB37" i="16"/>
  <c r="DB39" i="16"/>
  <c r="DB40" i="16"/>
  <c r="DB41" i="16"/>
  <c r="L20" i="52"/>
  <c r="DC32" i="16"/>
  <c r="DC33" i="16"/>
  <c r="DC34" i="16"/>
  <c r="DC35" i="16"/>
  <c r="DC36" i="16"/>
  <c r="DC37" i="16"/>
  <c r="DC39" i="16"/>
  <c r="DC40" i="16"/>
  <c r="DC41" i="16"/>
  <c r="T20" i="52"/>
  <c r="AB20" i="52"/>
  <c r="DB22" i="16"/>
  <c r="DB23" i="16"/>
  <c r="DB24" i="16"/>
  <c r="DB25" i="16"/>
  <c r="DB26" i="16"/>
  <c r="DB27" i="16"/>
  <c r="DB29" i="16"/>
  <c r="DB30" i="16"/>
  <c r="DB31" i="16"/>
  <c r="K20" i="52"/>
  <c r="DC22" i="16"/>
  <c r="DC23" i="16"/>
  <c r="DC24" i="16"/>
  <c r="DC25" i="16"/>
  <c r="DC26" i="16"/>
  <c r="DC27" i="16"/>
  <c r="DC29" i="16"/>
  <c r="DC30" i="16"/>
  <c r="DC31" i="16"/>
  <c r="S20" i="52"/>
  <c r="AA20" i="52"/>
  <c r="DB9" i="16"/>
  <c r="DB10" i="16"/>
  <c r="DB11" i="16"/>
  <c r="DB12" i="16"/>
  <c r="DB13" i="16"/>
  <c r="DB14" i="16"/>
  <c r="DB15" i="16"/>
  <c r="DB16" i="16"/>
  <c r="DB17" i="16"/>
  <c r="DB19" i="16"/>
  <c r="DB20" i="16"/>
  <c r="DB21" i="16"/>
  <c r="J20" i="52"/>
  <c r="DC9" i="16"/>
  <c r="DC10" i="16"/>
  <c r="DC11" i="16"/>
  <c r="DC12" i="16"/>
  <c r="DC13" i="16"/>
  <c r="DC14" i="16"/>
  <c r="DC15" i="16"/>
  <c r="DC16" i="16"/>
  <c r="DC17" i="16"/>
  <c r="DC19" i="16"/>
  <c r="DC20" i="16"/>
  <c r="DC21" i="16"/>
  <c r="R20" i="52"/>
  <c r="Z20" i="52"/>
  <c r="FZ32" i="16"/>
  <c r="FZ33" i="16"/>
  <c r="FZ34" i="16"/>
  <c r="FZ35" i="16"/>
  <c r="FZ36" i="16"/>
  <c r="FZ37" i="16"/>
  <c r="FZ39" i="16"/>
  <c r="FZ40" i="16"/>
  <c r="FZ41" i="16"/>
  <c r="L19" i="52"/>
  <c r="GA32" i="16"/>
  <c r="GA33" i="16"/>
  <c r="GA34" i="16"/>
  <c r="GA35" i="16"/>
  <c r="GA36" i="16"/>
  <c r="GA37" i="16"/>
  <c r="GA39" i="16"/>
  <c r="GA40" i="16"/>
  <c r="GA41" i="16"/>
  <c r="T19" i="52"/>
  <c r="AB19" i="52"/>
  <c r="FZ22" i="16"/>
  <c r="FZ23" i="16"/>
  <c r="FZ24" i="16"/>
  <c r="FZ25" i="16"/>
  <c r="FZ26" i="16"/>
  <c r="FZ27" i="16"/>
  <c r="FZ29" i="16"/>
  <c r="FZ30" i="16"/>
  <c r="FZ31" i="16"/>
  <c r="K19" i="52"/>
  <c r="GA22" i="16"/>
  <c r="GA23" i="16"/>
  <c r="GA24" i="16"/>
  <c r="GA25" i="16"/>
  <c r="GA26" i="16"/>
  <c r="GA27" i="16"/>
  <c r="GA29" i="16"/>
  <c r="GA30" i="16"/>
  <c r="GA31" i="16"/>
  <c r="S19" i="52"/>
  <c r="AA19" i="52"/>
  <c r="FZ9" i="16"/>
  <c r="FZ10" i="16"/>
  <c r="FZ11" i="16"/>
  <c r="FZ12" i="16"/>
  <c r="FZ13" i="16"/>
  <c r="FZ14" i="16"/>
  <c r="FZ15" i="16"/>
  <c r="FZ16" i="16"/>
  <c r="FZ17" i="16"/>
  <c r="FZ19" i="16"/>
  <c r="FZ20" i="16"/>
  <c r="FZ21" i="16"/>
  <c r="J19" i="52"/>
  <c r="GA9" i="16"/>
  <c r="GA10" i="16"/>
  <c r="GA11" i="16"/>
  <c r="GA12" i="16"/>
  <c r="GA13" i="16"/>
  <c r="GA14" i="16"/>
  <c r="GA15" i="16"/>
  <c r="GA16" i="16"/>
  <c r="GA17" i="16"/>
  <c r="GA19" i="16"/>
  <c r="GA20" i="16"/>
  <c r="GA21" i="16"/>
  <c r="R19" i="52"/>
  <c r="Z19" i="52"/>
  <c r="EN32" i="16"/>
  <c r="EN33" i="16"/>
  <c r="EN34" i="16"/>
  <c r="EN35" i="16"/>
  <c r="EN36" i="16"/>
  <c r="EN37" i="16"/>
  <c r="EN39" i="16"/>
  <c r="EN40" i="16"/>
  <c r="EN41" i="16"/>
  <c r="L18" i="52"/>
  <c r="EO32" i="16"/>
  <c r="EO33" i="16"/>
  <c r="EO34" i="16"/>
  <c r="EO35" i="16"/>
  <c r="EO36" i="16"/>
  <c r="EO37" i="16"/>
  <c r="EO39" i="16"/>
  <c r="EO40" i="16"/>
  <c r="EO41" i="16"/>
  <c r="T18" i="52"/>
  <c r="AB18" i="52"/>
  <c r="EN22" i="16"/>
  <c r="EN23" i="16"/>
  <c r="EN24" i="16"/>
  <c r="EN25" i="16"/>
  <c r="EN26" i="16"/>
  <c r="EN27" i="16"/>
  <c r="EN29" i="16"/>
  <c r="EN30" i="16"/>
  <c r="EN31" i="16"/>
  <c r="K18" i="52"/>
  <c r="EO22" i="16"/>
  <c r="EO23" i="16"/>
  <c r="EO24" i="16"/>
  <c r="EO25" i="16"/>
  <c r="EO26" i="16"/>
  <c r="EO27" i="16"/>
  <c r="EO29" i="16"/>
  <c r="EO30" i="16"/>
  <c r="EO31" i="16"/>
  <c r="S18" i="52"/>
  <c r="AA18" i="52"/>
  <c r="EN9" i="16"/>
  <c r="EN10" i="16"/>
  <c r="EN11" i="16"/>
  <c r="EN12" i="16"/>
  <c r="EN13" i="16"/>
  <c r="EN14" i="16"/>
  <c r="EN15" i="16"/>
  <c r="EN16" i="16"/>
  <c r="EN17" i="16"/>
  <c r="EN19" i="16"/>
  <c r="EN20" i="16"/>
  <c r="EN21" i="16"/>
  <c r="J18" i="52"/>
  <c r="EO9" i="16"/>
  <c r="EO10" i="16"/>
  <c r="EO11" i="16"/>
  <c r="EO12" i="16"/>
  <c r="EO13" i="16"/>
  <c r="EO14" i="16"/>
  <c r="EO15" i="16"/>
  <c r="EO16" i="16"/>
  <c r="EO17" i="16"/>
  <c r="EO19" i="16"/>
  <c r="EO20" i="16"/>
  <c r="EO21" i="16"/>
  <c r="R18" i="52"/>
  <c r="Z18" i="52"/>
  <c r="EH32" i="16"/>
  <c r="EH33" i="16"/>
  <c r="EH34" i="16"/>
  <c r="EH35" i="16"/>
  <c r="EH36" i="16"/>
  <c r="EH37" i="16"/>
  <c r="EH39" i="16"/>
  <c r="EH40" i="16"/>
  <c r="EH41" i="16"/>
  <c r="L17" i="52"/>
  <c r="EI32" i="16"/>
  <c r="EI33" i="16"/>
  <c r="EI34" i="16"/>
  <c r="EI35" i="16"/>
  <c r="EI36" i="16"/>
  <c r="EI37" i="16"/>
  <c r="EI39" i="16"/>
  <c r="EI40" i="16"/>
  <c r="EI41" i="16"/>
  <c r="T17" i="52"/>
  <c r="AB17" i="52"/>
  <c r="EH22" i="16"/>
  <c r="EH23" i="16"/>
  <c r="EH24" i="16"/>
  <c r="EH25" i="16"/>
  <c r="EH26" i="16"/>
  <c r="EH27" i="16"/>
  <c r="EH29" i="16"/>
  <c r="EH30" i="16"/>
  <c r="EH31" i="16"/>
  <c r="K17" i="52"/>
  <c r="EI22" i="16"/>
  <c r="EI23" i="16"/>
  <c r="EI24" i="16"/>
  <c r="EI25" i="16"/>
  <c r="EI26" i="16"/>
  <c r="EI27" i="16"/>
  <c r="EI29" i="16"/>
  <c r="EI30" i="16"/>
  <c r="EI31" i="16"/>
  <c r="S17" i="52"/>
  <c r="AA17" i="52"/>
  <c r="EH9" i="16"/>
  <c r="EH10" i="16"/>
  <c r="EH11" i="16"/>
  <c r="EH12" i="16"/>
  <c r="EH13" i="16"/>
  <c r="EH14" i="16"/>
  <c r="EH15" i="16"/>
  <c r="EH16" i="16"/>
  <c r="EH17" i="16"/>
  <c r="EH19" i="16"/>
  <c r="EH20" i="16"/>
  <c r="EH21" i="16"/>
  <c r="J17" i="52"/>
  <c r="EI9" i="16"/>
  <c r="EI10" i="16"/>
  <c r="EI11" i="16"/>
  <c r="EI12" i="16"/>
  <c r="EI13" i="16"/>
  <c r="EI14" i="16"/>
  <c r="EI15" i="16"/>
  <c r="EI16" i="16"/>
  <c r="EI17" i="16"/>
  <c r="EI19" i="16"/>
  <c r="EI20" i="16"/>
  <c r="EI21" i="16"/>
  <c r="R17" i="52"/>
  <c r="Z17" i="52"/>
  <c r="EA32" i="16"/>
  <c r="EA33" i="16"/>
  <c r="EA34" i="16"/>
  <c r="EA35" i="16"/>
  <c r="EA36" i="16"/>
  <c r="EA37" i="16"/>
  <c r="EA39" i="16"/>
  <c r="EA40" i="16"/>
  <c r="EA41" i="16"/>
  <c r="L16" i="52"/>
  <c r="EC32" i="16"/>
  <c r="EC33" i="16"/>
  <c r="EC34" i="16"/>
  <c r="EC35" i="16"/>
  <c r="EC36" i="16"/>
  <c r="EC37" i="16"/>
  <c r="EC39" i="16"/>
  <c r="EC40" i="16"/>
  <c r="EC41" i="16"/>
  <c r="T16" i="52"/>
  <c r="AB16" i="52"/>
  <c r="EA22" i="16"/>
  <c r="EA23" i="16"/>
  <c r="EA24" i="16"/>
  <c r="EA25" i="16"/>
  <c r="EA26" i="16"/>
  <c r="EA27" i="16"/>
  <c r="EA29" i="16"/>
  <c r="EA30" i="16"/>
  <c r="EA31" i="16"/>
  <c r="K16" i="52"/>
  <c r="EC22" i="16"/>
  <c r="EC23" i="16"/>
  <c r="EC24" i="16"/>
  <c r="EC25" i="16"/>
  <c r="EC26" i="16"/>
  <c r="EC27" i="16"/>
  <c r="EC29" i="16"/>
  <c r="EC30" i="16"/>
  <c r="EC31" i="16"/>
  <c r="S16" i="52"/>
  <c r="AA16" i="52"/>
  <c r="EA9" i="16"/>
  <c r="EA10" i="16"/>
  <c r="EA11" i="16"/>
  <c r="EA12" i="16"/>
  <c r="EA13" i="16"/>
  <c r="EA14" i="16"/>
  <c r="EA15" i="16"/>
  <c r="EA16" i="16"/>
  <c r="EA17" i="16"/>
  <c r="EA19" i="16"/>
  <c r="EA20" i="16"/>
  <c r="EA21" i="16"/>
  <c r="J16" i="52"/>
  <c r="EC9" i="16"/>
  <c r="EC10" i="16"/>
  <c r="EC11" i="16"/>
  <c r="EC12" i="16"/>
  <c r="EC13" i="16"/>
  <c r="EC14" i="16"/>
  <c r="EC15" i="16"/>
  <c r="EC16" i="16"/>
  <c r="EC17" i="16"/>
  <c r="EC19" i="16"/>
  <c r="EC20" i="16"/>
  <c r="EC21" i="16"/>
  <c r="R16" i="52"/>
  <c r="Z16" i="52"/>
  <c r="DT32" i="16"/>
  <c r="DT33" i="16"/>
  <c r="DT34" i="16"/>
  <c r="DT35" i="16"/>
  <c r="DT36" i="16"/>
  <c r="DT37" i="16"/>
  <c r="DT39" i="16"/>
  <c r="DT40" i="16"/>
  <c r="DT41" i="16"/>
  <c r="L15" i="52"/>
  <c r="DV32" i="16"/>
  <c r="DV33" i="16"/>
  <c r="DV34" i="16"/>
  <c r="DV35" i="16"/>
  <c r="DV36" i="16"/>
  <c r="DV37" i="16"/>
  <c r="DV39" i="16"/>
  <c r="DV40" i="16"/>
  <c r="DV41" i="16"/>
  <c r="T15" i="52"/>
  <c r="AB15" i="52"/>
  <c r="DT22" i="16"/>
  <c r="DT23" i="16"/>
  <c r="DT24" i="16"/>
  <c r="DT25" i="16"/>
  <c r="DT26" i="16"/>
  <c r="DT27" i="16"/>
  <c r="DT29" i="16"/>
  <c r="DT30" i="16"/>
  <c r="DT31" i="16"/>
  <c r="K15" i="52"/>
  <c r="DV22" i="16"/>
  <c r="DV23" i="16"/>
  <c r="DV24" i="16"/>
  <c r="DV25" i="16"/>
  <c r="DV26" i="16"/>
  <c r="DV27" i="16"/>
  <c r="DV29" i="16"/>
  <c r="DV30" i="16"/>
  <c r="DV31" i="16"/>
  <c r="S15" i="52"/>
  <c r="AA15" i="52"/>
  <c r="DT9" i="16"/>
  <c r="DT10" i="16"/>
  <c r="DT11" i="16"/>
  <c r="DT12" i="16"/>
  <c r="DT13" i="16"/>
  <c r="DT14" i="16"/>
  <c r="DT15" i="16"/>
  <c r="DT16" i="16"/>
  <c r="DT17" i="16"/>
  <c r="DT19" i="16"/>
  <c r="DT20" i="16"/>
  <c r="DT21" i="16"/>
  <c r="J15" i="52"/>
  <c r="DV9" i="16"/>
  <c r="DV10" i="16"/>
  <c r="DV11" i="16"/>
  <c r="DV12" i="16"/>
  <c r="DV13" i="16"/>
  <c r="DV14" i="16"/>
  <c r="DV15" i="16"/>
  <c r="DV16" i="16"/>
  <c r="DV17" i="16"/>
  <c r="DV19" i="16"/>
  <c r="DV20" i="16"/>
  <c r="DV21" i="16"/>
  <c r="R15" i="52"/>
  <c r="Z15" i="52"/>
  <c r="CD32" i="16"/>
  <c r="CD33" i="16"/>
  <c r="CD34" i="16"/>
  <c r="CD35" i="16"/>
  <c r="CD36" i="16"/>
  <c r="CD37" i="16"/>
  <c r="CD39" i="16"/>
  <c r="CD40" i="16"/>
  <c r="CD41" i="16"/>
  <c r="L14" i="52"/>
  <c r="CE32" i="16"/>
  <c r="CE33" i="16"/>
  <c r="CE34" i="16"/>
  <c r="CE35" i="16"/>
  <c r="CE36" i="16"/>
  <c r="CE37" i="16"/>
  <c r="CE39" i="16"/>
  <c r="CE40" i="16"/>
  <c r="CE41" i="16"/>
  <c r="T14" i="52"/>
  <c r="AB14" i="52"/>
  <c r="CD22" i="16"/>
  <c r="CD23" i="16"/>
  <c r="CD24" i="16"/>
  <c r="CD25" i="16"/>
  <c r="CD26" i="16"/>
  <c r="CD27" i="16"/>
  <c r="CD29" i="16"/>
  <c r="CD30" i="16"/>
  <c r="CD31" i="16"/>
  <c r="K14" i="52"/>
  <c r="CE22" i="16"/>
  <c r="CE23" i="16"/>
  <c r="CE24" i="16"/>
  <c r="CE25" i="16"/>
  <c r="CE26" i="16"/>
  <c r="CE27" i="16"/>
  <c r="CE29" i="16"/>
  <c r="CE30" i="16"/>
  <c r="CE31" i="16"/>
  <c r="S14" i="52"/>
  <c r="AA14" i="52"/>
  <c r="CD9" i="16"/>
  <c r="CD10" i="16"/>
  <c r="CD11" i="16"/>
  <c r="CD12" i="16"/>
  <c r="CD13" i="16"/>
  <c r="CD14" i="16"/>
  <c r="CD15" i="16"/>
  <c r="CD16" i="16"/>
  <c r="CD17" i="16"/>
  <c r="CD19" i="16"/>
  <c r="CD20" i="16"/>
  <c r="CD21" i="16"/>
  <c r="J14" i="52"/>
  <c r="CE9" i="16"/>
  <c r="CE10" i="16"/>
  <c r="CE11" i="16"/>
  <c r="CE12" i="16"/>
  <c r="CE13" i="16"/>
  <c r="CE14" i="16"/>
  <c r="CE15" i="16"/>
  <c r="CE16" i="16"/>
  <c r="CE17" i="16"/>
  <c r="CE19" i="16"/>
  <c r="CE20" i="16"/>
  <c r="CE21" i="16"/>
  <c r="R14" i="52"/>
  <c r="Z14" i="52"/>
  <c r="CP32" i="16"/>
  <c r="CP33" i="16"/>
  <c r="CP34" i="16"/>
  <c r="CP35" i="16"/>
  <c r="CP36" i="16"/>
  <c r="CP37" i="16"/>
  <c r="CP39" i="16"/>
  <c r="CP40" i="16"/>
  <c r="CP41" i="16"/>
  <c r="L13" i="52"/>
  <c r="CQ32" i="16"/>
  <c r="CQ33" i="16"/>
  <c r="CQ34" i="16"/>
  <c r="CQ35" i="16"/>
  <c r="CQ36" i="16"/>
  <c r="CQ37" i="16"/>
  <c r="CQ39" i="16"/>
  <c r="CQ40" i="16"/>
  <c r="CQ41" i="16"/>
  <c r="T13" i="52"/>
  <c r="AB13" i="52"/>
  <c r="CP22" i="16"/>
  <c r="CP23" i="16"/>
  <c r="CP24" i="16"/>
  <c r="CP25" i="16"/>
  <c r="CP26" i="16"/>
  <c r="CP27" i="16"/>
  <c r="CP29" i="16"/>
  <c r="CP30" i="16"/>
  <c r="CP31" i="16"/>
  <c r="K13" i="52"/>
  <c r="CQ22" i="16"/>
  <c r="CQ23" i="16"/>
  <c r="CQ24" i="16"/>
  <c r="CQ25" i="16"/>
  <c r="CQ26" i="16"/>
  <c r="CQ27" i="16"/>
  <c r="CQ29" i="16"/>
  <c r="CQ30" i="16"/>
  <c r="CQ31" i="16"/>
  <c r="S13" i="52"/>
  <c r="AA13" i="52"/>
  <c r="CP9" i="16"/>
  <c r="CP10" i="16"/>
  <c r="CP11" i="16"/>
  <c r="CP12" i="16"/>
  <c r="CP13" i="16"/>
  <c r="CP14" i="16"/>
  <c r="CP15" i="16"/>
  <c r="CP16" i="16"/>
  <c r="CP17" i="16"/>
  <c r="CP19" i="16"/>
  <c r="CP20" i="16"/>
  <c r="CP21" i="16"/>
  <c r="J13" i="52"/>
  <c r="CQ9" i="16"/>
  <c r="CQ10" i="16"/>
  <c r="CQ11" i="16"/>
  <c r="CQ12" i="16"/>
  <c r="CQ13" i="16"/>
  <c r="CQ14" i="16"/>
  <c r="CQ15" i="16"/>
  <c r="CQ16" i="16"/>
  <c r="CQ17" i="16"/>
  <c r="CQ19" i="16"/>
  <c r="CQ20" i="16"/>
  <c r="CQ21" i="16"/>
  <c r="R13" i="52"/>
  <c r="Z13" i="52"/>
  <c r="CJ32" i="16"/>
  <c r="CJ33" i="16"/>
  <c r="CJ34" i="16"/>
  <c r="CJ35" i="16"/>
  <c r="CJ36" i="16"/>
  <c r="CJ37" i="16"/>
  <c r="CJ39" i="16"/>
  <c r="CJ40" i="16"/>
  <c r="CJ41" i="16"/>
  <c r="L11" i="52"/>
  <c r="CK32" i="16"/>
  <c r="CK33" i="16"/>
  <c r="CK34" i="16"/>
  <c r="CK35" i="16"/>
  <c r="CK36" i="16"/>
  <c r="CK37" i="16"/>
  <c r="CK39" i="16"/>
  <c r="CK40" i="16"/>
  <c r="CK41" i="16"/>
  <c r="T11" i="52"/>
  <c r="AB11" i="52"/>
  <c r="CJ22" i="16"/>
  <c r="CJ23" i="16"/>
  <c r="CJ24" i="16"/>
  <c r="CJ25" i="16"/>
  <c r="CJ26" i="16"/>
  <c r="CJ27" i="16"/>
  <c r="CJ29" i="16"/>
  <c r="CJ30" i="16"/>
  <c r="CJ31" i="16"/>
  <c r="K11" i="52"/>
  <c r="CK22" i="16"/>
  <c r="CK23" i="16"/>
  <c r="CK24" i="16"/>
  <c r="CK25" i="16"/>
  <c r="CK26" i="16"/>
  <c r="CK27" i="16"/>
  <c r="CK29" i="16"/>
  <c r="CK30" i="16"/>
  <c r="CK31" i="16"/>
  <c r="S11" i="52"/>
  <c r="AA11" i="52"/>
  <c r="CJ9" i="16"/>
  <c r="CJ10" i="16"/>
  <c r="CJ11" i="16"/>
  <c r="CJ12" i="16"/>
  <c r="CJ13" i="16"/>
  <c r="CJ14" i="16"/>
  <c r="CJ15" i="16"/>
  <c r="CJ16" i="16"/>
  <c r="CJ17" i="16"/>
  <c r="CJ19" i="16"/>
  <c r="CJ20" i="16"/>
  <c r="CJ21" i="16"/>
  <c r="J11" i="52"/>
  <c r="CK9" i="16"/>
  <c r="CK10" i="16"/>
  <c r="CK11" i="16"/>
  <c r="CK12" i="16"/>
  <c r="CK13" i="16"/>
  <c r="CK14" i="16"/>
  <c r="CK15" i="16"/>
  <c r="CK16" i="16"/>
  <c r="CK17" i="16"/>
  <c r="CK19" i="16"/>
  <c r="CK20" i="16"/>
  <c r="CK21" i="16"/>
  <c r="R11" i="52"/>
  <c r="Z11" i="52"/>
  <c r="BX32" i="16"/>
  <c r="BX33" i="16"/>
  <c r="BX34" i="16"/>
  <c r="BX35" i="16"/>
  <c r="BX36" i="16"/>
  <c r="BX37" i="16"/>
  <c r="BX39" i="16"/>
  <c r="BX40" i="16"/>
  <c r="BX41" i="16"/>
  <c r="L10" i="52"/>
  <c r="BY32" i="16"/>
  <c r="BY33" i="16"/>
  <c r="BY34" i="16"/>
  <c r="BY35" i="16"/>
  <c r="BY36" i="16"/>
  <c r="BY37" i="16"/>
  <c r="BY39" i="16"/>
  <c r="BY40" i="16"/>
  <c r="BY41" i="16"/>
  <c r="T10" i="52"/>
  <c r="AB10" i="52"/>
  <c r="BX22" i="16"/>
  <c r="BX23" i="16"/>
  <c r="BX24" i="16"/>
  <c r="BX25" i="16"/>
  <c r="BX26" i="16"/>
  <c r="BX27" i="16"/>
  <c r="BX29" i="16"/>
  <c r="BX30" i="16"/>
  <c r="BX31" i="16"/>
  <c r="K10" i="52"/>
  <c r="BY22" i="16"/>
  <c r="BY23" i="16"/>
  <c r="BY24" i="16"/>
  <c r="BY25" i="16"/>
  <c r="BY26" i="16"/>
  <c r="BY27" i="16"/>
  <c r="BY29" i="16"/>
  <c r="BY30" i="16"/>
  <c r="BY31" i="16"/>
  <c r="S10" i="52"/>
  <c r="AA10" i="52"/>
  <c r="BX9" i="16"/>
  <c r="BX10" i="16"/>
  <c r="BX11" i="16"/>
  <c r="BX12" i="16"/>
  <c r="BX13" i="16"/>
  <c r="BX14" i="16"/>
  <c r="BX15" i="16"/>
  <c r="BX16" i="16"/>
  <c r="BX17" i="16"/>
  <c r="BX19" i="16"/>
  <c r="BX20" i="16"/>
  <c r="BX21" i="16"/>
  <c r="J10" i="52"/>
  <c r="BY9" i="16"/>
  <c r="BY10" i="16"/>
  <c r="BY11" i="16"/>
  <c r="BY12" i="16"/>
  <c r="BY13" i="16"/>
  <c r="BY14" i="16"/>
  <c r="BY15" i="16"/>
  <c r="BY16" i="16"/>
  <c r="BY17" i="16"/>
  <c r="BY19" i="16"/>
  <c r="BY20" i="16"/>
  <c r="BY21" i="16"/>
  <c r="R10" i="52"/>
  <c r="Z10" i="52"/>
  <c r="BR32" i="16"/>
  <c r="BR33" i="16"/>
  <c r="BR34" i="16"/>
  <c r="BR35" i="16"/>
  <c r="BR36" i="16"/>
  <c r="BR37" i="16"/>
  <c r="BR39" i="16"/>
  <c r="BR40" i="16"/>
  <c r="BR41" i="16"/>
  <c r="L9" i="52"/>
  <c r="BS32" i="16"/>
  <c r="BS33" i="16"/>
  <c r="BS34" i="16"/>
  <c r="BS35" i="16"/>
  <c r="BS36" i="16"/>
  <c r="BS37" i="16"/>
  <c r="BS39" i="16"/>
  <c r="BS40" i="16"/>
  <c r="BS41" i="16"/>
  <c r="T9" i="52"/>
  <c r="AB9" i="52"/>
  <c r="BR22" i="16"/>
  <c r="BR23" i="16"/>
  <c r="BR24" i="16"/>
  <c r="BR25" i="16"/>
  <c r="BR26" i="16"/>
  <c r="BR27" i="16"/>
  <c r="BR29" i="16"/>
  <c r="BR30" i="16"/>
  <c r="BR31" i="16"/>
  <c r="K9" i="52"/>
  <c r="BS22" i="16"/>
  <c r="BS23" i="16"/>
  <c r="BS24" i="16"/>
  <c r="BS25" i="16"/>
  <c r="BS26" i="16"/>
  <c r="BS27" i="16"/>
  <c r="BS29" i="16"/>
  <c r="BS30" i="16"/>
  <c r="BS31" i="16"/>
  <c r="S9" i="52"/>
  <c r="AA9" i="52"/>
  <c r="BR9" i="16"/>
  <c r="BR10" i="16"/>
  <c r="BR11" i="16"/>
  <c r="BR12" i="16"/>
  <c r="BR13" i="16"/>
  <c r="BR14" i="16"/>
  <c r="BR15" i="16"/>
  <c r="BR16" i="16"/>
  <c r="BR17" i="16"/>
  <c r="BR19" i="16"/>
  <c r="BR20" i="16"/>
  <c r="BR21" i="16"/>
  <c r="J9" i="52"/>
  <c r="BS9" i="16"/>
  <c r="BS10" i="16"/>
  <c r="BS11" i="16"/>
  <c r="BS12" i="16"/>
  <c r="BS13" i="16"/>
  <c r="BS14" i="16"/>
  <c r="BS15" i="16"/>
  <c r="BS16" i="16"/>
  <c r="BS17" i="16"/>
  <c r="BS19" i="16"/>
  <c r="BS20" i="16"/>
  <c r="BS21" i="16"/>
  <c r="R9" i="52"/>
  <c r="Z9" i="52"/>
  <c r="BK32" i="16"/>
  <c r="BK33" i="16"/>
  <c r="BK34" i="16"/>
  <c r="BK35" i="16"/>
  <c r="BK36" i="16"/>
  <c r="BK37" i="16"/>
  <c r="BK39" i="16"/>
  <c r="BK40" i="16"/>
  <c r="BK41" i="16"/>
  <c r="L8" i="52"/>
  <c r="BM32" i="16"/>
  <c r="BM33" i="16"/>
  <c r="BM34" i="16"/>
  <c r="BM35" i="16"/>
  <c r="BM36" i="16"/>
  <c r="BM37" i="16"/>
  <c r="BM39" i="16"/>
  <c r="BM40" i="16"/>
  <c r="BM41" i="16"/>
  <c r="T8" i="52"/>
  <c r="AB8" i="52"/>
  <c r="BK22" i="16"/>
  <c r="BK23" i="16"/>
  <c r="BK24" i="16"/>
  <c r="BK25" i="16"/>
  <c r="BK26" i="16"/>
  <c r="BK27" i="16"/>
  <c r="BK29" i="16"/>
  <c r="BK30" i="16"/>
  <c r="BK31" i="16"/>
  <c r="K8" i="52"/>
  <c r="BM22" i="16"/>
  <c r="BM23" i="16"/>
  <c r="BM24" i="16"/>
  <c r="BM25" i="16"/>
  <c r="BM26" i="16"/>
  <c r="BM27" i="16"/>
  <c r="BM29" i="16"/>
  <c r="BM30" i="16"/>
  <c r="BM31" i="16"/>
  <c r="S8" i="52"/>
  <c r="AA8" i="52"/>
  <c r="BK9" i="16"/>
  <c r="BK10" i="16"/>
  <c r="BK11" i="16"/>
  <c r="BK12" i="16"/>
  <c r="BK13" i="16"/>
  <c r="BK14" i="16"/>
  <c r="BK15" i="16"/>
  <c r="BK16" i="16"/>
  <c r="BK17" i="16"/>
  <c r="BK19" i="16"/>
  <c r="BK20" i="16"/>
  <c r="BK21" i="16"/>
  <c r="J8" i="52"/>
  <c r="BM9" i="16"/>
  <c r="BM10" i="16"/>
  <c r="BM11" i="16"/>
  <c r="BM12" i="16"/>
  <c r="BM13" i="16"/>
  <c r="BM14" i="16"/>
  <c r="BM15" i="16"/>
  <c r="BM16" i="16"/>
  <c r="BM17" i="16"/>
  <c r="BM19" i="16"/>
  <c r="BM20" i="16"/>
  <c r="BM21" i="16"/>
  <c r="R8" i="52"/>
  <c r="Z8" i="52"/>
  <c r="BD32" i="16"/>
  <c r="BD33" i="16"/>
  <c r="BD34" i="16"/>
  <c r="BD35" i="16"/>
  <c r="BD36" i="16"/>
  <c r="BD37" i="16"/>
  <c r="BD39" i="16"/>
  <c r="BD40" i="16"/>
  <c r="BD41" i="16"/>
  <c r="L7" i="52"/>
  <c r="BF32" i="16"/>
  <c r="BF33" i="16"/>
  <c r="BF34" i="16"/>
  <c r="BF35" i="16"/>
  <c r="BF36" i="16"/>
  <c r="BF37" i="16"/>
  <c r="BF39" i="16"/>
  <c r="BF40" i="16"/>
  <c r="BF41" i="16"/>
  <c r="T7" i="52"/>
  <c r="AB7" i="52"/>
  <c r="BD22" i="16"/>
  <c r="BD23" i="16"/>
  <c r="BD24" i="16"/>
  <c r="BD25" i="16"/>
  <c r="BD26" i="16"/>
  <c r="BD27" i="16"/>
  <c r="BD29" i="16"/>
  <c r="BD30" i="16"/>
  <c r="BD31" i="16"/>
  <c r="K7" i="52"/>
  <c r="BF22" i="16"/>
  <c r="BF23" i="16"/>
  <c r="BF24" i="16"/>
  <c r="BF25" i="16"/>
  <c r="BF26" i="16"/>
  <c r="BF27" i="16"/>
  <c r="BF29" i="16"/>
  <c r="BF30" i="16"/>
  <c r="BF31" i="16"/>
  <c r="S7" i="52"/>
  <c r="AA7" i="52"/>
  <c r="BD9" i="16"/>
  <c r="BD10" i="16"/>
  <c r="BD11" i="16"/>
  <c r="BD12" i="16"/>
  <c r="BD13" i="16"/>
  <c r="BD14" i="16"/>
  <c r="BD15" i="16"/>
  <c r="BD16" i="16"/>
  <c r="BD17" i="16"/>
  <c r="BD19" i="16"/>
  <c r="BD20" i="16"/>
  <c r="BD21" i="16"/>
  <c r="J7" i="52"/>
  <c r="BF9" i="16"/>
  <c r="BF10" i="16"/>
  <c r="BF11" i="16"/>
  <c r="BF12" i="16"/>
  <c r="BF13" i="16"/>
  <c r="BF14" i="16"/>
  <c r="BF15" i="16"/>
  <c r="BF16" i="16"/>
  <c r="BF17" i="16"/>
  <c r="BF19" i="16"/>
  <c r="BF20" i="16"/>
  <c r="BF21" i="16"/>
  <c r="R7" i="52"/>
  <c r="Z7" i="52"/>
  <c r="FL32" i="16"/>
  <c r="FL33" i="16"/>
  <c r="FL34" i="16"/>
  <c r="FL35" i="16"/>
  <c r="FL36" i="16"/>
  <c r="FL37" i="16"/>
  <c r="FL39" i="16"/>
  <c r="FL40" i="16"/>
  <c r="FL41" i="16"/>
  <c r="L6" i="52"/>
  <c r="FN32" i="16"/>
  <c r="FN33" i="16"/>
  <c r="FN34" i="16"/>
  <c r="FN35" i="16"/>
  <c r="FN36" i="16"/>
  <c r="FN37" i="16"/>
  <c r="FN39" i="16"/>
  <c r="FN40" i="16"/>
  <c r="FN41" i="16"/>
  <c r="T6" i="52"/>
  <c r="AB6" i="52"/>
  <c r="FL22" i="16"/>
  <c r="FL23" i="16"/>
  <c r="FL24" i="16"/>
  <c r="FL25" i="16"/>
  <c r="FL26" i="16"/>
  <c r="FL27" i="16"/>
  <c r="FL29" i="16"/>
  <c r="FL30" i="16"/>
  <c r="FL31" i="16"/>
  <c r="K6" i="52"/>
  <c r="FN22" i="16"/>
  <c r="FN23" i="16"/>
  <c r="FN24" i="16"/>
  <c r="FN25" i="16"/>
  <c r="FN26" i="16"/>
  <c r="FN27" i="16"/>
  <c r="FN29" i="16"/>
  <c r="FN30" i="16"/>
  <c r="FN31" i="16"/>
  <c r="S6" i="52"/>
  <c r="AA6" i="52"/>
  <c r="FL9" i="16"/>
  <c r="FL10" i="16"/>
  <c r="FL11" i="16"/>
  <c r="FL12" i="16"/>
  <c r="FL13" i="16"/>
  <c r="FL14" i="16"/>
  <c r="FL15" i="16"/>
  <c r="FL16" i="16"/>
  <c r="FL17" i="16"/>
  <c r="FL19" i="16"/>
  <c r="FL20" i="16"/>
  <c r="FL21" i="16"/>
  <c r="J6" i="52"/>
  <c r="FN9" i="16"/>
  <c r="FN10" i="16"/>
  <c r="FN11" i="16"/>
  <c r="FN12" i="16"/>
  <c r="FN13" i="16"/>
  <c r="FN14" i="16"/>
  <c r="FN15" i="16"/>
  <c r="FN16" i="16"/>
  <c r="FN17" i="16"/>
  <c r="FN19" i="16"/>
  <c r="FN20" i="16"/>
  <c r="FN21" i="16"/>
  <c r="R6" i="52"/>
  <c r="Z6" i="52"/>
  <c r="FF32" i="16"/>
  <c r="FF33" i="16"/>
  <c r="FF34" i="16"/>
  <c r="FF35" i="16"/>
  <c r="FF36" i="16"/>
  <c r="FF37" i="16"/>
  <c r="FF39" i="16"/>
  <c r="FF40" i="16"/>
  <c r="FF41" i="16"/>
  <c r="L5" i="52"/>
  <c r="FH32" i="16"/>
  <c r="FH33" i="16"/>
  <c r="FH34" i="16"/>
  <c r="FH35" i="16"/>
  <c r="FH36" i="16"/>
  <c r="FH37" i="16"/>
  <c r="FH39" i="16"/>
  <c r="FH40" i="16"/>
  <c r="FH41" i="16"/>
  <c r="T5" i="52"/>
  <c r="AB5" i="52"/>
  <c r="FF22" i="16"/>
  <c r="FF23" i="16"/>
  <c r="FF24" i="16"/>
  <c r="FF25" i="16"/>
  <c r="FF26" i="16"/>
  <c r="FF27" i="16"/>
  <c r="FF29" i="16"/>
  <c r="FF30" i="16"/>
  <c r="FF31" i="16"/>
  <c r="K5" i="52"/>
  <c r="FH22" i="16"/>
  <c r="FH23" i="16"/>
  <c r="FH24" i="16"/>
  <c r="FH25" i="16"/>
  <c r="FH26" i="16"/>
  <c r="FH27" i="16"/>
  <c r="FH29" i="16"/>
  <c r="FH30" i="16"/>
  <c r="FH31" i="16"/>
  <c r="S5" i="52"/>
  <c r="AA5" i="52"/>
  <c r="FF9" i="16"/>
  <c r="FF10" i="16"/>
  <c r="FF11" i="16"/>
  <c r="FF12" i="16"/>
  <c r="FF13" i="16"/>
  <c r="FF14" i="16"/>
  <c r="FF15" i="16"/>
  <c r="FF16" i="16"/>
  <c r="FF17" i="16"/>
  <c r="FF19" i="16"/>
  <c r="FF20" i="16"/>
  <c r="FF21" i="16"/>
  <c r="J5" i="52"/>
  <c r="FH9" i="16"/>
  <c r="FH10" i="16"/>
  <c r="FH11" i="16"/>
  <c r="FH12" i="16"/>
  <c r="FH13" i="16"/>
  <c r="FH14" i="16"/>
  <c r="FH15" i="16"/>
  <c r="FH16" i="16"/>
  <c r="FH17" i="16"/>
  <c r="FH19" i="16"/>
  <c r="FH20" i="16"/>
  <c r="FH21" i="16"/>
  <c r="R5" i="52"/>
  <c r="Z5" i="52"/>
  <c r="EZ32" i="16"/>
  <c r="EZ33" i="16"/>
  <c r="EZ34" i="16"/>
  <c r="EZ35" i="16"/>
  <c r="EZ36" i="16"/>
  <c r="EZ37" i="16"/>
  <c r="EZ39" i="16"/>
  <c r="EZ40" i="16"/>
  <c r="EZ41" i="16"/>
  <c r="L4" i="52"/>
  <c r="FB32" i="16"/>
  <c r="FB33" i="16"/>
  <c r="FB34" i="16"/>
  <c r="FB35" i="16"/>
  <c r="FB36" i="16"/>
  <c r="FB37" i="16"/>
  <c r="FB39" i="16"/>
  <c r="FB40" i="16"/>
  <c r="FB41" i="16"/>
  <c r="T4" i="52"/>
  <c r="AB4" i="52"/>
  <c r="EZ22" i="16"/>
  <c r="EZ23" i="16"/>
  <c r="EZ24" i="16"/>
  <c r="EZ25" i="16"/>
  <c r="EZ26" i="16"/>
  <c r="EZ27" i="16"/>
  <c r="EZ29" i="16"/>
  <c r="EZ30" i="16"/>
  <c r="EZ31" i="16"/>
  <c r="K4" i="52"/>
  <c r="FB22" i="16"/>
  <c r="FB23" i="16"/>
  <c r="FB24" i="16"/>
  <c r="FB25" i="16"/>
  <c r="FB26" i="16"/>
  <c r="FB27" i="16"/>
  <c r="FB29" i="16"/>
  <c r="FB30" i="16"/>
  <c r="FB31" i="16"/>
  <c r="S4" i="52"/>
  <c r="AA4" i="52"/>
  <c r="EZ9" i="16"/>
  <c r="EZ10" i="16"/>
  <c r="EZ11" i="16"/>
  <c r="EZ12" i="16"/>
  <c r="EZ13" i="16"/>
  <c r="EZ14" i="16"/>
  <c r="EZ15" i="16"/>
  <c r="EZ16" i="16"/>
  <c r="EZ17" i="16"/>
  <c r="EZ19" i="16"/>
  <c r="EZ20" i="16"/>
  <c r="EZ21" i="16"/>
  <c r="J4" i="52"/>
  <c r="FB9" i="16"/>
  <c r="FB10" i="16"/>
  <c r="FB11" i="16"/>
  <c r="FB12" i="16"/>
  <c r="FB13" i="16"/>
  <c r="FB14" i="16"/>
  <c r="FB15" i="16"/>
  <c r="FB16" i="16"/>
  <c r="FB17" i="16"/>
  <c r="FB19" i="16"/>
  <c r="FB20" i="16"/>
  <c r="FB21" i="16"/>
  <c r="R4" i="52"/>
  <c r="Z4" i="52"/>
  <c r="ET32" i="16"/>
  <c r="ET33" i="16"/>
  <c r="ET34" i="16"/>
  <c r="ET35" i="16"/>
  <c r="ET36" i="16"/>
  <c r="ET37" i="16"/>
  <c r="ET39" i="16"/>
  <c r="ET40" i="16"/>
  <c r="ET41" i="16"/>
  <c r="L3" i="52"/>
  <c r="EV32" i="16"/>
  <c r="EV33" i="16"/>
  <c r="EV34" i="16"/>
  <c r="EV35" i="16"/>
  <c r="EV36" i="16"/>
  <c r="EV37" i="16"/>
  <c r="EV39" i="16"/>
  <c r="EV40" i="16"/>
  <c r="EV41" i="16"/>
  <c r="T3" i="52"/>
  <c r="AB3" i="52"/>
  <c r="ET22" i="16"/>
  <c r="ET23" i="16"/>
  <c r="ET24" i="16"/>
  <c r="ET25" i="16"/>
  <c r="ET26" i="16"/>
  <c r="ET27" i="16"/>
  <c r="ET29" i="16"/>
  <c r="ET30" i="16"/>
  <c r="ET31" i="16"/>
  <c r="K3" i="52"/>
  <c r="EV22" i="16"/>
  <c r="EV23" i="16"/>
  <c r="EV24" i="16"/>
  <c r="EV25" i="16"/>
  <c r="EV26" i="16"/>
  <c r="EV27" i="16"/>
  <c r="EV29" i="16"/>
  <c r="EV30" i="16"/>
  <c r="EV31" i="16"/>
  <c r="S3" i="52"/>
  <c r="AA3" i="52"/>
  <c r="ET9" i="16"/>
  <c r="ET10" i="16"/>
  <c r="ET11" i="16"/>
  <c r="ET12" i="16"/>
  <c r="ET13" i="16"/>
  <c r="ET14" i="16"/>
  <c r="ET15" i="16"/>
  <c r="ET16" i="16"/>
  <c r="ET17" i="16"/>
  <c r="ET19" i="16"/>
  <c r="ET20" i="16"/>
  <c r="ET21" i="16"/>
  <c r="J3" i="52"/>
  <c r="EV9" i="16"/>
  <c r="EV10" i="16"/>
  <c r="EV11" i="16"/>
  <c r="EV12" i="16"/>
  <c r="EV13" i="16"/>
  <c r="EV14" i="16"/>
  <c r="EV15" i="16"/>
  <c r="EV16" i="16"/>
  <c r="EV17" i="16"/>
  <c r="EV19" i="16"/>
  <c r="EV20" i="16"/>
  <c r="EV21" i="16"/>
  <c r="R3" i="52"/>
  <c r="Z3" i="52"/>
  <c r="E25" i="52"/>
  <c r="D25" i="52"/>
  <c r="C25" i="52"/>
  <c r="B25" i="52"/>
  <c r="B6" i="52"/>
  <c r="C6" i="52"/>
  <c r="D6" i="52"/>
  <c r="E42" i="16"/>
  <c r="E44" i="16"/>
  <c r="E6" i="52"/>
  <c r="EU53" i="16"/>
  <c r="EU52" i="16"/>
  <c r="EU51" i="16"/>
  <c r="EU50" i="16"/>
  <c r="EU49" i="16"/>
  <c r="EU48" i="16"/>
  <c r="EU47" i="16"/>
  <c r="EU46" i="16"/>
  <c r="EU45" i="16"/>
  <c r="EU44" i="16"/>
  <c r="EU43" i="16"/>
  <c r="EU42" i="16"/>
  <c r="EU41" i="16"/>
  <c r="EU40" i="16"/>
  <c r="EU39" i="16"/>
  <c r="EU37" i="16"/>
  <c r="EU36" i="16"/>
  <c r="EU35" i="16"/>
  <c r="EU34" i="16"/>
  <c r="EU33" i="16"/>
  <c r="EU32" i="16"/>
  <c r="EU31" i="16"/>
  <c r="EU30" i="16"/>
  <c r="EU29" i="16"/>
  <c r="EU27" i="16"/>
  <c r="EU26" i="16"/>
  <c r="EU25" i="16"/>
  <c r="EU24" i="16"/>
  <c r="EU23" i="16"/>
  <c r="EU22" i="16"/>
  <c r="EU21" i="16"/>
  <c r="EU20" i="16"/>
  <c r="EU19" i="16"/>
  <c r="EU17" i="16"/>
  <c r="EU16" i="16"/>
  <c r="EU15" i="16"/>
  <c r="EU14" i="16"/>
  <c r="EU13" i="16"/>
  <c r="EU12" i="16"/>
  <c r="EU11" i="16"/>
  <c r="EU10" i="16"/>
  <c r="EU9" i="16"/>
  <c r="CP8" i="16"/>
  <c r="EU8" i="16"/>
  <c r="CP7" i="16"/>
  <c r="EU7" i="16"/>
  <c r="CP6" i="16"/>
  <c r="EU6" i="16"/>
  <c r="CP5" i="16"/>
  <c r="EU5" i="16"/>
  <c r="CP4" i="16"/>
  <c r="EU4" i="16"/>
  <c r="CP3" i="16"/>
  <c r="EU3" i="16"/>
  <c r="CP2" i="16"/>
  <c r="EU2" i="16"/>
  <c r="E27" i="52"/>
  <c r="D27" i="52"/>
  <c r="C27" i="52"/>
  <c r="B27" i="52"/>
  <c r="E26" i="52"/>
  <c r="D26" i="52"/>
  <c r="C26" i="52"/>
  <c r="B26" i="52"/>
  <c r="E20" i="52"/>
  <c r="D20" i="52"/>
  <c r="C20" i="52"/>
  <c r="B20" i="52"/>
  <c r="W46" i="16"/>
  <c r="E19" i="52"/>
  <c r="D19" i="52"/>
  <c r="C19" i="52"/>
  <c r="B19" i="52"/>
  <c r="E18" i="52"/>
  <c r="D18" i="52"/>
  <c r="C18" i="52"/>
  <c r="B18" i="52"/>
  <c r="E17" i="52"/>
  <c r="D17" i="52"/>
  <c r="C17" i="52"/>
  <c r="B17" i="52"/>
  <c r="E16" i="52"/>
  <c r="D16" i="52"/>
  <c r="C16" i="52"/>
  <c r="B16" i="52"/>
  <c r="E15" i="52"/>
  <c r="D15" i="52"/>
  <c r="C15" i="52"/>
  <c r="B15" i="52"/>
  <c r="E14" i="52"/>
  <c r="D14" i="52"/>
  <c r="C14" i="52"/>
  <c r="B14" i="52"/>
  <c r="E13" i="52"/>
  <c r="D13" i="52"/>
  <c r="C13" i="52"/>
  <c r="B13" i="52"/>
  <c r="E11" i="52"/>
  <c r="D11" i="52"/>
  <c r="C11" i="52"/>
  <c r="B11" i="52"/>
  <c r="E10" i="52"/>
  <c r="D10" i="52"/>
  <c r="C10" i="52"/>
  <c r="B10" i="52"/>
  <c r="E9" i="52"/>
  <c r="D9" i="52"/>
  <c r="C9" i="52"/>
  <c r="B9" i="52"/>
  <c r="E8" i="52"/>
  <c r="D8" i="52"/>
  <c r="C8" i="52"/>
  <c r="B8" i="52"/>
  <c r="E7" i="52"/>
  <c r="D7" i="52"/>
  <c r="C7" i="52"/>
  <c r="B7" i="52"/>
  <c r="E5" i="52"/>
  <c r="D5" i="52"/>
  <c r="C5" i="52"/>
  <c r="B5" i="52"/>
  <c r="E4" i="52"/>
  <c r="D4" i="52"/>
  <c r="C4" i="52"/>
  <c r="B4" i="52"/>
  <c r="FN8" i="16"/>
  <c r="FN7" i="16"/>
  <c r="FN6" i="16"/>
  <c r="FN5" i="16"/>
  <c r="FN4" i="16"/>
  <c r="FN3" i="16"/>
  <c r="FN2" i="16"/>
  <c r="FB8" i="16"/>
  <c r="FB7" i="16"/>
  <c r="FB6" i="16"/>
  <c r="FB5" i="16"/>
  <c r="FB4" i="16"/>
  <c r="FB3" i="16"/>
  <c r="FB2" i="16"/>
  <c r="EV8" i="16"/>
  <c r="EV7" i="16"/>
  <c r="EV6" i="16"/>
  <c r="EV5" i="16"/>
  <c r="EV4" i="16"/>
  <c r="EV3" i="16"/>
  <c r="EV2" i="16"/>
  <c r="E3" i="52"/>
  <c r="D3" i="52"/>
  <c r="C3" i="52"/>
  <c r="FZ8" i="16"/>
  <c r="FZ7" i="16"/>
  <c r="FZ6" i="16"/>
  <c r="FZ5" i="16"/>
  <c r="FZ4" i="16"/>
  <c r="FZ3" i="16"/>
  <c r="FZ2" i="16"/>
  <c r="EN8" i="16"/>
  <c r="EN7" i="16"/>
  <c r="EN6" i="16"/>
  <c r="EN5" i="16"/>
  <c r="EN4" i="16"/>
  <c r="EN3" i="16"/>
  <c r="EN2" i="16"/>
  <c r="EH8" i="16"/>
  <c r="EH7" i="16"/>
  <c r="EH6" i="16"/>
  <c r="EH5" i="16"/>
  <c r="EH4" i="16"/>
  <c r="EH3" i="16"/>
  <c r="EH2" i="16"/>
  <c r="DB8" i="16"/>
  <c r="DB7" i="16"/>
  <c r="DB6" i="16"/>
  <c r="DB5" i="16"/>
  <c r="DB4" i="16"/>
  <c r="DB3" i="16"/>
  <c r="DB2" i="16"/>
  <c r="CJ8" i="16"/>
  <c r="CJ7" i="16"/>
  <c r="CJ6" i="16"/>
  <c r="CJ5" i="16"/>
  <c r="CJ4" i="16"/>
  <c r="CJ3" i="16"/>
  <c r="CJ2" i="16"/>
  <c r="CD8" i="16"/>
  <c r="CD7" i="16"/>
  <c r="CD6" i="16"/>
  <c r="CD5" i="16"/>
  <c r="CD4" i="16"/>
  <c r="CD3" i="16"/>
  <c r="CD2" i="16"/>
  <c r="BX8" i="16"/>
  <c r="BX7" i="16"/>
  <c r="BX6" i="16"/>
  <c r="BX5" i="16"/>
  <c r="BX4" i="16"/>
  <c r="BX3" i="16"/>
  <c r="BX2" i="16"/>
  <c r="BR8" i="16"/>
  <c r="BR7" i="16"/>
  <c r="BR6" i="16"/>
  <c r="BR5" i="16"/>
  <c r="BR4" i="16"/>
  <c r="BR3" i="16"/>
  <c r="BR2" i="16"/>
  <c r="GG50" i="16"/>
  <c r="GG48" i="16"/>
  <c r="GG47" i="16"/>
  <c r="GG46" i="16"/>
  <c r="GG45" i="16"/>
  <c r="GG44" i="16"/>
  <c r="GG43" i="16"/>
  <c r="GG42" i="16"/>
  <c r="GG41" i="16"/>
  <c r="GG40" i="16"/>
  <c r="GG39" i="16"/>
  <c r="GG37" i="16"/>
  <c r="GG36" i="16"/>
  <c r="GG35" i="16"/>
  <c r="GG34" i="16"/>
  <c r="GG33" i="16"/>
  <c r="GG32" i="16"/>
  <c r="GG31" i="16"/>
  <c r="GG30" i="16"/>
  <c r="GG29" i="16"/>
  <c r="GG27" i="16"/>
  <c r="GG26" i="16"/>
  <c r="GG25" i="16"/>
  <c r="GG24" i="16"/>
  <c r="GG23" i="16"/>
  <c r="GG22" i="16"/>
  <c r="GG21" i="16"/>
  <c r="GG20" i="16"/>
  <c r="GG19" i="16"/>
  <c r="GG17" i="16"/>
  <c r="GG16" i="16"/>
  <c r="GG15" i="16"/>
  <c r="GG14" i="16"/>
  <c r="GG13" i="16"/>
  <c r="GG12" i="16"/>
  <c r="GG11" i="16"/>
  <c r="GG10" i="16"/>
  <c r="GG9" i="16"/>
  <c r="GF8" i="16"/>
  <c r="GG8" i="16"/>
  <c r="GF7" i="16"/>
  <c r="GG7" i="16"/>
  <c r="GF6" i="16"/>
  <c r="GG6" i="16"/>
  <c r="GF5" i="16"/>
  <c r="GG5" i="16"/>
  <c r="GF4" i="16"/>
  <c r="GG4" i="16"/>
  <c r="GF3" i="16"/>
  <c r="GG3" i="16"/>
  <c r="GF2" i="16"/>
  <c r="GG2" i="16"/>
  <c r="F53" i="16"/>
  <c r="G53" i="16"/>
  <c r="F52" i="16"/>
  <c r="G52" i="16"/>
  <c r="F51" i="16"/>
  <c r="G51" i="16"/>
  <c r="F50" i="16"/>
  <c r="G50" i="16"/>
  <c r="F49" i="16"/>
  <c r="G49" i="16"/>
  <c r="F48" i="16"/>
  <c r="G48" i="16"/>
  <c r="F47" i="16"/>
  <c r="G47" i="16"/>
  <c r="F46" i="16"/>
  <c r="G46" i="16"/>
  <c r="F45" i="16"/>
  <c r="G45" i="16"/>
  <c r="F44" i="16"/>
  <c r="G44" i="16"/>
  <c r="F43" i="16"/>
  <c r="G43" i="16"/>
  <c r="F42" i="16"/>
  <c r="G42" i="16"/>
  <c r="F41" i="16"/>
  <c r="G41" i="16"/>
  <c r="F40" i="16"/>
  <c r="G40" i="16"/>
  <c r="F39" i="16"/>
  <c r="G39" i="16"/>
  <c r="F38" i="16"/>
  <c r="G38" i="16"/>
  <c r="F37" i="16"/>
  <c r="G37" i="16"/>
  <c r="F36" i="16"/>
  <c r="G36" i="16"/>
  <c r="F35" i="16"/>
  <c r="G35" i="16"/>
  <c r="F34" i="16"/>
  <c r="G34" i="16"/>
  <c r="F33" i="16"/>
  <c r="G33" i="16"/>
  <c r="F32" i="16"/>
  <c r="G32" i="16"/>
  <c r="F31" i="16"/>
  <c r="G31" i="16"/>
  <c r="F30" i="16"/>
  <c r="G30" i="16"/>
  <c r="F29" i="16"/>
  <c r="G29" i="16"/>
  <c r="F28" i="16"/>
  <c r="G28" i="16"/>
  <c r="F27" i="16"/>
  <c r="G27" i="16"/>
  <c r="F26" i="16"/>
  <c r="G26" i="16"/>
  <c r="F25" i="16"/>
  <c r="G25" i="16"/>
  <c r="F24" i="16"/>
  <c r="G24" i="16"/>
  <c r="F23" i="16"/>
  <c r="G23" i="16"/>
  <c r="F22" i="16"/>
  <c r="G22" i="16"/>
  <c r="F21" i="16"/>
  <c r="G21" i="16"/>
  <c r="F20" i="16"/>
  <c r="G20" i="16"/>
  <c r="F19" i="16"/>
  <c r="G19" i="16"/>
  <c r="F18" i="16"/>
  <c r="G18" i="16"/>
  <c r="F17" i="16"/>
  <c r="G17" i="16"/>
  <c r="F16" i="16"/>
  <c r="G16" i="16"/>
  <c r="F15" i="16"/>
  <c r="G15" i="16"/>
  <c r="F14" i="16"/>
  <c r="G14" i="16"/>
  <c r="F13" i="16"/>
  <c r="G13" i="16"/>
  <c r="F12" i="16"/>
  <c r="G12" i="16"/>
  <c r="F11" i="16"/>
  <c r="G11" i="16"/>
  <c r="F10" i="16"/>
  <c r="G10" i="16"/>
  <c r="F9" i="16"/>
  <c r="G9" i="16"/>
  <c r="G8" i="16"/>
  <c r="G7" i="16"/>
  <c r="G6" i="16"/>
  <c r="G5" i="16"/>
  <c r="G4" i="16"/>
  <c r="G3" i="16"/>
  <c r="G2" i="16"/>
  <c r="GW53" i="16"/>
  <c r="GW52" i="16"/>
  <c r="GW51" i="16"/>
  <c r="GW50" i="16"/>
  <c r="GW47" i="16"/>
  <c r="GW46" i="16"/>
  <c r="GW45" i="16"/>
  <c r="GW44" i="16"/>
  <c r="GW43" i="16"/>
  <c r="GW42" i="16"/>
  <c r="GW41" i="16"/>
  <c r="GW40" i="16"/>
  <c r="GW39" i="16"/>
  <c r="GW37" i="16"/>
  <c r="GW36" i="16"/>
  <c r="GW35" i="16"/>
  <c r="GW34" i="16"/>
  <c r="GW33" i="16"/>
  <c r="GW32" i="16"/>
  <c r="GW31" i="16"/>
  <c r="GW30" i="16"/>
  <c r="GW29" i="16"/>
  <c r="GW27" i="16"/>
  <c r="GW26" i="16"/>
  <c r="GW25" i="16"/>
  <c r="GW24" i="16"/>
  <c r="GW23" i="16"/>
  <c r="GW22" i="16"/>
  <c r="GW21" i="16"/>
  <c r="GW20" i="16"/>
  <c r="GW19" i="16"/>
  <c r="GW17" i="16"/>
  <c r="GW16" i="16"/>
  <c r="GW15" i="16"/>
  <c r="GW14" i="16"/>
  <c r="GW13" i="16"/>
  <c r="GW12" i="16"/>
  <c r="GW11" i="16"/>
  <c r="GW10" i="16"/>
  <c r="GW9" i="16"/>
  <c r="GV8" i="16"/>
  <c r="GW8" i="16"/>
  <c r="GV7" i="16"/>
  <c r="GW7" i="16"/>
  <c r="GV6" i="16"/>
  <c r="GW6" i="16"/>
  <c r="GV5" i="16"/>
  <c r="GW5" i="16"/>
  <c r="GV4" i="16"/>
  <c r="GW4" i="16"/>
  <c r="GV3" i="16"/>
  <c r="GW3" i="16"/>
  <c r="GV2" i="16"/>
  <c r="GW2" i="16"/>
  <c r="GU53" i="16"/>
  <c r="GU52" i="16"/>
  <c r="GU51" i="16"/>
  <c r="GU50" i="16"/>
  <c r="GU47" i="16"/>
  <c r="GU46" i="16"/>
  <c r="GU45" i="16"/>
  <c r="GU44" i="16"/>
  <c r="GU43" i="16"/>
  <c r="GU42" i="16"/>
  <c r="GU41" i="16"/>
  <c r="GU40" i="16"/>
  <c r="GU39" i="16"/>
  <c r="GU37" i="16"/>
  <c r="GU36" i="16"/>
  <c r="GU35" i="16"/>
  <c r="GU34" i="16"/>
  <c r="GU33" i="16"/>
  <c r="GU32" i="16"/>
  <c r="GU31" i="16"/>
  <c r="GU30" i="16"/>
  <c r="GU29" i="16"/>
  <c r="GU27" i="16"/>
  <c r="GU26" i="16"/>
  <c r="GU25" i="16"/>
  <c r="GU24" i="16"/>
  <c r="GU23" i="16"/>
  <c r="GU22" i="16"/>
  <c r="GU21" i="16"/>
  <c r="GU20" i="16"/>
  <c r="GU19" i="16"/>
  <c r="GU17" i="16"/>
  <c r="GU16" i="16"/>
  <c r="GU15" i="16"/>
  <c r="GU14" i="16"/>
  <c r="GU13" i="16"/>
  <c r="GU12" i="16"/>
  <c r="GU11" i="16"/>
  <c r="GU10" i="16"/>
  <c r="GU9" i="16"/>
  <c r="GT8" i="16"/>
  <c r="GU8" i="16"/>
  <c r="GT7" i="16"/>
  <c r="GU7" i="16"/>
  <c r="GT6" i="16"/>
  <c r="GU6" i="16"/>
  <c r="GT5" i="16"/>
  <c r="GU5" i="16"/>
  <c r="GT4" i="16"/>
  <c r="GU4" i="16"/>
  <c r="GT3" i="16"/>
  <c r="GU3" i="16"/>
  <c r="GT2" i="16"/>
  <c r="GU2" i="16"/>
  <c r="GP53" i="16"/>
  <c r="GP52" i="16"/>
  <c r="GP51" i="16"/>
  <c r="GP50" i="16"/>
  <c r="GP49" i="16"/>
  <c r="GP48" i="16"/>
  <c r="GP47" i="16"/>
  <c r="GP46" i="16"/>
  <c r="GP45" i="16"/>
  <c r="GP44" i="16"/>
  <c r="GP43" i="16"/>
  <c r="GP42" i="16"/>
  <c r="GP41" i="16"/>
  <c r="GP40" i="16"/>
  <c r="GP39" i="16"/>
  <c r="GP37" i="16"/>
  <c r="GP36" i="16"/>
  <c r="GP35" i="16"/>
  <c r="GP34" i="16"/>
  <c r="GP33" i="16"/>
  <c r="GP32" i="16"/>
  <c r="GP31" i="16"/>
  <c r="GP30" i="16"/>
  <c r="GP29" i="16"/>
  <c r="GP27" i="16"/>
  <c r="GP26" i="16"/>
  <c r="GP25" i="16"/>
  <c r="GP24" i="16"/>
  <c r="GP23" i="16"/>
  <c r="GP22" i="16"/>
  <c r="GP21" i="16"/>
  <c r="GP20" i="16"/>
  <c r="GP19" i="16"/>
  <c r="GP17" i="16"/>
  <c r="GP16" i="16"/>
  <c r="GP15" i="16"/>
  <c r="GP14" i="16"/>
  <c r="GP13" i="16"/>
  <c r="GP12" i="16"/>
  <c r="GP11" i="16"/>
  <c r="GP10" i="16"/>
  <c r="GP9" i="16"/>
  <c r="GO8" i="16"/>
  <c r="GP8" i="16"/>
  <c r="GO7" i="16"/>
  <c r="GP7" i="16"/>
  <c r="GO6" i="16"/>
  <c r="GP6" i="16"/>
  <c r="GO5" i="16"/>
  <c r="GP5" i="16"/>
  <c r="GO4" i="16"/>
  <c r="GP4" i="16"/>
  <c r="GO3" i="16"/>
  <c r="GP3" i="16"/>
  <c r="GO2" i="16"/>
  <c r="GP2" i="16"/>
  <c r="GN53" i="16"/>
  <c r="GN52" i="16"/>
  <c r="GN51" i="16"/>
  <c r="GN50" i="16"/>
  <c r="GN49" i="16"/>
  <c r="GN48" i="16"/>
  <c r="GN47" i="16"/>
  <c r="GN46" i="16"/>
  <c r="GN45" i="16"/>
  <c r="GN44" i="16"/>
  <c r="GN43" i="16"/>
  <c r="GN42" i="16"/>
  <c r="GN41" i="16"/>
  <c r="GN40" i="16"/>
  <c r="GN39" i="16"/>
  <c r="GN37" i="16"/>
  <c r="GN36" i="16"/>
  <c r="GN35" i="16"/>
  <c r="GN34" i="16"/>
  <c r="GN33" i="16"/>
  <c r="GN32" i="16"/>
  <c r="GN31" i="16"/>
  <c r="GN30" i="16"/>
  <c r="GN29" i="16"/>
  <c r="GN27" i="16"/>
  <c r="GN26" i="16"/>
  <c r="GN25" i="16"/>
  <c r="GN24" i="16"/>
  <c r="GN23" i="16"/>
  <c r="GN22" i="16"/>
  <c r="GN21" i="16"/>
  <c r="GN20" i="16"/>
  <c r="GN19" i="16"/>
  <c r="GN17" i="16"/>
  <c r="GN16" i="16"/>
  <c r="GN15" i="16"/>
  <c r="GN14" i="16"/>
  <c r="GN13" i="16"/>
  <c r="GN12" i="16"/>
  <c r="GN11" i="16"/>
  <c r="GN10" i="16"/>
  <c r="GN9" i="16"/>
  <c r="GM8" i="16"/>
  <c r="GN8" i="16"/>
  <c r="GM7" i="16"/>
  <c r="GN7" i="16"/>
  <c r="GM6" i="16"/>
  <c r="GN6" i="16"/>
  <c r="GM5" i="16"/>
  <c r="GN5" i="16"/>
  <c r="GM4" i="16"/>
  <c r="GN4" i="16"/>
  <c r="GM3" i="16"/>
  <c r="GN3" i="16"/>
  <c r="GM2" i="16"/>
  <c r="GN2" i="16"/>
  <c r="GI50" i="16"/>
  <c r="GI48" i="16"/>
  <c r="GI47" i="16"/>
  <c r="GI46" i="16"/>
  <c r="GI45" i="16"/>
  <c r="GI44" i="16"/>
  <c r="GI43" i="16"/>
  <c r="GI42" i="16"/>
  <c r="GI41" i="16"/>
  <c r="GI40" i="16"/>
  <c r="GI39" i="16"/>
  <c r="GI37" i="16"/>
  <c r="GI36" i="16"/>
  <c r="GI35" i="16"/>
  <c r="GI34" i="16"/>
  <c r="GI33" i="16"/>
  <c r="GI32" i="16"/>
  <c r="GI31" i="16"/>
  <c r="GI30" i="16"/>
  <c r="GI29" i="16"/>
  <c r="GI27" i="16"/>
  <c r="GI26" i="16"/>
  <c r="GI25" i="16"/>
  <c r="GI24" i="16"/>
  <c r="GI23" i="16"/>
  <c r="GI22" i="16"/>
  <c r="GI21" i="16"/>
  <c r="GI20" i="16"/>
  <c r="GI19" i="16"/>
  <c r="GI17" i="16"/>
  <c r="GI16" i="16"/>
  <c r="GI15" i="16"/>
  <c r="GI14" i="16"/>
  <c r="GI13" i="16"/>
  <c r="GI12" i="16"/>
  <c r="GI11" i="16"/>
  <c r="GI10" i="16"/>
  <c r="GI9" i="16"/>
  <c r="GH8" i="16"/>
  <c r="GI8" i="16"/>
  <c r="GH7" i="16"/>
  <c r="GI7" i="16"/>
  <c r="GH6" i="16"/>
  <c r="GI6" i="16"/>
  <c r="GH5" i="16"/>
  <c r="GI5" i="16"/>
  <c r="GH4" i="16"/>
  <c r="GI4" i="16"/>
  <c r="GH3" i="16"/>
  <c r="GI3" i="16"/>
  <c r="GH2" i="16"/>
  <c r="GI2" i="16"/>
  <c r="GB53" i="16"/>
  <c r="GB52" i="16"/>
  <c r="GB51" i="16"/>
  <c r="GB50" i="16"/>
  <c r="GB49" i="16"/>
  <c r="GB48" i="16"/>
  <c r="GB47" i="16"/>
  <c r="GB46" i="16"/>
  <c r="GB45" i="16"/>
  <c r="GB44" i="16"/>
  <c r="GB43" i="16"/>
  <c r="GB42" i="16"/>
  <c r="GB41" i="16"/>
  <c r="GB40" i="16"/>
  <c r="GB39" i="16"/>
  <c r="GB37" i="16"/>
  <c r="GB36" i="16"/>
  <c r="GB35" i="16"/>
  <c r="GB34" i="16"/>
  <c r="GB33" i="16"/>
  <c r="GB32" i="16"/>
  <c r="GB31" i="16"/>
  <c r="GB30" i="16"/>
  <c r="GB29" i="16"/>
  <c r="GB27" i="16"/>
  <c r="GB26" i="16"/>
  <c r="GB25" i="16"/>
  <c r="GB24" i="16"/>
  <c r="GB23" i="16"/>
  <c r="GB22" i="16"/>
  <c r="GB21" i="16"/>
  <c r="GB20" i="16"/>
  <c r="GB19" i="16"/>
  <c r="GB17" i="16"/>
  <c r="GB16" i="16"/>
  <c r="GB15" i="16"/>
  <c r="GB14" i="16"/>
  <c r="GB13" i="16"/>
  <c r="GB12" i="16"/>
  <c r="GB11" i="16"/>
  <c r="GB10" i="16"/>
  <c r="GB9" i="16"/>
  <c r="GA8" i="16"/>
  <c r="GB8" i="16"/>
  <c r="GA7" i="16"/>
  <c r="GB7" i="16"/>
  <c r="GA6" i="16"/>
  <c r="GB6" i="16"/>
  <c r="GA5" i="16"/>
  <c r="GB5" i="16"/>
  <c r="GA4" i="16"/>
  <c r="GB4" i="16"/>
  <c r="GA3" i="16"/>
  <c r="GB3" i="16"/>
  <c r="GA2" i="16"/>
  <c r="GB2" i="16"/>
  <c r="FP53" i="16"/>
  <c r="FQ53" i="16"/>
  <c r="FU53" i="16"/>
  <c r="FV53" i="16"/>
  <c r="FP52" i="16"/>
  <c r="FQ52" i="16"/>
  <c r="FU52" i="16"/>
  <c r="FV52" i="16"/>
  <c r="FP51" i="16"/>
  <c r="FQ51" i="16"/>
  <c r="FU51" i="16"/>
  <c r="FV51" i="16"/>
  <c r="FP50" i="16"/>
  <c r="FQ50" i="16"/>
  <c r="FU50" i="16"/>
  <c r="FV50" i="16"/>
  <c r="FP49" i="16"/>
  <c r="FQ49" i="16"/>
  <c r="FU49" i="16"/>
  <c r="FV49" i="16"/>
  <c r="FP48" i="16"/>
  <c r="FQ48" i="16"/>
  <c r="FU48" i="16"/>
  <c r="FV48" i="16"/>
  <c r="FP47" i="16"/>
  <c r="FQ47" i="16"/>
  <c r="FU47" i="16"/>
  <c r="FV47" i="16"/>
  <c r="FP46" i="16"/>
  <c r="FQ46" i="16"/>
  <c r="FU46" i="16"/>
  <c r="FV46" i="16"/>
  <c r="FU45" i="16"/>
  <c r="FV45" i="16"/>
  <c r="FU44" i="16"/>
  <c r="FV44" i="16"/>
  <c r="FU43" i="16"/>
  <c r="FV43" i="16"/>
  <c r="FU42" i="16"/>
  <c r="FV42" i="16"/>
  <c r="FU41" i="16"/>
  <c r="FV41" i="16"/>
  <c r="FU40" i="16"/>
  <c r="FV40" i="16"/>
  <c r="FP39" i="16"/>
  <c r="FQ39" i="16"/>
  <c r="FU39" i="16"/>
  <c r="FV39" i="16"/>
  <c r="FP37" i="16"/>
  <c r="FQ37" i="16"/>
  <c r="FU37" i="16"/>
  <c r="FV37" i="16"/>
  <c r="FP36" i="16"/>
  <c r="FQ36" i="16"/>
  <c r="FU36" i="16"/>
  <c r="FV36" i="16"/>
  <c r="FP35" i="16"/>
  <c r="FQ35" i="16"/>
  <c r="FU35" i="16"/>
  <c r="FV35" i="16"/>
  <c r="FP34" i="16"/>
  <c r="FQ34" i="16"/>
  <c r="FU34" i="16"/>
  <c r="FV34" i="16"/>
  <c r="FP33" i="16"/>
  <c r="FQ33" i="16"/>
  <c r="FU33" i="16"/>
  <c r="FV33" i="16"/>
  <c r="FP32" i="16"/>
  <c r="FQ32" i="16"/>
  <c r="FU32" i="16"/>
  <c r="FV32" i="16"/>
  <c r="FP31" i="16"/>
  <c r="FQ31" i="16"/>
  <c r="FU31" i="16"/>
  <c r="FV31" i="16"/>
  <c r="FP30" i="16"/>
  <c r="FQ30" i="16"/>
  <c r="FU30" i="16"/>
  <c r="FV30" i="16"/>
  <c r="FP29" i="16"/>
  <c r="FQ29" i="16"/>
  <c r="FU29" i="16"/>
  <c r="FV29" i="16"/>
  <c r="FP27" i="16"/>
  <c r="FQ27" i="16"/>
  <c r="FU27" i="16"/>
  <c r="FV27" i="16"/>
  <c r="FP26" i="16"/>
  <c r="FQ26" i="16"/>
  <c r="FU26" i="16"/>
  <c r="FV26" i="16"/>
  <c r="FP25" i="16"/>
  <c r="FQ25" i="16"/>
  <c r="FU25" i="16"/>
  <c r="FV25" i="16"/>
  <c r="FP24" i="16"/>
  <c r="FQ24" i="16"/>
  <c r="FU24" i="16"/>
  <c r="FV24" i="16"/>
  <c r="FP23" i="16"/>
  <c r="FQ23" i="16"/>
  <c r="FU23" i="16"/>
  <c r="FV23" i="16"/>
  <c r="FP22" i="16"/>
  <c r="FQ22" i="16"/>
  <c r="FU22" i="16"/>
  <c r="FV22" i="16"/>
  <c r="FP21" i="16"/>
  <c r="FQ21" i="16"/>
  <c r="FU21" i="16"/>
  <c r="FV21" i="16"/>
  <c r="FP20" i="16"/>
  <c r="FQ20" i="16"/>
  <c r="FU20" i="16"/>
  <c r="FV20" i="16"/>
  <c r="FP19" i="16"/>
  <c r="FQ19" i="16"/>
  <c r="FU19" i="16"/>
  <c r="FV19" i="16"/>
  <c r="FP17" i="16"/>
  <c r="FQ17" i="16"/>
  <c r="FU17" i="16"/>
  <c r="FV17" i="16"/>
  <c r="FP16" i="16"/>
  <c r="FQ16" i="16"/>
  <c r="FU16" i="16"/>
  <c r="FV16" i="16"/>
  <c r="FP15" i="16"/>
  <c r="FQ15" i="16"/>
  <c r="FU15" i="16"/>
  <c r="FV15" i="16"/>
  <c r="FP14" i="16"/>
  <c r="FQ14" i="16"/>
  <c r="FU14" i="16"/>
  <c r="FV14" i="16"/>
  <c r="FP13" i="16"/>
  <c r="FQ13" i="16"/>
  <c r="FU13" i="16"/>
  <c r="FV13" i="16"/>
  <c r="FP12" i="16"/>
  <c r="FQ12" i="16"/>
  <c r="FU12" i="16"/>
  <c r="FV12" i="16"/>
  <c r="FP11" i="16"/>
  <c r="FQ11" i="16"/>
  <c r="FU11" i="16"/>
  <c r="FV11" i="16"/>
  <c r="FP10" i="16"/>
  <c r="FQ10" i="16"/>
  <c r="FU10" i="16"/>
  <c r="FV10" i="16"/>
  <c r="FP9" i="16"/>
  <c r="FQ9" i="16"/>
  <c r="FU9" i="16"/>
  <c r="FV9" i="16"/>
  <c r="FP8" i="16"/>
  <c r="FQ8" i="16"/>
  <c r="FU8" i="16"/>
  <c r="FV8" i="16"/>
  <c r="FP7" i="16"/>
  <c r="FQ7" i="16"/>
  <c r="FU7" i="16"/>
  <c r="FV7" i="16"/>
  <c r="FP6" i="16"/>
  <c r="FQ6" i="16"/>
  <c r="FU6" i="16"/>
  <c r="FV6" i="16"/>
  <c r="FP5" i="16"/>
  <c r="FQ5" i="16"/>
  <c r="FU5" i="16"/>
  <c r="FV5" i="16"/>
  <c r="FP4" i="16"/>
  <c r="FQ4" i="16"/>
  <c r="FU4" i="16"/>
  <c r="FV4" i="16"/>
  <c r="FP3" i="16"/>
  <c r="FQ3" i="16"/>
  <c r="FU3" i="16"/>
  <c r="FV3" i="16"/>
  <c r="FP2" i="16"/>
  <c r="FQ2" i="16"/>
  <c r="FU2" i="16"/>
  <c r="FV2" i="16"/>
  <c r="EP53" i="16"/>
  <c r="EP52" i="16"/>
  <c r="EP51" i="16"/>
  <c r="EP50" i="16"/>
  <c r="EP49" i="16"/>
  <c r="EP48" i="16"/>
  <c r="EP47" i="16"/>
  <c r="EP46" i="16"/>
  <c r="EP45" i="16"/>
  <c r="EP44" i="16"/>
  <c r="EP43" i="16"/>
  <c r="EP42" i="16"/>
  <c r="EP41" i="16"/>
  <c r="EP40" i="16"/>
  <c r="EP39" i="16"/>
  <c r="EP37" i="16"/>
  <c r="EP36" i="16"/>
  <c r="EP35" i="16"/>
  <c r="EP34" i="16"/>
  <c r="EP33" i="16"/>
  <c r="EP32" i="16"/>
  <c r="EP31" i="16"/>
  <c r="EP30" i="16"/>
  <c r="EP29" i="16"/>
  <c r="EP27" i="16"/>
  <c r="EP26" i="16"/>
  <c r="EP25" i="16"/>
  <c r="EP24" i="16"/>
  <c r="EP23" i="16"/>
  <c r="EP22" i="16"/>
  <c r="EP21" i="16"/>
  <c r="EP20" i="16"/>
  <c r="EP19" i="16"/>
  <c r="EP17" i="16"/>
  <c r="EP16" i="16"/>
  <c r="EP15" i="16"/>
  <c r="EP14" i="16"/>
  <c r="EP13" i="16"/>
  <c r="EP12" i="16"/>
  <c r="EP11" i="16"/>
  <c r="EP10" i="16"/>
  <c r="EP9" i="16"/>
  <c r="EO8" i="16"/>
  <c r="EP8" i="16"/>
  <c r="EO7" i="16"/>
  <c r="EP7" i="16"/>
  <c r="EO6" i="16"/>
  <c r="EP6" i="16"/>
  <c r="EO5" i="16"/>
  <c r="EP5" i="16"/>
  <c r="EO4" i="16"/>
  <c r="EP4" i="16"/>
  <c r="EO3" i="16"/>
  <c r="EP3" i="16"/>
  <c r="EO2" i="16"/>
  <c r="EP2" i="16"/>
  <c r="EJ53" i="16"/>
  <c r="EJ52" i="16"/>
  <c r="EJ51" i="16"/>
  <c r="EJ50" i="16"/>
  <c r="EJ49" i="16"/>
  <c r="EJ48" i="16"/>
  <c r="EJ47" i="16"/>
  <c r="EJ46" i="16"/>
  <c r="EJ45" i="16"/>
  <c r="EJ44" i="16"/>
  <c r="EJ43" i="16"/>
  <c r="EJ42" i="16"/>
  <c r="EJ41" i="16"/>
  <c r="EJ40" i="16"/>
  <c r="EJ39" i="16"/>
  <c r="EJ37" i="16"/>
  <c r="EJ36" i="16"/>
  <c r="EJ35" i="16"/>
  <c r="EJ34" i="16"/>
  <c r="EJ33" i="16"/>
  <c r="EJ32" i="16"/>
  <c r="EJ31" i="16"/>
  <c r="EJ30" i="16"/>
  <c r="EJ29" i="16"/>
  <c r="EJ27" i="16"/>
  <c r="EJ26" i="16"/>
  <c r="EJ25" i="16"/>
  <c r="EJ24" i="16"/>
  <c r="EJ23" i="16"/>
  <c r="EJ22" i="16"/>
  <c r="EJ21" i="16"/>
  <c r="EJ20" i="16"/>
  <c r="EJ19" i="16"/>
  <c r="EJ17" i="16"/>
  <c r="EJ16" i="16"/>
  <c r="EJ15" i="16"/>
  <c r="EJ14" i="16"/>
  <c r="EJ13" i="16"/>
  <c r="EJ12" i="16"/>
  <c r="EJ11" i="16"/>
  <c r="EJ10" i="16"/>
  <c r="EJ9" i="16"/>
  <c r="EI8" i="16"/>
  <c r="EJ8" i="16"/>
  <c r="EI7" i="16"/>
  <c r="EJ7" i="16"/>
  <c r="EI6" i="16"/>
  <c r="EJ6" i="16"/>
  <c r="EI5" i="16"/>
  <c r="EJ5" i="16"/>
  <c r="EI4" i="16"/>
  <c r="EJ4" i="16"/>
  <c r="EI3" i="16"/>
  <c r="EJ3" i="16"/>
  <c r="EI2" i="16"/>
  <c r="EJ2" i="16"/>
  <c r="ED53" i="16"/>
  <c r="ED52" i="16"/>
  <c r="ED51" i="16"/>
  <c r="ED50" i="16"/>
  <c r="ED49" i="16"/>
  <c r="ED48" i="16"/>
  <c r="ED47" i="16"/>
  <c r="ED46" i="16"/>
  <c r="ED45" i="16"/>
  <c r="ED44" i="16"/>
  <c r="ED43" i="16"/>
  <c r="ED42" i="16"/>
  <c r="ED41" i="16"/>
  <c r="ED40" i="16"/>
  <c r="ED39" i="16"/>
  <c r="ED37" i="16"/>
  <c r="ED36" i="16"/>
  <c r="ED35" i="16"/>
  <c r="ED34" i="16"/>
  <c r="ED33" i="16"/>
  <c r="ED32" i="16"/>
  <c r="ED31" i="16"/>
  <c r="ED30" i="16"/>
  <c r="ED29" i="16"/>
  <c r="ED27" i="16"/>
  <c r="ED26" i="16"/>
  <c r="ED25" i="16"/>
  <c r="ED24" i="16"/>
  <c r="ED23" i="16"/>
  <c r="ED22" i="16"/>
  <c r="ED21" i="16"/>
  <c r="ED20" i="16"/>
  <c r="ED19" i="16"/>
  <c r="ED17" i="16"/>
  <c r="ED16" i="16"/>
  <c r="ED15" i="16"/>
  <c r="ED14" i="16"/>
  <c r="ED13" i="16"/>
  <c r="ED12" i="16"/>
  <c r="ED11" i="16"/>
  <c r="ED10" i="16"/>
  <c r="ED9" i="16"/>
  <c r="EC8" i="16"/>
  <c r="ED8" i="16"/>
  <c r="EC7" i="16"/>
  <c r="ED7" i="16"/>
  <c r="EC6" i="16"/>
  <c r="ED6" i="16"/>
  <c r="EC5" i="16"/>
  <c r="ED5" i="16"/>
  <c r="EC4" i="16"/>
  <c r="ED4" i="16"/>
  <c r="EC3" i="16"/>
  <c r="ED3" i="16"/>
  <c r="EC2" i="16"/>
  <c r="ED2" i="16"/>
  <c r="EB53" i="16"/>
  <c r="EB52" i="16"/>
  <c r="EB51" i="16"/>
  <c r="EB50" i="16"/>
  <c r="EB49" i="16"/>
  <c r="EB48" i="16"/>
  <c r="EB47" i="16"/>
  <c r="EB46" i="16"/>
  <c r="EB45" i="16"/>
  <c r="EB44" i="16"/>
  <c r="EB43" i="16"/>
  <c r="EB42" i="16"/>
  <c r="EB41" i="16"/>
  <c r="EB40" i="16"/>
  <c r="EB39" i="16"/>
  <c r="EB37" i="16"/>
  <c r="EB36" i="16"/>
  <c r="EB35" i="16"/>
  <c r="EB34" i="16"/>
  <c r="EB33" i="16"/>
  <c r="EB32" i="16"/>
  <c r="EB31" i="16"/>
  <c r="EB30" i="16"/>
  <c r="EB29" i="16"/>
  <c r="EB27" i="16"/>
  <c r="EB26" i="16"/>
  <c r="EB25" i="16"/>
  <c r="EB24" i="16"/>
  <c r="EB23" i="16"/>
  <c r="EB22" i="16"/>
  <c r="EB21" i="16"/>
  <c r="EB20" i="16"/>
  <c r="EB19" i="16"/>
  <c r="EB17" i="16"/>
  <c r="EB16" i="16"/>
  <c r="EB15" i="16"/>
  <c r="EB14" i="16"/>
  <c r="EB13" i="16"/>
  <c r="EB12" i="16"/>
  <c r="EB11" i="16"/>
  <c r="EB10" i="16"/>
  <c r="EB9" i="16"/>
  <c r="EA8" i="16"/>
  <c r="EB8" i="16"/>
  <c r="EA7" i="16"/>
  <c r="EB7" i="16"/>
  <c r="EA6" i="16"/>
  <c r="EB6" i="16"/>
  <c r="EA5" i="16"/>
  <c r="EB5" i="16"/>
  <c r="EA4" i="16"/>
  <c r="EB4" i="16"/>
  <c r="EA3" i="16"/>
  <c r="EB3" i="16"/>
  <c r="EA2" i="16"/>
  <c r="EB2" i="16"/>
  <c r="DW53" i="16"/>
  <c r="DW52" i="16"/>
  <c r="DW51" i="16"/>
  <c r="DW50" i="16"/>
  <c r="DW49" i="16"/>
  <c r="DW48" i="16"/>
  <c r="DW47" i="16"/>
  <c r="DW46" i="16"/>
  <c r="DW45" i="16"/>
  <c r="DW44" i="16"/>
  <c r="DW43" i="16"/>
  <c r="DW42" i="16"/>
  <c r="DW41" i="16"/>
  <c r="DW40" i="16"/>
  <c r="DW39" i="16"/>
  <c r="DW37" i="16"/>
  <c r="DW36" i="16"/>
  <c r="DW35" i="16"/>
  <c r="DW34" i="16"/>
  <c r="DW33" i="16"/>
  <c r="DW32" i="16"/>
  <c r="DW31" i="16"/>
  <c r="DW30" i="16"/>
  <c r="DW29" i="16"/>
  <c r="DW27" i="16"/>
  <c r="DW26" i="16"/>
  <c r="DW25" i="16"/>
  <c r="DW24" i="16"/>
  <c r="DW23" i="16"/>
  <c r="DW22" i="16"/>
  <c r="DW21" i="16"/>
  <c r="DW20" i="16"/>
  <c r="DW19" i="16"/>
  <c r="DW17" i="16"/>
  <c r="DW16" i="16"/>
  <c r="DW15" i="16"/>
  <c r="DW14" i="16"/>
  <c r="DW13" i="16"/>
  <c r="DW12" i="16"/>
  <c r="DW11" i="16"/>
  <c r="DW10" i="16"/>
  <c r="DW9" i="16"/>
  <c r="DV8" i="16"/>
  <c r="DW8" i="16"/>
  <c r="DV7" i="16"/>
  <c r="DW7" i="16"/>
  <c r="DV6" i="16"/>
  <c r="DW6" i="16"/>
  <c r="DV5" i="16"/>
  <c r="DW5" i="16"/>
  <c r="DV4" i="16"/>
  <c r="DW4" i="16"/>
  <c r="DV3" i="16"/>
  <c r="DW3" i="16"/>
  <c r="DV2" i="16"/>
  <c r="DW2" i="16"/>
  <c r="DU53" i="16"/>
  <c r="DU52" i="16"/>
  <c r="DU51" i="16"/>
  <c r="DU50" i="16"/>
  <c r="DU49" i="16"/>
  <c r="DU48" i="16"/>
  <c r="DU47" i="16"/>
  <c r="DU46" i="16"/>
  <c r="DU45" i="16"/>
  <c r="DU44" i="16"/>
  <c r="DU43" i="16"/>
  <c r="DU42" i="16"/>
  <c r="DU41" i="16"/>
  <c r="DU40" i="16"/>
  <c r="DU39" i="16"/>
  <c r="DU37" i="16"/>
  <c r="DU36" i="16"/>
  <c r="DU35" i="16"/>
  <c r="DU34" i="16"/>
  <c r="DU33" i="16"/>
  <c r="DU32" i="16"/>
  <c r="DU31" i="16"/>
  <c r="DU30" i="16"/>
  <c r="DU29" i="16"/>
  <c r="DU27" i="16"/>
  <c r="DU26" i="16"/>
  <c r="DU25" i="16"/>
  <c r="DU24" i="16"/>
  <c r="DU23" i="16"/>
  <c r="DU22" i="16"/>
  <c r="DU21" i="16"/>
  <c r="DU20" i="16"/>
  <c r="DU19" i="16"/>
  <c r="DU17" i="16"/>
  <c r="DU16" i="16"/>
  <c r="DU15" i="16"/>
  <c r="DU14" i="16"/>
  <c r="DU13" i="16"/>
  <c r="DU12" i="16"/>
  <c r="DU11" i="16"/>
  <c r="DU10" i="16"/>
  <c r="DU9" i="16"/>
  <c r="DT8" i="16"/>
  <c r="DU8" i="16"/>
  <c r="DT7" i="16"/>
  <c r="DU7" i="16"/>
  <c r="DT6" i="16"/>
  <c r="DU6" i="16"/>
  <c r="DT5" i="16"/>
  <c r="DU5" i="16"/>
  <c r="DT4" i="16"/>
  <c r="DU4" i="16"/>
  <c r="DT3" i="16"/>
  <c r="DU3" i="16"/>
  <c r="DT2" i="16"/>
  <c r="DU2" i="16"/>
  <c r="DD53" i="16"/>
  <c r="DD52" i="16"/>
  <c r="DD51" i="16"/>
  <c r="DD50" i="16"/>
  <c r="DD49" i="16"/>
  <c r="DD48" i="16"/>
  <c r="DD47" i="16"/>
  <c r="DD46" i="16"/>
  <c r="DD45" i="16"/>
  <c r="DD44" i="16"/>
  <c r="DD43" i="16"/>
  <c r="DD42" i="16"/>
  <c r="DD41" i="16"/>
  <c r="DD40" i="16"/>
  <c r="DD39" i="16"/>
  <c r="DD37" i="16"/>
  <c r="DD36" i="16"/>
  <c r="DD35" i="16"/>
  <c r="DD34" i="16"/>
  <c r="DD33" i="16"/>
  <c r="DD32" i="16"/>
  <c r="DD31" i="16"/>
  <c r="DD30" i="16"/>
  <c r="DD29" i="16"/>
  <c r="DD27" i="16"/>
  <c r="DD26" i="16"/>
  <c r="DD25" i="16"/>
  <c r="DD24" i="16"/>
  <c r="DD23" i="16"/>
  <c r="DD22" i="16"/>
  <c r="DD21" i="16"/>
  <c r="DD20" i="16"/>
  <c r="DD19" i="16"/>
  <c r="DD17" i="16"/>
  <c r="DD16" i="16"/>
  <c r="DD15" i="16"/>
  <c r="DD14" i="16"/>
  <c r="DD13" i="16"/>
  <c r="DD12" i="16"/>
  <c r="DD11" i="16"/>
  <c r="DD10" i="16"/>
  <c r="DD9" i="16"/>
  <c r="DC8" i="16"/>
  <c r="DD8" i="16"/>
  <c r="DC7" i="16"/>
  <c r="DD7" i="16"/>
  <c r="DC6" i="16"/>
  <c r="DD6" i="16"/>
  <c r="DC5" i="16"/>
  <c r="DD5" i="16"/>
  <c r="DC4" i="16"/>
  <c r="DD4" i="16"/>
  <c r="DC3" i="16"/>
  <c r="DD3" i="16"/>
  <c r="DC2" i="16"/>
  <c r="DD2" i="16"/>
  <c r="CR53" i="16"/>
  <c r="CR52" i="16"/>
  <c r="CR51" i="16"/>
  <c r="CR50" i="16"/>
  <c r="CR49" i="16"/>
  <c r="CR48" i="16"/>
  <c r="CR47" i="16"/>
  <c r="CR46" i="16"/>
  <c r="CR45" i="16"/>
  <c r="CR44" i="16"/>
  <c r="CR43" i="16"/>
  <c r="CR42" i="16"/>
  <c r="CR41" i="16"/>
  <c r="CR40" i="16"/>
  <c r="CR39" i="16"/>
  <c r="CR37" i="16"/>
  <c r="CR36" i="16"/>
  <c r="CR35" i="16"/>
  <c r="CR34" i="16"/>
  <c r="CR33" i="16"/>
  <c r="CR32" i="16"/>
  <c r="CR31" i="16"/>
  <c r="CR30" i="16"/>
  <c r="CR29" i="16"/>
  <c r="CR27" i="16"/>
  <c r="CR26" i="16"/>
  <c r="CR25" i="16"/>
  <c r="CR24" i="16"/>
  <c r="CR23" i="16"/>
  <c r="CR22" i="16"/>
  <c r="CR21" i="16"/>
  <c r="CR20" i="16"/>
  <c r="CR19" i="16"/>
  <c r="CR17" i="16"/>
  <c r="CR16" i="16"/>
  <c r="CR15" i="16"/>
  <c r="CR14" i="16"/>
  <c r="CR13" i="16"/>
  <c r="CR12" i="16"/>
  <c r="CR11" i="16"/>
  <c r="CR10" i="16"/>
  <c r="CR9" i="16"/>
  <c r="CQ8" i="16"/>
  <c r="CR8" i="16"/>
  <c r="CQ7" i="16"/>
  <c r="CR7" i="16"/>
  <c r="CQ6" i="16"/>
  <c r="CR6" i="16"/>
  <c r="CQ5" i="16"/>
  <c r="CR5" i="16"/>
  <c r="CQ4" i="16"/>
  <c r="CR4" i="16"/>
  <c r="CQ3" i="16"/>
  <c r="CR3" i="16"/>
  <c r="CQ2" i="16"/>
  <c r="CR2" i="16"/>
  <c r="CL53" i="16"/>
  <c r="CL52" i="16"/>
  <c r="CL51" i="16"/>
  <c r="CL50" i="16"/>
  <c r="CL49" i="16"/>
  <c r="CL48" i="16"/>
  <c r="CL47" i="16"/>
  <c r="CL46" i="16"/>
  <c r="CL45" i="16"/>
  <c r="CL44" i="16"/>
  <c r="CL43" i="16"/>
  <c r="CL42" i="16"/>
  <c r="CL41" i="16"/>
  <c r="CL40" i="16"/>
  <c r="CL39" i="16"/>
  <c r="CL37" i="16"/>
  <c r="CL36" i="16"/>
  <c r="CL35" i="16"/>
  <c r="CL34" i="16"/>
  <c r="CL33" i="16"/>
  <c r="CL32" i="16"/>
  <c r="CL31" i="16"/>
  <c r="CL30" i="16"/>
  <c r="CL29" i="16"/>
  <c r="CL27" i="16"/>
  <c r="CL26" i="16"/>
  <c r="CL25" i="16"/>
  <c r="CL24" i="16"/>
  <c r="CL23" i="16"/>
  <c r="CL22" i="16"/>
  <c r="CL21" i="16"/>
  <c r="CL20" i="16"/>
  <c r="CL19" i="16"/>
  <c r="CL17" i="16"/>
  <c r="CL16" i="16"/>
  <c r="CL15" i="16"/>
  <c r="CL14" i="16"/>
  <c r="CL13" i="16"/>
  <c r="CL12" i="16"/>
  <c r="CL11" i="16"/>
  <c r="CL10" i="16"/>
  <c r="CL9" i="16"/>
  <c r="CK8" i="16"/>
  <c r="CL8" i="16"/>
  <c r="CK7" i="16"/>
  <c r="CL7" i="16"/>
  <c r="CK6" i="16"/>
  <c r="CL6" i="16"/>
  <c r="CK5" i="16"/>
  <c r="CL5" i="16"/>
  <c r="CK4" i="16"/>
  <c r="CL4" i="16"/>
  <c r="CK3" i="16"/>
  <c r="CL3" i="16"/>
  <c r="CK2" i="16"/>
  <c r="CL2" i="16"/>
  <c r="CF53" i="16"/>
  <c r="CF52" i="16"/>
  <c r="CF51" i="16"/>
  <c r="CF50" i="16"/>
  <c r="CF49" i="16"/>
  <c r="CF48" i="16"/>
  <c r="CF47" i="16"/>
  <c r="CF46" i="16"/>
  <c r="CF45" i="16"/>
  <c r="CF44" i="16"/>
  <c r="CF43" i="16"/>
  <c r="CF42" i="16"/>
  <c r="CF41" i="16"/>
  <c r="CF40" i="16"/>
  <c r="CF39" i="16"/>
  <c r="CF37" i="16"/>
  <c r="CF36" i="16"/>
  <c r="CF35" i="16"/>
  <c r="CF34" i="16"/>
  <c r="CF33" i="16"/>
  <c r="CF32" i="16"/>
  <c r="CF31" i="16"/>
  <c r="CF30" i="16"/>
  <c r="CF29" i="16"/>
  <c r="CF27" i="16"/>
  <c r="CF26" i="16"/>
  <c r="CF25" i="16"/>
  <c r="CF24" i="16"/>
  <c r="CF23" i="16"/>
  <c r="CF22" i="16"/>
  <c r="CF21" i="16"/>
  <c r="CF20" i="16"/>
  <c r="CF19" i="16"/>
  <c r="CF17" i="16"/>
  <c r="CF16" i="16"/>
  <c r="CF15" i="16"/>
  <c r="CF14" i="16"/>
  <c r="CF13" i="16"/>
  <c r="CF12" i="16"/>
  <c r="CF11" i="16"/>
  <c r="CF10" i="16"/>
  <c r="CF9" i="16"/>
  <c r="CE8" i="16"/>
  <c r="CF8" i="16"/>
  <c r="CE7" i="16"/>
  <c r="CF7" i="16"/>
  <c r="CE6" i="16"/>
  <c r="CF6" i="16"/>
  <c r="CE5" i="16"/>
  <c r="CF5" i="16"/>
  <c r="CE4" i="16"/>
  <c r="CF4" i="16"/>
  <c r="CE3" i="16"/>
  <c r="CF3" i="16"/>
  <c r="CE2" i="16"/>
  <c r="CF2" i="16"/>
  <c r="BZ53" i="16"/>
  <c r="BZ52" i="16"/>
  <c r="BZ51" i="16"/>
  <c r="BZ50" i="16"/>
  <c r="BZ49" i="16"/>
  <c r="BZ48" i="16"/>
  <c r="BZ47" i="16"/>
  <c r="BZ46" i="16"/>
  <c r="BZ45" i="16"/>
  <c r="BZ44" i="16"/>
  <c r="BZ43" i="16"/>
  <c r="BZ42" i="16"/>
  <c r="BZ41" i="16"/>
  <c r="BZ40" i="16"/>
  <c r="BZ39" i="16"/>
  <c r="BZ37" i="16"/>
  <c r="BZ36" i="16"/>
  <c r="BZ35" i="16"/>
  <c r="BZ34" i="16"/>
  <c r="BZ33" i="16"/>
  <c r="BZ32" i="16"/>
  <c r="BZ31" i="16"/>
  <c r="BZ30" i="16"/>
  <c r="BZ29" i="16"/>
  <c r="BZ27" i="16"/>
  <c r="BZ26" i="16"/>
  <c r="BZ25" i="16"/>
  <c r="BZ24" i="16"/>
  <c r="BZ23" i="16"/>
  <c r="BZ22" i="16"/>
  <c r="BZ21" i="16"/>
  <c r="BZ20" i="16"/>
  <c r="BZ19" i="16"/>
  <c r="BZ17" i="16"/>
  <c r="BZ16" i="16"/>
  <c r="BZ15" i="16"/>
  <c r="BZ14" i="16"/>
  <c r="BZ13" i="16"/>
  <c r="BZ12" i="16"/>
  <c r="BZ11" i="16"/>
  <c r="BZ10" i="16"/>
  <c r="BZ9" i="16"/>
  <c r="BY8" i="16"/>
  <c r="BZ8" i="16"/>
  <c r="BY7" i="16"/>
  <c r="BZ7" i="16"/>
  <c r="BY6" i="16"/>
  <c r="BZ6" i="16"/>
  <c r="BY5" i="16"/>
  <c r="BZ5" i="16"/>
  <c r="BY4" i="16"/>
  <c r="BZ4" i="16"/>
  <c r="BY3" i="16"/>
  <c r="BZ3" i="16"/>
  <c r="BY2" i="16"/>
  <c r="BZ2" i="16"/>
  <c r="BT53" i="16"/>
  <c r="BT52" i="16"/>
  <c r="BT51" i="16"/>
  <c r="BT50" i="16"/>
  <c r="BT49" i="16"/>
  <c r="BT48" i="16"/>
  <c r="BT47" i="16"/>
  <c r="BT46" i="16"/>
  <c r="BT45" i="16"/>
  <c r="BT44" i="16"/>
  <c r="BT43" i="16"/>
  <c r="BT42" i="16"/>
  <c r="BT41" i="16"/>
  <c r="BT40" i="16"/>
  <c r="BT39" i="16"/>
  <c r="BT37" i="16"/>
  <c r="BT36" i="16"/>
  <c r="BT35" i="16"/>
  <c r="BT34" i="16"/>
  <c r="BT33" i="16"/>
  <c r="BT32" i="16"/>
  <c r="BT31" i="16"/>
  <c r="BT30" i="16"/>
  <c r="BT29" i="16"/>
  <c r="BT27" i="16"/>
  <c r="BT26" i="16"/>
  <c r="BT25" i="16"/>
  <c r="BT24" i="16"/>
  <c r="BT23" i="16"/>
  <c r="BT22" i="16"/>
  <c r="BT21" i="16"/>
  <c r="BT20" i="16"/>
  <c r="BT19" i="16"/>
  <c r="BT17" i="16"/>
  <c r="BT16" i="16"/>
  <c r="BT15" i="16"/>
  <c r="BT14" i="16"/>
  <c r="BT13" i="16"/>
  <c r="BT12" i="16"/>
  <c r="BT11" i="16"/>
  <c r="BT10" i="16"/>
  <c r="BT9" i="16"/>
  <c r="BS8" i="16"/>
  <c r="BT8" i="16"/>
  <c r="BS7" i="16"/>
  <c r="BT7" i="16"/>
  <c r="BS6" i="16"/>
  <c r="BT6" i="16"/>
  <c r="BS5" i="16"/>
  <c r="BT5" i="16"/>
  <c r="BS4" i="16"/>
  <c r="BT4" i="16"/>
  <c r="BS3" i="16"/>
  <c r="BT3" i="16"/>
  <c r="BS2" i="16"/>
  <c r="BT2" i="16"/>
  <c r="BN53" i="16"/>
  <c r="BN52" i="16"/>
  <c r="BN51" i="16"/>
  <c r="BN50" i="16"/>
  <c r="BN49" i="16"/>
  <c r="BN48" i="16"/>
  <c r="BN47" i="16"/>
  <c r="BN46" i="16"/>
  <c r="BN45" i="16"/>
  <c r="BN44" i="16"/>
  <c r="BN43" i="16"/>
  <c r="BN42" i="16"/>
  <c r="BN41" i="16"/>
  <c r="BN40" i="16"/>
  <c r="BN39" i="16"/>
  <c r="BN37" i="16"/>
  <c r="BN36" i="16"/>
  <c r="BN35" i="16"/>
  <c r="BN34" i="16"/>
  <c r="BN33" i="16"/>
  <c r="BN32" i="16"/>
  <c r="BN31" i="16"/>
  <c r="BN30" i="16"/>
  <c r="BN29" i="16"/>
  <c r="BN27" i="16"/>
  <c r="BN26" i="16"/>
  <c r="BN25" i="16"/>
  <c r="BN24" i="16"/>
  <c r="BN23" i="16"/>
  <c r="BN22" i="16"/>
  <c r="BN21" i="16"/>
  <c r="BN20" i="16"/>
  <c r="BN19" i="16"/>
  <c r="BN17" i="16"/>
  <c r="BN16" i="16"/>
  <c r="BN15" i="16"/>
  <c r="BN14" i="16"/>
  <c r="BN13" i="16"/>
  <c r="BN12" i="16"/>
  <c r="BN11" i="16"/>
  <c r="BN10" i="16"/>
  <c r="BN9" i="16"/>
  <c r="BM8" i="16"/>
  <c r="BN8" i="16"/>
  <c r="BM7" i="16"/>
  <c r="BN7" i="16"/>
  <c r="BM6" i="16"/>
  <c r="BN6" i="16"/>
  <c r="BM5" i="16"/>
  <c r="BN5" i="16"/>
  <c r="BM4" i="16"/>
  <c r="BN4" i="16"/>
  <c r="BM3" i="16"/>
  <c r="BN3" i="16"/>
  <c r="BM2" i="16"/>
  <c r="BN2" i="16"/>
  <c r="BL53" i="16"/>
  <c r="BL52" i="16"/>
  <c r="BL51" i="16"/>
  <c r="BL50" i="16"/>
  <c r="BL49" i="16"/>
  <c r="BL48" i="16"/>
  <c r="BL47" i="16"/>
  <c r="BL46" i="16"/>
  <c r="BL45" i="16"/>
  <c r="BL44" i="16"/>
  <c r="BL43" i="16"/>
  <c r="BL42" i="16"/>
  <c r="BL41" i="16"/>
  <c r="BL40" i="16"/>
  <c r="BL39" i="16"/>
  <c r="BL37" i="16"/>
  <c r="BL36" i="16"/>
  <c r="BL35" i="16"/>
  <c r="BL34" i="16"/>
  <c r="BL33" i="16"/>
  <c r="BL32" i="16"/>
  <c r="BL31" i="16"/>
  <c r="BL30" i="16"/>
  <c r="BL29" i="16"/>
  <c r="BL27" i="16"/>
  <c r="BL26" i="16"/>
  <c r="BL25" i="16"/>
  <c r="BL24" i="16"/>
  <c r="BL23" i="16"/>
  <c r="BL22" i="16"/>
  <c r="BL21" i="16"/>
  <c r="BL20" i="16"/>
  <c r="BL19" i="16"/>
  <c r="BL17" i="16"/>
  <c r="BL16" i="16"/>
  <c r="BL15" i="16"/>
  <c r="BL14" i="16"/>
  <c r="BL13" i="16"/>
  <c r="BL12" i="16"/>
  <c r="BL11" i="16"/>
  <c r="BL10" i="16"/>
  <c r="BL9" i="16"/>
  <c r="BK8" i="16"/>
  <c r="BL8" i="16"/>
  <c r="BK7" i="16"/>
  <c r="BL7" i="16"/>
  <c r="BK6" i="16"/>
  <c r="BL6" i="16"/>
  <c r="BK5" i="16"/>
  <c r="BL5" i="16"/>
  <c r="BK4" i="16"/>
  <c r="BL4" i="16"/>
  <c r="BK3" i="16"/>
  <c r="BL3" i="16"/>
  <c r="BK2" i="16"/>
  <c r="BL2" i="16"/>
  <c r="BG53" i="16"/>
  <c r="BG52" i="16"/>
  <c r="BG51" i="16"/>
  <c r="BG50" i="16"/>
  <c r="BG49" i="16"/>
  <c r="BG48" i="16"/>
  <c r="BG47" i="16"/>
  <c r="BG46" i="16"/>
  <c r="BG45" i="16"/>
  <c r="BG44" i="16"/>
  <c r="BG43" i="16"/>
  <c r="BG42" i="16"/>
  <c r="BG41" i="16"/>
  <c r="BG40" i="16"/>
  <c r="BG39" i="16"/>
  <c r="BG37" i="16"/>
  <c r="BG36" i="16"/>
  <c r="BG35" i="16"/>
  <c r="BG34" i="16"/>
  <c r="BG33" i="16"/>
  <c r="BG32" i="16"/>
  <c r="BG31" i="16"/>
  <c r="BG30" i="16"/>
  <c r="BG29" i="16"/>
  <c r="BG27" i="16"/>
  <c r="BG26" i="16"/>
  <c r="BG25" i="16"/>
  <c r="BG24" i="16"/>
  <c r="BG23" i="16"/>
  <c r="BG22" i="16"/>
  <c r="BG21" i="16"/>
  <c r="BG20" i="16"/>
  <c r="BG19" i="16"/>
  <c r="BG17" i="16"/>
  <c r="BG16" i="16"/>
  <c r="BG15" i="16"/>
  <c r="BG14" i="16"/>
  <c r="BG13" i="16"/>
  <c r="BG12" i="16"/>
  <c r="BG11" i="16"/>
  <c r="BG10" i="16"/>
  <c r="BG9" i="16"/>
  <c r="BF8" i="16"/>
  <c r="BG8" i="16"/>
  <c r="BF7" i="16"/>
  <c r="BG7" i="16"/>
  <c r="BF6" i="16"/>
  <c r="BG6" i="16"/>
  <c r="BF5" i="16"/>
  <c r="BG5" i="16"/>
  <c r="BF4" i="16"/>
  <c r="BG4" i="16"/>
  <c r="BF3" i="16"/>
  <c r="BG3" i="16"/>
  <c r="BF2" i="16"/>
  <c r="BG2" i="16"/>
  <c r="BE53" i="16"/>
  <c r="BE52" i="16"/>
  <c r="BE51" i="16"/>
  <c r="BE50" i="16"/>
  <c r="BE49" i="16"/>
  <c r="BE48" i="16"/>
  <c r="BE47" i="16"/>
  <c r="BE46" i="16"/>
  <c r="BE45" i="16"/>
  <c r="BE44" i="16"/>
  <c r="BE43" i="16"/>
  <c r="BE42" i="16"/>
  <c r="BE41" i="16"/>
  <c r="BE40" i="16"/>
  <c r="BE39" i="16"/>
  <c r="BE37" i="16"/>
  <c r="BE36" i="16"/>
  <c r="BE35" i="16"/>
  <c r="BE34" i="16"/>
  <c r="BE33" i="16"/>
  <c r="BE32" i="16"/>
  <c r="BE31" i="16"/>
  <c r="BE30" i="16"/>
  <c r="BE29" i="16"/>
  <c r="BE27" i="16"/>
  <c r="BE26" i="16"/>
  <c r="BE25" i="16"/>
  <c r="BE24" i="16"/>
  <c r="BE23" i="16"/>
  <c r="BE22" i="16"/>
  <c r="BE21" i="16"/>
  <c r="BE20" i="16"/>
  <c r="BE19" i="16"/>
  <c r="BE17" i="16"/>
  <c r="BE16" i="16"/>
  <c r="BE15" i="16"/>
  <c r="BE14" i="16"/>
  <c r="BE13" i="16"/>
  <c r="BE12" i="16"/>
  <c r="BE11" i="16"/>
  <c r="BE10" i="16"/>
  <c r="BE9" i="16"/>
  <c r="BD8" i="16"/>
  <c r="BE8" i="16"/>
  <c r="BD7" i="16"/>
  <c r="BE7" i="16"/>
  <c r="BD6" i="16"/>
  <c r="BE6" i="16"/>
  <c r="BD5" i="16"/>
  <c r="BE5" i="16"/>
  <c r="BD4" i="16"/>
  <c r="BE4" i="16"/>
  <c r="BD3" i="16"/>
  <c r="BE3" i="16"/>
  <c r="BD2" i="16"/>
  <c r="BE2" i="16"/>
  <c r="FM53" i="16"/>
  <c r="FM52" i="16"/>
  <c r="FM51" i="16"/>
  <c r="FM50" i="16"/>
  <c r="FM49" i="16"/>
  <c r="FM48" i="16"/>
  <c r="FM47" i="16"/>
  <c r="FM46" i="16"/>
  <c r="FM45" i="16"/>
  <c r="FM44" i="16"/>
  <c r="FM43" i="16"/>
  <c r="FM42" i="16"/>
  <c r="FM41" i="16"/>
  <c r="FM40" i="16"/>
  <c r="FM39" i="16"/>
  <c r="FM37" i="16"/>
  <c r="FM36" i="16"/>
  <c r="FM35" i="16"/>
  <c r="FM34" i="16"/>
  <c r="FM33" i="16"/>
  <c r="FM32" i="16"/>
  <c r="FM31" i="16"/>
  <c r="FM30" i="16"/>
  <c r="FM29" i="16"/>
  <c r="FM27" i="16"/>
  <c r="FM26" i="16"/>
  <c r="FM25" i="16"/>
  <c r="FM24" i="16"/>
  <c r="FM23" i="16"/>
  <c r="FM22" i="16"/>
  <c r="FM21" i="16"/>
  <c r="FM20" i="16"/>
  <c r="FM19" i="16"/>
  <c r="FM17" i="16"/>
  <c r="FM16" i="16"/>
  <c r="FM15" i="16"/>
  <c r="FM14" i="16"/>
  <c r="FM13" i="16"/>
  <c r="FM12" i="16"/>
  <c r="FM11" i="16"/>
  <c r="FM10" i="16"/>
  <c r="FM9" i="16"/>
  <c r="FL8" i="16"/>
  <c r="FM8" i="16"/>
  <c r="FL7" i="16"/>
  <c r="FM7" i="16"/>
  <c r="FL6" i="16"/>
  <c r="FM6" i="16"/>
  <c r="FL5" i="16"/>
  <c r="FM5" i="16"/>
  <c r="FL4" i="16"/>
  <c r="FM4" i="16"/>
  <c r="FL3" i="16"/>
  <c r="FM3" i="16"/>
  <c r="FL2" i="16"/>
  <c r="FM2" i="16"/>
  <c r="FG53" i="16"/>
  <c r="FG52" i="16"/>
  <c r="FG51" i="16"/>
  <c r="FG50" i="16"/>
  <c r="FG49" i="16"/>
  <c r="FG48" i="16"/>
  <c r="FG47" i="16"/>
  <c r="FG46" i="16"/>
  <c r="FG45" i="16"/>
  <c r="FG44" i="16"/>
  <c r="FG43" i="16"/>
  <c r="FG42" i="16"/>
  <c r="FG41" i="16"/>
  <c r="FG40" i="16"/>
  <c r="FG39" i="16"/>
  <c r="FG37" i="16"/>
  <c r="FG36" i="16"/>
  <c r="FG35" i="16"/>
  <c r="FG34" i="16"/>
  <c r="FG33" i="16"/>
  <c r="FG32" i="16"/>
  <c r="FG31" i="16"/>
  <c r="FG30" i="16"/>
  <c r="FG29" i="16"/>
  <c r="FG27" i="16"/>
  <c r="FG26" i="16"/>
  <c r="FG25" i="16"/>
  <c r="FG24" i="16"/>
  <c r="FG23" i="16"/>
  <c r="FG22" i="16"/>
  <c r="FG21" i="16"/>
  <c r="FG20" i="16"/>
  <c r="FG19" i="16"/>
  <c r="FG17" i="16"/>
  <c r="FG16" i="16"/>
  <c r="FG15" i="16"/>
  <c r="FG14" i="16"/>
  <c r="FG13" i="16"/>
  <c r="FG12" i="16"/>
  <c r="FG11" i="16"/>
  <c r="FG10" i="16"/>
  <c r="FG9" i="16"/>
  <c r="FF8" i="16"/>
  <c r="FG8" i="16"/>
  <c r="FF7" i="16"/>
  <c r="FG7" i="16"/>
  <c r="FF6" i="16"/>
  <c r="FG6" i="16"/>
  <c r="FF5" i="16"/>
  <c r="FG5" i="16"/>
  <c r="FF4" i="16"/>
  <c r="FG4" i="16"/>
  <c r="FF3" i="16"/>
  <c r="FG3" i="16"/>
  <c r="FF2" i="16"/>
  <c r="FG2" i="16"/>
  <c r="FA53" i="16"/>
  <c r="FA52" i="16"/>
  <c r="FA51" i="16"/>
  <c r="FA50" i="16"/>
  <c r="FA49" i="16"/>
  <c r="FA48" i="16"/>
  <c r="FA47" i="16"/>
  <c r="FA46" i="16"/>
  <c r="FA45" i="16"/>
  <c r="FA44" i="16"/>
  <c r="FA43" i="16"/>
  <c r="FA42" i="16"/>
  <c r="FA41" i="16"/>
  <c r="FA40" i="16"/>
  <c r="FA39" i="16"/>
  <c r="FA37" i="16"/>
  <c r="FA36" i="16"/>
  <c r="FA35" i="16"/>
  <c r="FA34" i="16"/>
  <c r="FA33" i="16"/>
  <c r="FA32" i="16"/>
  <c r="FA31" i="16"/>
  <c r="FA30" i="16"/>
  <c r="FA29" i="16"/>
  <c r="FA27" i="16"/>
  <c r="FA26" i="16"/>
  <c r="FA25" i="16"/>
  <c r="FA24" i="16"/>
  <c r="FA23" i="16"/>
  <c r="FA22" i="16"/>
  <c r="FA21" i="16"/>
  <c r="FA20" i="16"/>
  <c r="FA19" i="16"/>
  <c r="FA17" i="16"/>
  <c r="FA16" i="16"/>
  <c r="FA15" i="16"/>
  <c r="FA14" i="16"/>
  <c r="FA13" i="16"/>
  <c r="FA12" i="16"/>
  <c r="FA11" i="16"/>
  <c r="FA10" i="16"/>
  <c r="FA9" i="16"/>
  <c r="EZ8" i="16"/>
  <c r="FA8" i="16"/>
  <c r="EZ7" i="16"/>
  <c r="FA7" i="16"/>
  <c r="EZ6" i="16"/>
  <c r="FA6" i="16"/>
  <c r="EZ5" i="16"/>
  <c r="FA5" i="16"/>
  <c r="EZ4" i="16"/>
  <c r="FA4" i="16"/>
  <c r="EZ3" i="16"/>
  <c r="FA3" i="16"/>
  <c r="EZ2" i="16"/>
  <c r="FA2" i="16"/>
  <c r="ET8" i="16"/>
  <c r="ET7" i="16"/>
  <c r="ET6" i="16"/>
  <c r="ET5" i="16"/>
  <c r="ET4" i="16"/>
  <c r="ET3" i="16"/>
  <c r="ET2" i="16"/>
  <c r="FO53" i="16"/>
  <c r="FS53" i="16"/>
  <c r="FT53" i="16"/>
  <c r="FO52" i="16"/>
  <c r="FS52" i="16"/>
  <c r="FT52" i="16"/>
  <c r="FO51" i="16"/>
  <c r="FS51" i="16"/>
  <c r="FT51" i="16"/>
  <c r="FO50" i="16"/>
  <c r="FS50" i="16"/>
  <c r="FT50" i="16"/>
  <c r="FO49" i="16"/>
  <c r="FS49" i="16"/>
  <c r="FT49" i="16"/>
  <c r="FO48" i="16"/>
  <c r="FS48" i="16"/>
  <c r="FT48" i="16"/>
  <c r="FO47" i="16"/>
  <c r="FS47" i="16"/>
  <c r="FT47" i="16"/>
  <c r="FO46" i="16"/>
  <c r="FS46" i="16"/>
  <c r="FT46" i="16"/>
  <c r="FS45" i="16"/>
  <c r="FT45" i="16"/>
  <c r="FS44" i="16"/>
  <c r="FT44" i="16"/>
  <c r="FS43" i="16"/>
  <c r="FT43" i="16"/>
  <c r="FS42" i="16"/>
  <c r="FT42" i="16"/>
  <c r="FS41" i="16"/>
  <c r="FT41" i="16"/>
  <c r="FS40" i="16"/>
  <c r="FT40" i="16"/>
  <c r="FO39" i="16"/>
  <c r="FS39" i="16"/>
  <c r="FT39" i="16"/>
  <c r="FO37" i="16"/>
  <c r="FS37" i="16"/>
  <c r="FT37" i="16"/>
  <c r="FO36" i="16"/>
  <c r="FS36" i="16"/>
  <c r="FT36" i="16"/>
  <c r="FO35" i="16"/>
  <c r="FS35" i="16"/>
  <c r="FT35" i="16"/>
  <c r="FO34" i="16"/>
  <c r="FS34" i="16"/>
  <c r="FT34" i="16"/>
  <c r="FO33" i="16"/>
  <c r="FS33" i="16"/>
  <c r="FT33" i="16"/>
  <c r="FO32" i="16"/>
  <c r="FS32" i="16"/>
  <c r="FT32" i="16"/>
  <c r="FO31" i="16"/>
  <c r="FS31" i="16"/>
  <c r="FT31" i="16"/>
  <c r="FO30" i="16"/>
  <c r="FS30" i="16"/>
  <c r="FT30" i="16"/>
  <c r="FO29" i="16"/>
  <c r="FS29" i="16"/>
  <c r="FT29" i="16"/>
  <c r="FO27" i="16"/>
  <c r="FS27" i="16"/>
  <c r="FT27" i="16"/>
  <c r="FO26" i="16"/>
  <c r="FS26" i="16"/>
  <c r="FT26" i="16"/>
  <c r="FO25" i="16"/>
  <c r="FS25" i="16"/>
  <c r="FT25" i="16"/>
  <c r="FO24" i="16"/>
  <c r="FS24" i="16"/>
  <c r="FT24" i="16"/>
  <c r="FO23" i="16"/>
  <c r="FS23" i="16"/>
  <c r="FT23" i="16"/>
  <c r="FO22" i="16"/>
  <c r="FS22" i="16"/>
  <c r="FT22" i="16"/>
  <c r="FO21" i="16"/>
  <c r="FS21" i="16"/>
  <c r="FT21" i="16"/>
  <c r="FO20" i="16"/>
  <c r="FS20" i="16"/>
  <c r="FT20" i="16"/>
  <c r="FO19" i="16"/>
  <c r="FS19" i="16"/>
  <c r="FT19" i="16"/>
  <c r="FO17" i="16"/>
  <c r="FS17" i="16"/>
  <c r="FT17" i="16"/>
  <c r="FO16" i="16"/>
  <c r="FS16" i="16"/>
  <c r="FT16" i="16"/>
  <c r="FO15" i="16"/>
  <c r="FS15" i="16"/>
  <c r="FT15" i="16"/>
  <c r="FO14" i="16"/>
  <c r="FS14" i="16"/>
  <c r="FT14" i="16"/>
  <c r="FO13" i="16"/>
  <c r="FS13" i="16"/>
  <c r="FT13" i="16"/>
  <c r="FO12" i="16"/>
  <c r="FS12" i="16"/>
  <c r="FT12" i="16"/>
  <c r="FO11" i="16"/>
  <c r="FS11" i="16"/>
  <c r="FT11" i="16"/>
  <c r="FO10" i="16"/>
  <c r="FS10" i="16"/>
  <c r="FT10" i="16"/>
  <c r="FO9" i="16"/>
  <c r="FS9" i="16"/>
  <c r="FT9" i="16"/>
  <c r="FO8" i="16"/>
  <c r="FS8" i="16"/>
  <c r="FT8" i="16"/>
  <c r="FO7" i="16"/>
  <c r="FS7" i="16"/>
  <c r="FT7" i="16"/>
  <c r="FO6" i="16"/>
  <c r="FS6" i="16"/>
  <c r="FT6" i="16"/>
  <c r="FO5" i="16"/>
  <c r="FS5" i="16"/>
  <c r="FT5" i="16"/>
  <c r="FO4" i="16"/>
  <c r="FS4" i="16"/>
  <c r="FT4" i="16"/>
  <c r="FO3" i="16"/>
  <c r="FS3" i="16"/>
  <c r="FT3" i="16"/>
  <c r="FO2" i="16"/>
  <c r="FS2" i="16"/>
  <c r="FT2" i="16"/>
  <c r="AH46" i="16"/>
  <c r="AZ53" i="16"/>
  <c r="AY53" i="16"/>
  <c r="AV53" i="16"/>
  <c r="AU53" i="16"/>
  <c r="AT53" i="16"/>
  <c r="AS53" i="16"/>
  <c r="AR53" i="16"/>
  <c r="AP53" i="16"/>
  <c r="AO53" i="16"/>
  <c r="AL53" i="16"/>
  <c r="AG53" i="16"/>
  <c r="T53" i="16"/>
  <c r="AZ52" i="16"/>
  <c r="AY52" i="16"/>
  <c r="AV52" i="16"/>
  <c r="AU52" i="16"/>
  <c r="AT52" i="16"/>
  <c r="AS52" i="16"/>
  <c r="AR52" i="16"/>
  <c r="AP52" i="16"/>
  <c r="AO52" i="16"/>
  <c r="AL52" i="16"/>
  <c r="AG52" i="16"/>
  <c r="T52" i="16"/>
  <c r="AZ51" i="16"/>
  <c r="AY51" i="16"/>
  <c r="AV51" i="16"/>
  <c r="AU51" i="16"/>
  <c r="AT51" i="16"/>
  <c r="AS51" i="16"/>
  <c r="AR51" i="16"/>
  <c r="AP51" i="16"/>
  <c r="AO51" i="16"/>
  <c r="AL51" i="16"/>
  <c r="AG51" i="16"/>
  <c r="T51" i="16"/>
  <c r="AZ50" i="16"/>
  <c r="AY50" i="16"/>
  <c r="AV50" i="16"/>
  <c r="AU50" i="16"/>
  <c r="AT50" i="16"/>
  <c r="AS50" i="16"/>
  <c r="AR50" i="16"/>
  <c r="AP50" i="16"/>
  <c r="AO50" i="16"/>
  <c r="AL50" i="16"/>
  <c r="AG50" i="16"/>
  <c r="T50" i="16"/>
  <c r="AZ49" i="16"/>
  <c r="AY49" i="16"/>
  <c r="AV49" i="16"/>
  <c r="AU49" i="16"/>
  <c r="AT49" i="16"/>
  <c r="AS49" i="16"/>
  <c r="AR49" i="16"/>
  <c r="AP49" i="16"/>
  <c r="AO49" i="16"/>
  <c r="AL49" i="16"/>
  <c r="AG49" i="16"/>
  <c r="T49" i="16"/>
  <c r="AZ48" i="16"/>
  <c r="AY48" i="16"/>
  <c r="AV48" i="16"/>
  <c r="AU48" i="16"/>
  <c r="AT48" i="16"/>
  <c r="AS48" i="16"/>
  <c r="AR48" i="16"/>
  <c r="AP48" i="16"/>
  <c r="AO48" i="16"/>
  <c r="AH48" i="16"/>
  <c r="AI48" i="16"/>
  <c r="AJ48" i="16"/>
  <c r="AK48" i="16"/>
  <c r="AL48" i="16"/>
  <c r="AG48" i="16"/>
  <c r="T48" i="16"/>
  <c r="AZ47" i="16"/>
  <c r="AY47" i="16"/>
  <c r="AV47" i="16"/>
  <c r="AU47" i="16"/>
  <c r="AT47" i="16"/>
  <c r="AS47" i="16"/>
  <c r="AR47" i="16"/>
  <c r="AP47" i="16"/>
  <c r="AO47" i="16"/>
  <c r="AH47" i="16"/>
  <c r="AI47" i="16"/>
  <c r="AJ47" i="16"/>
  <c r="AK47" i="16"/>
  <c r="AL47" i="16"/>
  <c r="AG47" i="16"/>
  <c r="T47" i="16"/>
  <c r="AZ46" i="16"/>
  <c r="AY46" i="16"/>
  <c r="AV46" i="16"/>
  <c r="AU46" i="16"/>
  <c r="AT46" i="16"/>
  <c r="AS46" i="16"/>
  <c r="AR46" i="16"/>
  <c r="AP46" i="16"/>
  <c r="AO46" i="16"/>
  <c r="AL46" i="16"/>
  <c r="AG46" i="16"/>
  <c r="T46" i="16"/>
  <c r="AZ45" i="16"/>
  <c r="AY45" i="16"/>
  <c r="AV45" i="16"/>
  <c r="AU45" i="16"/>
  <c r="AT45" i="16"/>
  <c r="AS45" i="16"/>
  <c r="AR45" i="16"/>
  <c r="AP45" i="16"/>
  <c r="AO45" i="16"/>
  <c r="AH45" i="16"/>
  <c r="AI45" i="16"/>
  <c r="AJ45" i="16"/>
  <c r="AK45" i="16"/>
  <c r="AL45" i="16"/>
  <c r="AG45" i="16"/>
  <c r="T45" i="16"/>
  <c r="AZ44" i="16"/>
  <c r="AY44" i="16"/>
  <c r="AV44" i="16"/>
  <c r="AU44" i="16"/>
  <c r="AT44" i="16"/>
  <c r="AS44" i="16"/>
  <c r="AR44" i="16"/>
  <c r="AP44" i="16"/>
  <c r="AO44" i="16"/>
  <c r="AL44" i="16"/>
  <c r="AG44" i="16"/>
  <c r="T44" i="16"/>
  <c r="AV43" i="16"/>
  <c r="AU43" i="16"/>
  <c r="AT43" i="16"/>
  <c r="AS43" i="16"/>
  <c r="AR43" i="16"/>
  <c r="AP43" i="16"/>
  <c r="AO43" i="16"/>
  <c r="AL43" i="16"/>
  <c r="AG43" i="16"/>
  <c r="T43" i="16"/>
  <c r="AV42" i="16"/>
  <c r="AU42" i="16"/>
  <c r="AT42" i="16"/>
  <c r="AS42" i="16"/>
  <c r="AR42" i="16"/>
  <c r="AP42" i="16"/>
  <c r="AO42" i="16"/>
  <c r="AL42" i="16"/>
  <c r="AG42" i="16"/>
  <c r="T42" i="16"/>
  <c r="AV41" i="16"/>
  <c r="AU41" i="16"/>
  <c r="AT41" i="16"/>
  <c r="AS41" i="16"/>
  <c r="AR41" i="16"/>
  <c r="AP41" i="16"/>
  <c r="AO41" i="16"/>
  <c r="AL41" i="16"/>
  <c r="AG41" i="16"/>
  <c r="T41" i="16"/>
  <c r="AV40" i="16"/>
  <c r="AU40" i="16"/>
  <c r="AT40" i="16"/>
  <c r="AS40" i="16"/>
  <c r="AR40" i="16"/>
  <c r="AP40" i="16"/>
  <c r="AO40" i="16"/>
  <c r="AL40" i="16"/>
  <c r="AG40" i="16"/>
  <c r="T40" i="16"/>
  <c r="AV39" i="16"/>
  <c r="AU39" i="16"/>
  <c r="AT39" i="16"/>
  <c r="AS39" i="16"/>
  <c r="AR39" i="16"/>
  <c r="AP39" i="16"/>
  <c r="AO39" i="16"/>
  <c r="AL39" i="16"/>
  <c r="AG39" i="16"/>
  <c r="T39" i="16"/>
  <c r="AV38" i="16"/>
  <c r="AU38" i="16"/>
  <c r="AT38" i="16"/>
  <c r="AS38" i="16"/>
  <c r="AR38" i="16"/>
  <c r="AP38" i="16"/>
  <c r="AO38" i="16"/>
  <c r="AL38" i="16"/>
  <c r="AG38" i="16"/>
  <c r="T38" i="16"/>
  <c r="AV37" i="16"/>
  <c r="AU37" i="16"/>
  <c r="AT37" i="16"/>
  <c r="AS37" i="16"/>
  <c r="AR37" i="16"/>
  <c r="AP37" i="16"/>
  <c r="AO37" i="16"/>
  <c r="AL37" i="16"/>
  <c r="AG37" i="16"/>
  <c r="T37" i="16"/>
  <c r="AV36" i="16"/>
  <c r="AU36" i="16"/>
  <c r="AT36" i="16"/>
  <c r="AS36" i="16"/>
  <c r="AR36" i="16"/>
  <c r="AP36" i="16"/>
  <c r="AO36" i="16"/>
  <c r="AL36" i="16"/>
  <c r="AG36" i="16"/>
  <c r="T36" i="16"/>
  <c r="AV35" i="16"/>
  <c r="AU35" i="16"/>
  <c r="AT35" i="16"/>
  <c r="AS35" i="16"/>
  <c r="AR35" i="16"/>
  <c r="AP35" i="16"/>
  <c r="AO35" i="16"/>
  <c r="AL35" i="16"/>
  <c r="AG35" i="16"/>
  <c r="T35" i="16"/>
  <c r="AV34" i="16"/>
  <c r="AU34" i="16"/>
  <c r="AT34" i="16"/>
  <c r="AS34" i="16"/>
  <c r="AR34" i="16"/>
  <c r="AP34" i="16"/>
  <c r="AO34" i="16"/>
  <c r="AL34" i="16"/>
  <c r="AG34" i="16"/>
  <c r="T34" i="16"/>
  <c r="AV33" i="16"/>
  <c r="AU33" i="16"/>
  <c r="AT33" i="16"/>
  <c r="AS33" i="16"/>
  <c r="AR33" i="16"/>
  <c r="AP33" i="16"/>
  <c r="AO33" i="16"/>
  <c r="AL33" i="16"/>
  <c r="AG33" i="16"/>
  <c r="T33" i="16"/>
  <c r="AV32" i="16"/>
  <c r="AU32" i="16"/>
  <c r="AT32" i="16"/>
  <c r="AS32" i="16"/>
  <c r="AR32" i="16"/>
  <c r="AP32" i="16"/>
  <c r="AO32" i="16"/>
  <c r="AL32" i="16"/>
  <c r="AG32" i="16"/>
  <c r="T32" i="16"/>
  <c r="AV31" i="16"/>
  <c r="AU31" i="16"/>
  <c r="AT31" i="16"/>
  <c r="AS31" i="16"/>
  <c r="AR31" i="16"/>
  <c r="AP31" i="16"/>
  <c r="AO31" i="16"/>
  <c r="AL31" i="16"/>
  <c r="AG31" i="16"/>
  <c r="T31" i="16"/>
  <c r="AV30" i="16"/>
  <c r="AU30" i="16"/>
  <c r="AT30" i="16"/>
  <c r="AS30" i="16"/>
  <c r="AR30" i="16"/>
  <c r="AP30" i="16"/>
  <c r="AO30" i="16"/>
  <c r="AL30" i="16"/>
  <c r="AG30" i="16"/>
  <c r="T30" i="16"/>
  <c r="AV29" i="16"/>
  <c r="AU29" i="16"/>
  <c r="AT29" i="16"/>
  <c r="AS29" i="16"/>
  <c r="AR29" i="16"/>
  <c r="AP29" i="16"/>
  <c r="AO29" i="16"/>
  <c r="AL29" i="16"/>
  <c r="AG29" i="16"/>
  <c r="T29" i="16"/>
  <c r="AV28" i="16"/>
  <c r="AU28" i="16"/>
  <c r="AT28" i="16"/>
  <c r="AS28" i="16"/>
  <c r="AR28" i="16"/>
  <c r="AP28" i="16"/>
  <c r="AO28" i="16"/>
  <c r="AL28" i="16"/>
  <c r="AG28" i="16"/>
  <c r="T28" i="16"/>
  <c r="AV27" i="16"/>
  <c r="AU27" i="16"/>
  <c r="AT27" i="16"/>
  <c r="AS27" i="16"/>
  <c r="AR27" i="16"/>
  <c r="AP27" i="16"/>
  <c r="AO27" i="16"/>
  <c r="AL27" i="16"/>
  <c r="AG27" i="16"/>
  <c r="T27" i="16"/>
  <c r="AV26" i="16"/>
  <c r="AU26" i="16"/>
  <c r="AT26" i="16"/>
  <c r="AS26" i="16"/>
  <c r="AR26" i="16"/>
  <c r="AP26" i="16"/>
  <c r="AO26" i="16"/>
  <c r="AL26" i="16"/>
  <c r="AG26" i="16"/>
  <c r="T26" i="16"/>
  <c r="AY25" i="16"/>
  <c r="AS25" i="16"/>
  <c r="AR25" i="16"/>
  <c r="AP25" i="16"/>
  <c r="AO25" i="16"/>
  <c r="AH25" i="16"/>
  <c r="AL25" i="16"/>
  <c r="AG25" i="16"/>
  <c r="T25" i="16"/>
  <c r="AS24" i="16"/>
  <c r="AR24" i="16"/>
  <c r="AP24" i="16"/>
  <c r="AO24" i="16"/>
  <c r="AL24" i="16"/>
  <c r="AG24" i="16"/>
  <c r="T24" i="16"/>
  <c r="AS23" i="16"/>
  <c r="AR23" i="16"/>
  <c r="AP23" i="16"/>
  <c r="AO23" i="16"/>
  <c r="AL23" i="16"/>
  <c r="AG23" i="16"/>
  <c r="T23" i="16"/>
  <c r="AS22" i="16"/>
  <c r="AR22" i="16"/>
  <c r="AP22" i="16"/>
  <c r="AO22" i="16"/>
  <c r="AL22" i="16"/>
  <c r="AG22" i="16"/>
  <c r="T22" i="16"/>
  <c r="AS21" i="16"/>
  <c r="AR21" i="16"/>
  <c r="AP21" i="16"/>
  <c r="AO21" i="16"/>
  <c r="AL21" i="16"/>
  <c r="AG21" i="16"/>
  <c r="T21" i="16"/>
  <c r="AS20" i="16"/>
  <c r="AR20" i="16"/>
  <c r="AP20" i="16"/>
  <c r="AO20" i="16"/>
  <c r="AL20" i="16"/>
  <c r="AG20" i="16"/>
  <c r="T20" i="16"/>
  <c r="AS19" i="16"/>
  <c r="AR19" i="16"/>
  <c r="AP19" i="16"/>
  <c r="AO19" i="16"/>
  <c r="AL19" i="16"/>
  <c r="AG19" i="16"/>
  <c r="T19" i="16"/>
  <c r="AY18" i="16"/>
  <c r="AS18" i="16"/>
  <c r="AR18" i="16"/>
  <c r="AP18" i="16"/>
  <c r="AO18" i="16"/>
  <c r="AL18" i="16"/>
  <c r="AG18" i="16"/>
  <c r="T18" i="16"/>
  <c r="AZ17" i="16"/>
  <c r="AY17" i="16"/>
  <c r="AS17" i="16"/>
  <c r="AR17" i="16"/>
  <c r="AQ17" i="16"/>
  <c r="AP17" i="16"/>
  <c r="AO17" i="16"/>
  <c r="AL17" i="16"/>
  <c r="AG17" i="16"/>
  <c r="T17" i="16"/>
  <c r="AZ16" i="16"/>
  <c r="AY16" i="16"/>
  <c r="AS16" i="16"/>
  <c r="AR16" i="16"/>
  <c r="AP16" i="16"/>
  <c r="AO16" i="16"/>
  <c r="AL16" i="16"/>
  <c r="AG16" i="16"/>
  <c r="T16" i="16"/>
  <c r="AS15" i="16"/>
  <c r="AR15" i="16"/>
  <c r="AP15" i="16"/>
  <c r="AO15" i="16"/>
  <c r="AL15" i="16"/>
  <c r="AG15" i="16"/>
  <c r="T15" i="16"/>
  <c r="AZ14" i="16"/>
  <c r="AY14" i="16"/>
  <c r="AS14" i="16"/>
  <c r="AR14" i="16"/>
  <c r="AP14" i="16"/>
  <c r="AO14" i="16"/>
  <c r="AL14" i="16"/>
  <c r="AG14" i="16"/>
  <c r="T14" i="16"/>
  <c r="AZ13" i="16"/>
  <c r="AY13" i="16"/>
  <c r="AS13" i="16"/>
  <c r="AR13" i="16"/>
  <c r="AP13" i="16"/>
  <c r="AO13" i="16"/>
  <c r="AL13" i="16"/>
  <c r="AG13" i="16"/>
  <c r="T13" i="16"/>
  <c r="AZ12" i="16"/>
  <c r="AY12" i="16"/>
  <c r="AS12" i="16"/>
  <c r="AR12" i="16"/>
  <c r="AP12" i="16"/>
  <c r="AO12" i="16"/>
  <c r="AL12" i="16"/>
  <c r="AG12" i="16"/>
  <c r="T12" i="16"/>
  <c r="AZ11" i="16"/>
  <c r="AY11" i="16"/>
  <c r="AS11" i="16"/>
  <c r="AR11" i="16"/>
  <c r="AP11" i="16"/>
  <c r="AO11" i="16"/>
  <c r="AL11" i="16"/>
  <c r="AG11" i="16"/>
  <c r="T11" i="16"/>
  <c r="AZ10" i="16"/>
  <c r="AY10" i="16"/>
  <c r="AS10" i="16"/>
  <c r="AR10" i="16"/>
  <c r="AP10" i="16"/>
  <c r="AO10" i="16"/>
  <c r="AL10" i="16"/>
  <c r="AG10" i="16"/>
  <c r="T10" i="16"/>
  <c r="AZ9" i="16"/>
  <c r="AY9" i="16"/>
  <c r="AS9" i="16"/>
  <c r="AR9" i="16"/>
  <c r="AP9" i="16"/>
  <c r="AO9" i="16"/>
  <c r="AL9" i="16"/>
  <c r="AG9" i="16"/>
  <c r="T9" i="16"/>
  <c r="FH8" i="16"/>
  <c r="FH7" i="16"/>
  <c r="FH6" i="16"/>
  <c r="FH5" i="16"/>
  <c r="FH4" i="16"/>
  <c r="FH3" i="16"/>
  <c r="FH2" i="16"/>
  <c r="M66" i="10"/>
  <c r="N66" i="10"/>
  <c r="M64" i="10"/>
  <c r="N64" i="10"/>
  <c r="M63" i="10"/>
  <c r="N63" i="10"/>
  <c r="M61" i="10"/>
  <c r="N61" i="10"/>
  <c r="M59" i="10"/>
  <c r="N59" i="10"/>
  <c r="M58" i="10"/>
  <c r="N58" i="10"/>
  <c r="M57" i="10"/>
  <c r="N57" i="10"/>
  <c r="M56" i="10"/>
  <c r="N56" i="10"/>
  <c r="M55" i="10"/>
  <c r="N55" i="10"/>
  <c r="M54" i="10"/>
  <c r="N54" i="10"/>
  <c r="M53" i="10"/>
  <c r="N53" i="10"/>
  <c r="M52" i="10"/>
  <c r="N52" i="10"/>
  <c r="M51" i="10"/>
  <c r="N51" i="10"/>
  <c r="M40" i="10"/>
  <c r="N40" i="10"/>
  <c r="M38" i="10"/>
  <c r="N38" i="10"/>
  <c r="M37" i="10"/>
  <c r="N37" i="10"/>
  <c r="M36" i="10"/>
  <c r="N36" i="10"/>
  <c r="M35" i="10"/>
  <c r="N35" i="10"/>
  <c r="M34" i="10"/>
  <c r="N34" i="10"/>
  <c r="M33" i="10"/>
  <c r="N33" i="10"/>
  <c r="M32" i="10"/>
  <c r="N32" i="10"/>
  <c r="M31" i="10"/>
  <c r="N31" i="10"/>
  <c r="M30" i="10"/>
  <c r="N30" i="10"/>
  <c r="M29" i="10"/>
  <c r="N29" i="10"/>
  <c r="M28" i="10"/>
  <c r="N28" i="10"/>
  <c r="M27" i="10"/>
  <c r="N27" i="10"/>
  <c r="M26" i="10"/>
  <c r="N26" i="10"/>
  <c r="M25" i="10"/>
  <c r="N25" i="10"/>
  <c r="M24" i="10"/>
  <c r="N24" i="10"/>
  <c r="M23" i="10"/>
  <c r="N23" i="10"/>
  <c r="M22" i="10"/>
  <c r="N22" i="10"/>
  <c r="M21" i="10"/>
  <c r="N21" i="10"/>
  <c r="M20" i="10"/>
  <c r="N20" i="10"/>
  <c r="M19" i="10"/>
  <c r="N19" i="10"/>
  <c r="M18" i="10"/>
  <c r="N18" i="10"/>
  <c r="M17" i="10"/>
  <c r="N17" i="10"/>
  <c r="M16" i="10"/>
  <c r="N16" i="10"/>
  <c r="M15" i="10"/>
  <c r="N15" i="10"/>
  <c r="M14" i="10"/>
  <c r="N14" i="10"/>
  <c r="M13" i="10"/>
  <c r="N13" i="10"/>
  <c r="M12" i="10"/>
  <c r="N12" i="10"/>
  <c r="M11" i="10"/>
  <c r="N11" i="10"/>
  <c r="M10" i="10"/>
  <c r="N10" i="10"/>
  <c r="M9" i="10"/>
  <c r="N9" i="10"/>
  <c r="M8" i="10"/>
  <c r="N8" i="10"/>
  <c r="M7" i="10"/>
  <c r="N7" i="10"/>
  <c r="M6" i="10"/>
  <c r="N6" i="10"/>
  <c r="M5" i="10"/>
  <c r="N5" i="10"/>
  <c r="M4" i="10"/>
  <c r="N4" i="10"/>
  <c r="Q32" i="6"/>
  <c r="P32" i="6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F4" i="7"/>
  <c r="F3" i="7"/>
  <c r="O2" i="6"/>
  <c r="P2" i="6"/>
  <c r="Q2" i="6"/>
  <c r="O3" i="6"/>
  <c r="P3" i="6"/>
  <c r="Q3" i="6"/>
  <c r="O4" i="6"/>
  <c r="P4" i="6"/>
  <c r="Q4" i="6"/>
  <c r="O5" i="6"/>
  <c r="P5" i="6"/>
  <c r="Q5" i="6"/>
  <c r="O6" i="6"/>
  <c r="P6" i="6"/>
  <c r="Q6" i="6"/>
  <c r="O7" i="6"/>
  <c r="P7" i="6"/>
  <c r="Q7" i="6"/>
  <c r="O8" i="6"/>
  <c r="P8" i="6"/>
  <c r="Q8" i="6"/>
  <c r="O9" i="6"/>
  <c r="P9" i="6"/>
  <c r="Q9" i="6"/>
  <c r="O10" i="6"/>
  <c r="P10" i="6"/>
  <c r="Q10" i="6"/>
  <c r="O11" i="6"/>
  <c r="P11" i="6"/>
  <c r="Q11" i="6"/>
  <c r="O12" i="6"/>
  <c r="P12" i="6"/>
  <c r="Q12" i="6"/>
  <c r="O13" i="6"/>
  <c r="P13" i="6"/>
  <c r="Q13" i="6"/>
  <c r="O14" i="6"/>
  <c r="P14" i="6"/>
  <c r="Q14" i="6"/>
  <c r="O15" i="6"/>
  <c r="P15" i="6"/>
  <c r="Q15" i="6"/>
  <c r="O16" i="6"/>
  <c r="P16" i="6"/>
  <c r="Q16" i="6"/>
  <c r="O17" i="6"/>
  <c r="P17" i="6"/>
  <c r="Q17" i="6"/>
  <c r="O18" i="6"/>
  <c r="P18" i="6"/>
  <c r="Q18" i="6"/>
  <c r="O19" i="6"/>
  <c r="P19" i="6"/>
  <c r="Q19" i="6"/>
</calcChain>
</file>

<file path=xl/comments1.xml><?xml version="1.0" encoding="utf-8"?>
<comments xmlns="http://schemas.openxmlformats.org/spreadsheetml/2006/main">
  <authors>
    <author>Macromia</author>
    <author>Adolfo Cordero</author>
  </authors>
  <commentList>
    <comment ref="AQ1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Includes woodland and treeless areas</t>
        </r>
      </text>
    </comment>
    <comment ref="F2" authorId="1" shapeId="0">
      <text>
        <r>
          <rPr>
            <b/>
            <sz val="9"/>
            <color indexed="81"/>
            <rFont val="Tahoma"/>
            <charset val="1"/>
          </rPr>
          <t>Adolfo Cordero:</t>
        </r>
        <r>
          <rPr>
            <sz val="9"/>
            <color indexed="81"/>
            <rFont val="Tahoma"/>
            <charset val="1"/>
          </rPr>
          <t xml:space="preserve">
The report of 1968 indicates that data from 1961-1967 had different methodology, and could not be comparable</t>
        </r>
      </text>
    </comment>
    <comment ref="BA24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Estos datos no están aparentemente bien datados en el anuario. Aparecen como 1982</t>
        </r>
      </text>
    </comment>
    <comment ref="BA25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Aparece como 1983, mais asumo que é 1984</t>
        </r>
      </text>
    </comment>
    <comment ref="BA29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Aparece como 1989, mais é claramente un erro</t>
        </r>
      </text>
    </comment>
    <comment ref="BA36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INE Anuario 1998 tabla excel</t>
        </r>
      </text>
    </comment>
    <comment ref="BA37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INE anuario 2000</t>
        </r>
      </text>
    </comment>
    <comment ref="B39" authorId="1" shapeId="0">
      <text>
        <r>
          <rPr>
            <b/>
            <sz val="9"/>
            <color indexed="81"/>
            <rFont val="Tahoma"/>
            <charset val="1"/>
          </rPr>
          <t>Adolfo Cordero:</t>
        </r>
        <r>
          <rPr>
            <sz val="9"/>
            <color indexed="81"/>
            <rFont val="Tahoma"/>
            <charset val="1"/>
          </rPr>
          <t xml:space="preserve">
Starting this year fires are counted as main episodes and re-starting fires. Included only main fires</t>
        </r>
      </text>
    </comment>
    <comment ref="BA39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Anuario INE 2001</t>
        </r>
      </text>
    </comment>
    <comment ref="AH42" authorId="1" shapeId="0">
      <text>
        <r>
          <rPr>
            <b/>
            <sz val="9"/>
            <color indexed="81"/>
            <rFont val="Tahoma"/>
            <family val="2"/>
          </rPr>
          <t>Adolfo Cordero:</t>
        </r>
        <r>
          <rPr>
            <sz val="9"/>
            <color indexed="81"/>
            <rFont val="Tahoma"/>
            <family val="2"/>
          </rPr>
          <t xml:space="preserve">
Some digits unclear in the source</t>
        </r>
      </text>
    </comment>
    <comment ref="BA45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Anuario 2008 INE</t>
        </r>
      </text>
    </comment>
    <comment ref="F48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Political change this year. Count methodology might have changed</t>
        </r>
      </text>
    </comment>
  </commentList>
</comments>
</file>

<file path=xl/comments2.xml><?xml version="1.0" encoding="utf-8"?>
<comments xmlns="http://schemas.openxmlformats.org/spreadsheetml/2006/main">
  <authors>
    <author>Macromia</author>
  </authors>
  <commentList>
    <comment ref="AE2" authorId="0" shapeId="0">
      <text>
        <r>
          <rPr>
            <b/>
            <sz val="9"/>
            <color indexed="81"/>
            <rFont val="Tahoma"/>
            <family val="2"/>
          </rPr>
          <t>Macromia:</t>
        </r>
        <r>
          <rPr>
            <sz val="9"/>
            <color indexed="81"/>
            <rFont val="Tahoma"/>
            <family val="2"/>
          </rPr>
          <t xml:space="preserve">
Box-Cox 
Lambda -0.311</t>
        </r>
      </text>
    </comment>
  </commentList>
</comments>
</file>

<file path=xl/comments3.xml><?xml version="1.0" encoding="utf-8"?>
<comments xmlns="http://schemas.openxmlformats.org/spreadsheetml/2006/main">
  <authors>
    <author>Macromia</author>
  </authors>
  <commentList>
    <comment ref="H8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inclúe o outiler de 1989</t>
        </r>
      </text>
    </comment>
  </commentList>
</comments>
</file>

<file path=xl/comments4.xml><?xml version="1.0" encoding="utf-8"?>
<comments xmlns="http://schemas.openxmlformats.org/spreadsheetml/2006/main">
  <authors>
    <author>Macromia</author>
    <author>Adolfo Cordero</author>
  </authors>
  <commentList>
    <comment ref="P3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box-cox
lambda 0.002</t>
        </r>
      </text>
    </comment>
    <comment ref="W3" authorId="0" shapeId="0">
      <text>
        <r>
          <rPr>
            <b/>
            <sz val="9"/>
            <color indexed="81"/>
            <rFont val="Tahoma"/>
            <charset val="1"/>
          </rPr>
          <t>Macromia:</t>
        </r>
        <r>
          <rPr>
            <sz val="9"/>
            <color indexed="81"/>
            <rFont val="Tahoma"/>
            <charset val="1"/>
          </rPr>
          <t xml:space="preserve">
box-cox
lambda 0.04</t>
        </r>
      </text>
    </comment>
    <comment ref="A42" authorId="1" shapeId="0">
      <text>
        <r>
          <rPr>
            <b/>
            <sz val="9"/>
            <color indexed="81"/>
            <rFont val="Tahoma"/>
            <charset val="1"/>
          </rPr>
          <t>Adolfo Cordero:</t>
        </r>
        <r>
          <rPr>
            <sz val="9"/>
            <color indexed="81"/>
            <rFont val="Tahoma"/>
            <charset val="1"/>
          </rPr>
          <t xml:space="preserve">
Source for African countries: Joint Research Centre</t>
        </r>
      </text>
    </comment>
  </commentList>
</comments>
</file>

<file path=xl/sharedStrings.xml><?xml version="1.0" encoding="utf-8"?>
<sst xmlns="http://schemas.openxmlformats.org/spreadsheetml/2006/main" count="423" uniqueCount="374">
  <si>
    <t>Lugo</t>
  </si>
  <si>
    <t>Ourense</t>
  </si>
  <si>
    <t>Pontevedra</t>
  </si>
  <si>
    <t>Coruña</t>
  </si>
  <si>
    <t>year</t>
  </si>
  <si>
    <t>Lourizán</t>
  </si>
  <si>
    <t>Precipitación</t>
  </si>
  <si>
    <t>ano</t>
  </si>
  <si>
    <t>xan</t>
  </si>
  <si>
    <t>feb</t>
  </si>
  <si>
    <t>mar</t>
  </si>
  <si>
    <t>abr</t>
  </si>
  <si>
    <t>maio</t>
  </si>
  <si>
    <t>xuñ</t>
  </si>
  <si>
    <t>xull</t>
  </si>
  <si>
    <t>ago</t>
  </si>
  <si>
    <t>set</t>
  </si>
  <si>
    <t>out</t>
  </si>
  <si>
    <t>nov</t>
  </si>
  <si>
    <t>dec</t>
  </si>
  <si>
    <t>total</t>
  </si>
  <si>
    <t>marzo-setembro</t>
  </si>
  <si>
    <t>Minimum</t>
  </si>
  <si>
    <t>Maximum</t>
  </si>
  <si>
    <t>xuño-setembro</t>
  </si>
  <si>
    <t>INF1</t>
  </si>
  <si>
    <t>IFN2</t>
  </si>
  <si>
    <t>IFN3</t>
  </si>
  <si>
    <t>1970-1974</t>
  </si>
  <si>
    <t>1984-1988</t>
  </si>
  <si>
    <t>1996-2000</t>
  </si>
  <si>
    <t>SE</t>
  </si>
  <si>
    <t>Eucalypt biomass</t>
  </si>
  <si>
    <t>Year</t>
  </si>
  <si>
    <t>IFN4</t>
  </si>
  <si>
    <t>A Coruña</t>
  </si>
  <si>
    <t>Fires Galicia</t>
  </si>
  <si>
    <t>Woodland burned-Spain</t>
  </si>
  <si>
    <t>Eucalypts burned-Spain</t>
  </si>
  <si>
    <t>Pinus burned-Spain</t>
  </si>
  <si>
    <t>Burned area-Spain</t>
  </si>
  <si>
    <t>Cantabria</t>
  </si>
  <si>
    <t>Burgos</t>
  </si>
  <si>
    <t>León</t>
  </si>
  <si>
    <t>Barcelona</t>
  </si>
  <si>
    <t>Girona</t>
  </si>
  <si>
    <t>Lleida</t>
  </si>
  <si>
    <t>Tarragona</t>
  </si>
  <si>
    <t>Navarra</t>
  </si>
  <si>
    <t>Vizcaya</t>
  </si>
  <si>
    <t>Asturias</t>
  </si>
  <si>
    <t>Zamora</t>
  </si>
  <si>
    <t>Palencia</t>
  </si>
  <si>
    <t>Soria</t>
  </si>
  <si>
    <t>La Rioja</t>
  </si>
  <si>
    <t>Álava</t>
  </si>
  <si>
    <t>Guipuzcoa</t>
  </si>
  <si>
    <t>Total number of fires</t>
  </si>
  <si>
    <t>forest, other wooded land and other land</t>
  </si>
  <si>
    <t>Country</t>
  </si>
  <si>
    <t>1996</t>
  </si>
  <si>
    <t>1997</t>
  </si>
  <si>
    <t>1998</t>
  </si>
  <si>
    <t>1999</t>
  </si>
  <si>
    <t>2000</t>
  </si>
  <si>
    <t>2001</t>
  </si>
  <si>
    <t>Albania</t>
  </si>
  <si>
    <t>Austria</t>
  </si>
  <si>
    <t>Bosnia &amp; Herzegovina</t>
  </si>
  <si>
    <t>Bulgaria</t>
  </si>
  <si>
    <t>Croatia</t>
  </si>
  <si>
    <t>Czech Republic</t>
  </si>
  <si>
    <t xml:space="preserve">Estonia </t>
  </si>
  <si>
    <t xml:space="preserve">Finland </t>
  </si>
  <si>
    <t xml:space="preserve">France </t>
  </si>
  <si>
    <t>Germany</t>
  </si>
  <si>
    <t>Greece</t>
  </si>
  <si>
    <t>Hungary</t>
  </si>
  <si>
    <t>Israel</t>
  </si>
  <si>
    <t>Italy</t>
  </si>
  <si>
    <t>Latvia</t>
  </si>
  <si>
    <t>Lithuania</t>
  </si>
  <si>
    <t>Luxembourg</t>
  </si>
  <si>
    <t>Netherlands</t>
  </si>
  <si>
    <t>Norway</t>
  </si>
  <si>
    <t>Poland</t>
  </si>
  <si>
    <t>Portugal</t>
  </si>
  <si>
    <t xml:space="preserve">Romania </t>
  </si>
  <si>
    <t>Serbia &amp; Montenegro</t>
  </si>
  <si>
    <t xml:space="preserve">Slovakia </t>
  </si>
  <si>
    <t>Slovenia</t>
  </si>
  <si>
    <t xml:space="preserve">Spain </t>
  </si>
  <si>
    <t>...</t>
  </si>
  <si>
    <t xml:space="preserve">Switzerland </t>
  </si>
  <si>
    <t>The f.Y.R. of Macedonia</t>
  </si>
  <si>
    <t>Turkey</t>
  </si>
  <si>
    <t>EUROPE</t>
  </si>
  <si>
    <t>Armenia</t>
  </si>
  <si>
    <t>Azerbaijan</t>
  </si>
  <si>
    <t>Belarus</t>
  </si>
  <si>
    <t xml:space="preserve">Kazakhstan </t>
  </si>
  <si>
    <t>Georgia</t>
  </si>
  <si>
    <t>Moldova</t>
  </si>
  <si>
    <t>Russian Federation</t>
  </si>
  <si>
    <t>Turkmenistan</t>
  </si>
  <si>
    <t>Ukraine</t>
  </si>
  <si>
    <t>TOTAL CIS</t>
  </si>
  <si>
    <t>Canada</t>
  </si>
  <si>
    <t>United States</t>
  </si>
  <si>
    <t>NORTH AMERICA</t>
  </si>
  <si>
    <t>Belgium</t>
  </si>
  <si>
    <t>Cyprus</t>
  </si>
  <si>
    <t>Denmark</t>
  </si>
  <si>
    <t>Ireland</t>
  </si>
  <si>
    <t>Sweden</t>
  </si>
  <si>
    <t>United Kingdom</t>
  </si>
  <si>
    <t>ha Eucalypts</t>
  </si>
  <si>
    <t>Average fires 1991-2001</t>
  </si>
  <si>
    <t>Africa</t>
  </si>
  <si>
    <t>Morocco</t>
  </si>
  <si>
    <t>Algeria</t>
  </si>
  <si>
    <t>Tunisia</t>
  </si>
  <si>
    <t>Egypt</t>
  </si>
  <si>
    <t>Lybia</t>
  </si>
  <si>
    <t>Average fires 2011-2014</t>
  </si>
  <si>
    <t>Average 1980-1989</t>
  </si>
  <si>
    <t>Average 1990-1999</t>
  </si>
  <si>
    <t>TOTAL</t>
  </si>
  <si>
    <t>Spain</t>
  </si>
  <si>
    <t>France</t>
  </si>
  <si>
    <t>% of total in 2014</t>
  </si>
  <si>
    <t>Average 2000-2009</t>
  </si>
  <si>
    <t>Average 2010-2014</t>
  </si>
  <si>
    <t>Average 1980-2014</t>
  </si>
  <si>
    <r>
      <t xml:space="preserve">Schmuck G., San-Miguel-Ayanz J., Durrant T., Boca R., Libertà G., Petroliagkis T., Di Leo M., Rodrigues D., Boccacci F., Schulte E. 2015. Forest fires in Europe, Middle East and North Africa 2014. </t>
    </r>
    <r>
      <rPr>
        <i/>
        <sz val="10"/>
        <rFont val="Arial"/>
        <family val="2"/>
      </rPr>
      <t>Scientific and Technical Research series</t>
    </r>
    <r>
      <rPr>
        <sz val="10"/>
        <rFont val="Arial"/>
        <family val="2"/>
      </rPr>
      <t>:107. DOI: 10.2788/1082.</t>
    </r>
  </si>
  <si>
    <t>Fires Lugo</t>
  </si>
  <si>
    <t>Fires Ourense</t>
  </si>
  <si>
    <t>Fires Pontevedra</t>
  </si>
  <si>
    <t>Fires Asturias</t>
  </si>
  <si>
    <t>Fires Cantabria</t>
  </si>
  <si>
    <t>Fires Burgos</t>
  </si>
  <si>
    <t>Fires Leon</t>
  </si>
  <si>
    <t>Fires Palencia</t>
  </si>
  <si>
    <t>Fires Soria</t>
  </si>
  <si>
    <t>Fires Zamora</t>
  </si>
  <si>
    <t>Fires Barcelona</t>
  </si>
  <si>
    <t>Fires Girona</t>
  </si>
  <si>
    <t>Fires Lleida</t>
  </si>
  <si>
    <t>Fires Tarragona</t>
  </si>
  <si>
    <t>Fires Catalunya</t>
  </si>
  <si>
    <t>Fires Navarra</t>
  </si>
  <si>
    <t>Fires La Rioja</t>
  </si>
  <si>
    <t>Fires Alava</t>
  </si>
  <si>
    <t>Fires Guipuzcoa</t>
  </si>
  <si>
    <t>Fires Vizcaya</t>
  </si>
  <si>
    <t>Woodland burned Lugo</t>
  </si>
  <si>
    <t>Woodland burned Ourense</t>
  </si>
  <si>
    <t>Woodland burned Pontevedra</t>
  </si>
  <si>
    <t>Woodland burned Galicia</t>
  </si>
  <si>
    <t>Total land burned Lugo</t>
  </si>
  <si>
    <t>Total land burned Ourense</t>
  </si>
  <si>
    <t>Total land burned Pontevedra</t>
  </si>
  <si>
    <t>Total land burned Galicia</t>
  </si>
  <si>
    <t>Fires Spain</t>
  </si>
  <si>
    <t>Mean fire size Galicia</t>
  </si>
  <si>
    <t>Mean fire size woodland only Galicia</t>
  </si>
  <si>
    <t>Lourizan-marzo-set</t>
  </si>
  <si>
    <t>Lourizan-anual</t>
  </si>
  <si>
    <t>Woodland-burned Galicia</t>
  </si>
  <si>
    <t>Lourizan-xunho-set</t>
  </si>
  <si>
    <t>Asturias-Eucaliptos</t>
  </si>
  <si>
    <t>Asturias-Total</t>
  </si>
  <si>
    <t>Asturias-%Eucaliptos</t>
  </si>
  <si>
    <t>Fires Corunha</t>
  </si>
  <si>
    <t>Woodland burned Corunha</t>
  </si>
  <si>
    <t>Total land burned Corunha</t>
  </si>
  <si>
    <t>Asturias-Coniferas</t>
  </si>
  <si>
    <t>Asturias-%Coniferas</t>
  </si>
  <si>
    <t>Cantabria-Eucaliptos</t>
  </si>
  <si>
    <t>Cantabria-Coniferas</t>
  </si>
  <si>
    <t>Cantabria-Total</t>
  </si>
  <si>
    <t>Cantabria-%Eucaliptos</t>
  </si>
  <si>
    <t>Cantabria-%Coniferas</t>
  </si>
  <si>
    <t>Burgos-Eucaliptos</t>
  </si>
  <si>
    <t>Burgos-Coniferas</t>
  </si>
  <si>
    <t>Burgos-Total</t>
  </si>
  <si>
    <t>Burgos-%Coniferas</t>
  </si>
  <si>
    <t>Leon-Eucaliptos</t>
  </si>
  <si>
    <t>Leon-Coniferas</t>
  </si>
  <si>
    <t>Leon-Total</t>
  </si>
  <si>
    <t>Leon-%Coniferas</t>
  </si>
  <si>
    <t>Zamora-Eucaliptos</t>
  </si>
  <si>
    <t>Zamora-Coniferas</t>
  </si>
  <si>
    <t>Zamora-Total</t>
  </si>
  <si>
    <t>Zamora-%Coniferas</t>
  </si>
  <si>
    <t>Palencia-Eucaliptos</t>
  </si>
  <si>
    <t>Palencia-Coniferas</t>
  </si>
  <si>
    <t>Palencia-Total</t>
  </si>
  <si>
    <t>Palencia-%Coniferas</t>
  </si>
  <si>
    <t>Soria-Eucaliptos</t>
  </si>
  <si>
    <t>Soria-Coniferas</t>
  </si>
  <si>
    <t>Soria-Total</t>
  </si>
  <si>
    <t>Soria-%Coniferas</t>
  </si>
  <si>
    <t>La Rioja-Eucaliptos</t>
  </si>
  <si>
    <t>La Rioja-Coniferas</t>
  </si>
  <si>
    <t>La Rioja-Total</t>
  </si>
  <si>
    <t>La Rioja-%Coniferas</t>
  </si>
  <si>
    <t>Barcelona-Eucaliptos</t>
  </si>
  <si>
    <t>Barcelona-Coniferas</t>
  </si>
  <si>
    <t>Barcelona-Total</t>
  </si>
  <si>
    <t>Barcelona-%Eucaliptos</t>
  </si>
  <si>
    <t>Barcelona-%Coniferas</t>
  </si>
  <si>
    <t>Girona-Eucaliptos</t>
  </si>
  <si>
    <t>Girona-Coniferas</t>
  </si>
  <si>
    <t>Girona-Total</t>
  </si>
  <si>
    <t>Girona-%Eucaliptos</t>
  </si>
  <si>
    <t>Girona-%Coniferas</t>
  </si>
  <si>
    <t>Lleida-Eucaliptos</t>
  </si>
  <si>
    <t>Lleida-Coniferas</t>
  </si>
  <si>
    <t>Lleida-Total</t>
  </si>
  <si>
    <t>Lleida-%Coniferas</t>
  </si>
  <si>
    <t>Tarragona-Eucaliptos</t>
  </si>
  <si>
    <t>Tarragona-Coniferas</t>
  </si>
  <si>
    <t>Tarragona-Total</t>
  </si>
  <si>
    <t>Tarragona-%Coniferas</t>
  </si>
  <si>
    <t>Corunha-Eucaliptos</t>
  </si>
  <si>
    <t>Corunha-Coniferas</t>
  </si>
  <si>
    <t>Corunha-Total</t>
  </si>
  <si>
    <t>Corunha-%Eucalipto</t>
  </si>
  <si>
    <t>Lugo-Eucaliptos</t>
  </si>
  <si>
    <t>Lugo-Coniferas</t>
  </si>
  <si>
    <t>Lugo-Total</t>
  </si>
  <si>
    <t>Lugo-%Eucalipto</t>
  </si>
  <si>
    <t>Ourense-Eucaliptos</t>
  </si>
  <si>
    <t>Ourense-Coniferas</t>
  </si>
  <si>
    <t>Ourense-Total</t>
  </si>
  <si>
    <t>Ourense-%Eucalipto</t>
  </si>
  <si>
    <t>Ourense-%Coniferas</t>
  </si>
  <si>
    <t>Pontevedra-Eucaliptos</t>
  </si>
  <si>
    <t>Pontevedra-Coniferas</t>
  </si>
  <si>
    <t>Pontevedra-Total</t>
  </si>
  <si>
    <t>Pontevedra-%Eucalipto</t>
  </si>
  <si>
    <t>Galicia-Eucaliptos</t>
  </si>
  <si>
    <t>Galicia-Coniferas</t>
  </si>
  <si>
    <t>Galicia-Total</t>
  </si>
  <si>
    <t>Galicia-%Eucaliptos</t>
  </si>
  <si>
    <t>Galicia-%Coniferas</t>
  </si>
  <si>
    <t>Navarra-Eucaliptos</t>
  </si>
  <si>
    <t>Navarra-Coniferas</t>
  </si>
  <si>
    <t>Navarra-Total</t>
  </si>
  <si>
    <t>Navarra-%Coniferas</t>
  </si>
  <si>
    <t>Alava-Eucaliptos</t>
  </si>
  <si>
    <t>Alava-Coniferas</t>
  </si>
  <si>
    <t>Alava-Total</t>
  </si>
  <si>
    <t>Alava-%Coniferas</t>
  </si>
  <si>
    <t>Guipuzkoa-Eucaliptos</t>
  </si>
  <si>
    <t>Guipuzkoa-Coniferas</t>
  </si>
  <si>
    <t>Guipuzkoa-Total</t>
  </si>
  <si>
    <t>Guipuzkoa-%Eucaliptos</t>
  </si>
  <si>
    <t>Guipuzkoa-%Coniferas</t>
  </si>
  <si>
    <t>Vizcaya-Eucaliptos</t>
  </si>
  <si>
    <t>Vizcaya-Coniferas</t>
  </si>
  <si>
    <t>Vizcaya-Total</t>
  </si>
  <si>
    <t>Vizcaya-%Eucaliptos</t>
  </si>
  <si>
    <t>Vizcaya-%Coniferas</t>
  </si>
  <si>
    <t>Corunha-%Eucalipto-trans</t>
  </si>
  <si>
    <t>Lugo-%Eucalipto-trans</t>
  </si>
  <si>
    <t>Ourense-%Eucalipto-trans</t>
  </si>
  <si>
    <t>Pontevedra-%Eucalipto-trans</t>
  </si>
  <si>
    <t>Asturias-%Eucaliptos-trans</t>
  </si>
  <si>
    <t>Asturias-%Coniferas-trans</t>
  </si>
  <si>
    <t>Cantabria-%Coniferas-trans</t>
  </si>
  <si>
    <t>Burgos-%Coniferas-trans</t>
  </si>
  <si>
    <t>Leon-%Coniferas-trans</t>
  </si>
  <si>
    <t>Zamora-%Coniferas-trans</t>
  </si>
  <si>
    <t>Palencia-%Coniferas-trans</t>
  </si>
  <si>
    <t>Soria-%Coniferas-trans</t>
  </si>
  <si>
    <t>La Rioja-%Coniferas-trans</t>
  </si>
  <si>
    <t>Barcelona-%Eucaliptos-trans</t>
  </si>
  <si>
    <t>Barcelona-%Coniferas-trans</t>
  </si>
  <si>
    <t>Girona-%Eucaliptos-trans</t>
  </si>
  <si>
    <t>Girona-%Coniferas-trans</t>
  </si>
  <si>
    <t>Lleida-%Coniferas-trans</t>
  </si>
  <si>
    <t>Tarragona-%Coniferas-trans</t>
  </si>
  <si>
    <t>Galicia-%eucal-trans</t>
  </si>
  <si>
    <t>Galicia-%Coniferas-trans</t>
  </si>
  <si>
    <t>Navarra-%Coniferas-trans</t>
  </si>
  <si>
    <t>Alava-%Coniferas-trans</t>
  </si>
  <si>
    <t>Guipuzkoa-%Eucaliptos-trans</t>
  </si>
  <si>
    <t>Guipuzkoa-%Coniferas-trans</t>
  </si>
  <si>
    <t>Vizcaya-%Eucaliptos-trans</t>
  </si>
  <si>
    <t>Vizcaya-%Coniferas-trans</t>
  </si>
  <si>
    <t>Galicia-Total-1 year delay</t>
  </si>
  <si>
    <t>Fires Galicia Box-Cox</t>
  </si>
  <si>
    <t>1968-1980</t>
  </si>
  <si>
    <t>1981-1990</t>
  </si>
  <si>
    <t>1991-2000</t>
  </si>
  <si>
    <t>2001-2012</t>
  </si>
  <si>
    <t>% Eucalypts</t>
  </si>
  <si>
    <t>Alava-% Eucaliptos</t>
  </si>
  <si>
    <t>Alava-% Eucaliptos-trans</t>
  </si>
  <si>
    <t>Burgos-%Eucaliptos</t>
  </si>
  <si>
    <t>Leon-%Eucaliptos</t>
  </si>
  <si>
    <t>Zamora-%Eucaliptos</t>
  </si>
  <si>
    <t>Palencia-%Eucaliptos</t>
  </si>
  <si>
    <t>Soria-%Eucaliptos</t>
  </si>
  <si>
    <t>La Rioja-%Eucaliptos</t>
  </si>
  <si>
    <t>Lleida-%Eucaliptos</t>
  </si>
  <si>
    <t>Tarragona-%Eucaliptos</t>
  </si>
  <si>
    <t>Navarra-%Eucaliptos</t>
  </si>
  <si>
    <t>Province</t>
  </si>
  <si>
    <t>Number of fires</t>
  </si>
  <si>
    <t>% Coniferous</t>
  </si>
  <si>
    <t>Corunha-%Coniferas</t>
  </si>
  <si>
    <t>Lugo-%Coniferas</t>
  </si>
  <si>
    <t>Pontevedra-%Coniferas</t>
  </si>
  <si>
    <t>Cantabria-%Eucaliptos-trans</t>
  </si>
  <si>
    <t>% Eucalypts and coniferous</t>
  </si>
  <si>
    <t>Zaragoza</t>
  </si>
  <si>
    <t>Huesca</t>
  </si>
  <si>
    <t>Valladolid</t>
  </si>
  <si>
    <t>Fires Valladolid</t>
  </si>
  <si>
    <t>Fires Basque Country</t>
  </si>
  <si>
    <t>Valladolid-Eucaliptos</t>
  </si>
  <si>
    <t>Valladolid-Coniferas</t>
  </si>
  <si>
    <t>Valladolid-Total</t>
  </si>
  <si>
    <t>Valladolid-%Coniferas</t>
  </si>
  <si>
    <t>Valladolid-%Eucaliptos</t>
  </si>
  <si>
    <t>Valladolid-%Coniferas-trans</t>
  </si>
  <si>
    <t>Zaragoza-Eucaliptos</t>
  </si>
  <si>
    <t>Zaragoza-Coniferas</t>
  </si>
  <si>
    <t>Zaragoza-Total</t>
  </si>
  <si>
    <t>Zaragoza-%Coniferas-trans</t>
  </si>
  <si>
    <t>Zaragoza-%Coniferas</t>
  </si>
  <si>
    <t>Huesca-Eucaliptos</t>
  </si>
  <si>
    <t>Huesca-Coníferas</t>
  </si>
  <si>
    <t>Huesca-Total</t>
  </si>
  <si>
    <t>Huesca-%Coniferas</t>
  </si>
  <si>
    <t>Huesca-%Coniferas-trans</t>
  </si>
  <si>
    <t>Basque Country-Eucaliptos</t>
  </si>
  <si>
    <t>Basque Country-Coniferas</t>
  </si>
  <si>
    <t>Basque Country-Total</t>
  </si>
  <si>
    <t>Basque Country-%Eucaliptos</t>
  </si>
  <si>
    <t>Basque Country-%Coniferas</t>
  </si>
  <si>
    <t>Basque Country-%Coniferas-trans</t>
  </si>
  <si>
    <t>Fires Zaragoza</t>
  </si>
  <si>
    <t>Fires Huesca</t>
  </si>
  <si>
    <t>Zaragoza-%Eucaliptos</t>
  </si>
  <si>
    <t>Huesca-%Eucaliptos</t>
  </si>
  <si>
    <t>Basque Country</t>
  </si>
  <si>
    <t>N</t>
  </si>
  <si>
    <t>Proportion Eucalypts</t>
  </si>
  <si>
    <t>Proportion Coniferous</t>
  </si>
  <si>
    <t>SE % Eucaliptos</t>
  </si>
  <si>
    <t>SE % Coníferas</t>
  </si>
  <si>
    <t>enero-abril</t>
  </si>
  <si>
    <t>Lourizan-xaneiro-abril</t>
  </si>
  <si>
    <t>Lourizan-maio</t>
  </si>
  <si>
    <t>fires_trans 1991-2001</t>
  </si>
  <si>
    <t>fires_trans 2011-2014</t>
  </si>
  <si>
    <t>Number of forest fires in the five Southern Member States</t>
  </si>
  <si>
    <t>Firest trans</t>
  </si>
  <si>
    <t>Eucalypt-aseno</t>
  </si>
  <si>
    <t>Pyrophytic-aseno</t>
  </si>
  <si>
    <t>Eucalypts-fire</t>
  </si>
  <si>
    <t>Coniferous-fire</t>
  </si>
  <si>
    <t>IFN4/IFN1</t>
  </si>
  <si>
    <t>Eucalypt wood volume (m3 cc)</t>
  </si>
  <si>
    <t>Source: National Forest Inventories of Spain</t>
  </si>
  <si>
    <t>Sourcer: yearly reports Lourizán and www.meteogalicia.es</t>
  </si>
  <si>
    <t>Source:</t>
  </si>
  <si>
    <t>Source: data of FAO</t>
  </si>
  <si>
    <t>JRC Technical Reports 2014</t>
  </si>
  <si>
    <t>Cantabria excluding 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</si>
</sst>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##0;###0"/>
    <numFmt numFmtId="167" formatCode="0.0000"/>
  </numFmts>
  <fonts count="19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9C0006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4">
    <xf numFmtId="0" fontId="0" fillId="0" borderId="0"/>
    <xf numFmtId="0" fontId="8" fillId="0" borderId="0"/>
    <xf numFmtId="0" fontId="11" fillId="6" borderId="0" applyNumberFormat="0" applyBorder="0" applyAlignment="0" applyProtection="0"/>
    <xf numFmtId="0" fontId="12" fillId="7" borderId="8" applyNumberFormat="0" applyFont="0" applyAlignment="0" applyProtection="0"/>
  </cellStyleXfs>
  <cellXfs count="152">
    <xf numFmtId="0" fontId="0" fillId="0" borderId="0" xfId="0"/>
    <xf numFmtId="1" fontId="0" fillId="0" borderId="0" xfId="0" applyNumberFormat="1"/>
    <xf numFmtId="0" fontId="0" fillId="0" borderId="3" xfId="0" applyBorder="1"/>
    <xf numFmtId="164" fontId="0" fillId="0" borderId="3" xfId="0" applyNumberFormat="1" applyBorder="1" applyAlignment="1"/>
    <xf numFmtId="0" fontId="3" fillId="0" borderId="0" xfId="0" applyFont="1"/>
    <xf numFmtId="0" fontId="0" fillId="0" borderId="1" xfId="0" applyBorder="1"/>
    <xf numFmtId="164" fontId="0" fillId="0" borderId="1" xfId="0" applyNumberFormat="1" applyBorder="1" applyAlignment="1"/>
    <xf numFmtId="164" fontId="0" fillId="0" borderId="0" xfId="0" applyNumberFormat="1" applyAlignment="1"/>
    <xf numFmtId="164" fontId="0" fillId="0" borderId="2" xfId="0" applyNumberFormat="1" applyBorder="1" applyAlignmen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0" fillId="0" borderId="0" xfId="0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Fill="1" applyAlignment="1"/>
    <xf numFmtId="2" fontId="0" fillId="0" borderId="0" xfId="0" applyNumberFormat="1" applyFill="1" applyAlignment="1"/>
    <xf numFmtId="0" fontId="7" fillId="0" borderId="0" xfId="0" applyFont="1"/>
    <xf numFmtId="2" fontId="0" fillId="0" borderId="0" xfId="0" applyNumberFormat="1"/>
    <xf numFmtId="165" fontId="0" fillId="2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0" fontId="0" fillId="3" borderId="0" xfId="0" applyFill="1"/>
    <xf numFmtId="0" fontId="0" fillId="0" borderId="4" xfId="0" applyBorder="1"/>
    <xf numFmtId="1" fontId="0" fillId="0" borderId="4" xfId="0" applyNumberFormat="1" applyBorder="1"/>
    <xf numFmtId="1" fontId="0" fillId="0" borderId="4" xfId="0" applyNumberFormat="1" applyFill="1" applyBorder="1"/>
    <xf numFmtId="165" fontId="0" fillId="0" borderId="4" xfId="0" applyNumberFormat="1" applyBorder="1"/>
    <xf numFmtId="165" fontId="0" fillId="0" borderId="4" xfId="0" applyNumberFormat="1" applyFill="1" applyBorder="1"/>
    <xf numFmtId="0" fontId="0" fillId="3" borderId="4" xfId="0" applyFill="1" applyBorder="1"/>
    <xf numFmtId="164" fontId="0" fillId="0" borderId="4" xfId="0" applyNumberFormat="1" applyBorder="1"/>
    <xf numFmtId="1" fontId="0" fillId="0" borderId="0" xfId="0" applyNumberFormat="1" applyFill="1" applyBorder="1"/>
    <xf numFmtId="0" fontId="0" fillId="0" borderId="4" xfId="0" applyNumberFormat="1" applyBorder="1"/>
    <xf numFmtId="0" fontId="0" fillId="0" borderId="4" xfId="0" applyNumberFormat="1" applyFill="1" applyBorder="1"/>
    <xf numFmtId="165" fontId="0" fillId="0" borderId="0" xfId="0" applyNumberFormat="1" applyFill="1" applyBorder="1"/>
    <xf numFmtId="165" fontId="0" fillId="0" borderId="0" xfId="0" applyNumberFormat="1" applyBorder="1"/>
    <xf numFmtId="165" fontId="7" fillId="0" borderId="4" xfId="0" applyNumberFormat="1" applyFont="1" applyBorder="1"/>
    <xf numFmtId="165" fontId="7" fillId="0" borderId="0" xfId="0" applyNumberFormat="1" applyFont="1"/>
    <xf numFmtId="0" fontId="2" fillId="0" borderId="0" xfId="0" quotePrefix="1" applyFont="1"/>
    <xf numFmtId="164" fontId="3" fillId="0" borderId="2" xfId="0" applyNumberFormat="1" applyFont="1" applyBorder="1" applyAlignment="1"/>
    <xf numFmtId="0" fontId="0" fillId="4" borderId="0" xfId="0" applyFill="1"/>
    <xf numFmtId="165" fontId="0" fillId="4" borderId="0" xfId="0" applyNumberFormat="1" applyFill="1"/>
    <xf numFmtId="0" fontId="2" fillId="0" borderId="0" xfId="0" applyFont="1" applyFill="1" applyBorder="1"/>
    <xf numFmtId="2" fontId="2" fillId="0" borderId="4" xfId="0" applyNumberFormat="1" applyFont="1" applyBorder="1"/>
    <xf numFmtId="2" fontId="2" fillId="0" borderId="0" xfId="0" applyNumberFormat="1" applyFont="1"/>
    <xf numFmtId="2" fontId="2" fillId="5" borderId="0" xfId="0" applyNumberFormat="1" applyFont="1" applyFill="1"/>
    <xf numFmtId="2" fontId="2" fillId="4" borderId="0" xfId="0" applyNumberFormat="1" applyFont="1" applyFill="1"/>
    <xf numFmtId="2" fontId="2" fillId="0" borderId="0" xfId="0" applyNumberFormat="1" applyFont="1" applyFill="1" applyBorder="1"/>
    <xf numFmtId="2" fontId="2" fillId="5" borderId="0" xfId="0" applyNumberFormat="1" applyFont="1" applyFill="1" applyBorder="1"/>
    <xf numFmtId="2" fontId="0" fillId="0" borderId="4" xfId="0" applyNumberFormat="1" applyBorder="1"/>
    <xf numFmtId="2" fontId="0" fillId="5" borderId="0" xfId="0" applyNumberFormat="1" applyFill="1"/>
    <xf numFmtId="2" fontId="0" fillId="0" borderId="0" xfId="0" applyNumberFormat="1" applyFill="1" applyBorder="1"/>
    <xf numFmtId="2" fontId="0" fillId="5" borderId="0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ill="1"/>
    <xf numFmtId="2" fontId="0" fillId="0" borderId="0" xfId="0" applyNumberFormat="1" applyBorder="1"/>
    <xf numFmtId="2" fontId="0" fillId="0" borderId="4" xfId="0" applyNumberFormat="1" applyFill="1" applyBorder="1" applyAlignment="1">
      <alignment horizontal="right" vertical="center"/>
    </xf>
    <xf numFmtId="2" fontId="0" fillId="0" borderId="0" xfId="0" applyNumberFormat="1" applyFill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2" fontId="11" fillId="6" borderId="0" xfId="2" applyNumberFormat="1" applyAlignment="1">
      <alignment horizontal="right" vertical="center"/>
    </xf>
    <xf numFmtId="2" fontId="0" fillId="0" borderId="4" xfId="0" applyNumberFormat="1" applyFill="1" applyBorder="1" applyAlignment="1"/>
    <xf numFmtId="2" fontId="0" fillId="5" borderId="0" xfId="0" applyNumberFormat="1" applyFill="1" applyAlignment="1"/>
    <xf numFmtId="2" fontId="0" fillId="0" borderId="0" xfId="0" applyNumberFormat="1" applyFill="1" applyBorder="1" applyAlignment="1"/>
    <xf numFmtId="2" fontId="0" fillId="5" borderId="0" xfId="0" applyNumberFormat="1" applyFill="1" applyBorder="1" applyAlignment="1"/>
    <xf numFmtId="2" fontId="11" fillId="6" borderId="0" xfId="2" applyNumberFormat="1" applyAlignment="1"/>
    <xf numFmtId="2" fontId="11" fillId="6" borderId="0" xfId="2" applyNumberFormat="1" applyBorder="1" applyAlignment="1"/>
    <xf numFmtId="2" fontId="11" fillId="6" borderId="0" xfId="2" applyNumberFormat="1"/>
    <xf numFmtId="167" fontId="2" fillId="5" borderId="0" xfId="0" applyNumberFormat="1" applyFont="1" applyFill="1" applyBorder="1"/>
    <xf numFmtId="1" fontId="0" fillId="4" borderId="0" xfId="0" applyNumberFormat="1" applyFill="1"/>
    <xf numFmtId="165" fontId="2" fillId="0" borderId="0" xfId="0" applyNumberFormat="1" applyFont="1" applyFill="1" applyBorder="1"/>
    <xf numFmtId="164" fontId="2" fillId="5" borderId="0" xfId="0" applyNumberFormat="1" applyFont="1" applyFill="1" applyBorder="1"/>
    <xf numFmtId="164" fontId="2" fillId="5" borderId="0" xfId="0" applyNumberFormat="1" applyFont="1" applyFill="1"/>
    <xf numFmtId="0" fontId="0" fillId="3" borderId="0" xfId="0" applyFill="1" applyBorder="1"/>
    <xf numFmtId="164" fontId="0" fillId="0" borderId="0" xfId="0" applyNumberForma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3" fillId="0" borderId="9" xfId="0" applyFont="1" applyBorder="1"/>
    <xf numFmtId="0" fontId="3" fillId="0" borderId="9" xfId="0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9" xfId="0" applyBorder="1"/>
    <xf numFmtId="1" fontId="0" fillId="0" borderId="9" xfId="0" applyNumberForma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textRotation="90"/>
    </xf>
    <xf numFmtId="0" fontId="3" fillId="0" borderId="0" xfId="0" applyFont="1" applyFill="1" applyBorder="1" applyAlignment="1">
      <alignment horizontal="right" textRotation="90" wrapText="1"/>
    </xf>
    <xf numFmtId="1" fontId="0" fillId="0" borderId="0" xfId="0" applyNumberFormat="1" applyBorder="1"/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center" vertical="top"/>
    </xf>
    <xf numFmtId="166" fontId="15" fillId="0" borderId="7" xfId="0" applyNumberFormat="1" applyFont="1" applyFill="1" applyBorder="1" applyAlignment="1">
      <alignment horizontal="center" vertical="top"/>
    </xf>
    <xf numFmtId="166" fontId="15" fillId="0" borderId="0" xfId="0" applyNumberFormat="1" applyFont="1" applyFill="1" applyBorder="1" applyAlignment="1">
      <alignment horizontal="center" vertical="top"/>
    </xf>
    <xf numFmtId="166" fontId="15" fillId="0" borderId="5" xfId="0" applyNumberFormat="1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3" fontId="14" fillId="0" borderId="5" xfId="0" applyNumberFormat="1" applyFont="1" applyFill="1" applyBorder="1" applyAlignment="1">
      <alignment horizontal="center" vertical="top"/>
    </xf>
    <xf numFmtId="3" fontId="14" fillId="0" borderId="6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textRotation="90"/>
    </xf>
    <xf numFmtId="0" fontId="0" fillId="0" borderId="4" xfId="0" applyBorder="1" applyAlignment="1">
      <alignment textRotation="90"/>
    </xf>
    <xf numFmtId="0" fontId="2" fillId="4" borderId="0" xfId="0" applyFont="1" applyFill="1" applyAlignment="1">
      <alignment textRotation="90"/>
    </xf>
    <xf numFmtId="0" fontId="2" fillId="0" borderId="0" xfId="0" applyFont="1" applyFill="1" applyBorder="1" applyAlignment="1">
      <alignment textRotation="90"/>
    </xf>
    <xf numFmtId="0" fontId="2" fillId="4" borderId="0" xfId="0" applyFont="1" applyFill="1" applyBorder="1" applyAlignment="1">
      <alignment textRotation="90"/>
    </xf>
    <xf numFmtId="0" fontId="0" fillId="4" borderId="0" xfId="0" applyFill="1" applyAlignment="1">
      <alignment textRotation="90"/>
    </xf>
    <xf numFmtId="0" fontId="0" fillId="0" borderId="4" xfId="0" applyNumberFormat="1" applyBorder="1" applyAlignment="1">
      <alignment textRotation="90"/>
    </xf>
    <xf numFmtId="165" fontId="0" fillId="0" borderId="0" xfId="0" applyNumberFormat="1" applyFill="1" applyBorder="1" applyAlignment="1">
      <alignment textRotation="90"/>
    </xf>
    <xf numFmtId="165" fontId="0" fillId="0" borderId="0" xfId="0" applyNumberFormat="1" applyAlignment="1">
      <alignment textRotation="90"/>
    </xf>
    <xf numFmtId="165" fontId="0" fillId="0" borderId="0" xfId="0" applyNumberFormat="1" applyFont="1" applyFill="1" applyBorder="1" applyAlignment="1">
      <alignment textRotation="90"/>
    </xf>
    <xf numFmtId="2" fontId="2" fillId="0" borderId="4" xfId="0" applyNumberFormat="1" applyFont="1" applyFill="1" applyBorder="1" applyAlignment="1">
      <alignment textRotation="90"/>
    </xf>
    <xf numFmtId="2" fontId="2" fillId="0" borderId="0" xfId="0" applyNumberFormat="1" applyFont="1" applyFill="1" applyBorder="1" applyAlignment="1">
      <alignment textRotation="90"/>
    </xf>
    <xf numFmtId="2" fontId="2" fillId="5" borderId="0" xfId="0" applyNumberFormat="1" applyFont="1" applyFill="1" applyBorder="1" applyAlignment="1">
      <alignment textRotation="90"/>
    </xf>
    <xf numFmtId="2" fontId="2" fillId="4" borderId="0" xfId="0" applyNumberFormat="1" applyFont="1" applyFill="1" applyBorder="1" applyAlignment="1">
      <alignment textRotation="90"/>
    </xf>
    <xf numFmtId="0" fontId="0" fillId="0" borderId="0" xfId="0" applyAlignment="1">
      <alignment horizontal="left"/>
    </xf>
    <xf numFmtId="164" fontId="0" fillId="0" borderId="0" xfId="0" applyNumberFormat="1"/>
    <xf numFmtId="164" fontId="0" fillId="5" borderId="0" xfId="0" applyNumberFormat="1" applyFill="1"/>
    <xf numFmtId="0" fontId="2" fillId="0" borderId="0" xfId="0" applyFont="1" applyFill="1" applyAlignment="1">
      <alignment textRotation="90"/>
    </xf>
    <xf numFmtId="0" fontId="2" fillId="0" borderId="0" xfId="0" applyFont="1" applyAlignment="1">
      <alignment textRotation="90"/>
    </xf>
    <xf numFmtId="0" fontId="2" fillId="5" borderId="0" xfId="0" applyFont="1" applyFill="1" applyAlignment="1">
      <alignment textRotation="90"/>
    </xf>
    <xf numFmtId="0" fontId="18" fillId="0" borderId="0" xfId="0" applyFont="1" applyFill="1" applyBorder="1"/>
    <xf numFmtId="1" fontId="18" fillId="0" borderId="0" xfId="0" applyNumberFormat="1" applyFont="1"/>
    <xf numFmtId="0" fontId="18" fillId="0" borderId="0" xfId="0" applyFont="1"/>
    <xf numFmtId="164" fontId="18" fillId="0" borderId="0" xfId="0" applyNumberFormat="1" applyFo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0" fontId="0" fillId="0" borderId="0" xfId="0" applyNumberFormat="1" applyBorder="1" applyAlignment="1"/>
    <xf numFmtId="49" fontId="2" fillId="0" borderId="0" xfId="0" applyNumberFormat="1" applyFont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49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 applyAlignment="1"/>
    <xf numFmtId="1" fontId="0" fillId="0" borderId="8" xfId="3" applyNumberFormat="1" applyFont="1" applyFill="1"/>
    <xf numFmtId="0" fontId="14" fillId="0" borderId="7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164" fontId="3" fillId="0" borderId="0" xfId="0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</cellXfs>
  <cellStyles count="4">
    <cellStyle name="Incorrecto" xfId="2" builtinId="27"/>
    <cellStyle name="Normal" xfId="0" builtinId="0"/>
    <cellStyle name="Normal 2" xfId="1"/>
    <cellStyle name="Nota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705217079899735"/>
          <c:y val="1.9583840812672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Decades!$B$2</c:f>
              <c:strCache>
                <c:ptCount val="1"/>
                <c:pt idx="0">
                  <c:v>1968-1980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0.11980025252525253"/>
                  <c:y val="-0.365323484848484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Decades!$J$3:$J$23</c:f>
              <c:numCache>
                <c:formatCode>0.000</c:formatCode>
                <c:ptCount val="21"/>
                <c:pt idx="0">
                  <c:v>0.18413508595459704</c:v>
                </c:pt>
                <c:pt idx="1">
                  <c:v>0.15270644564564609</c:v>
                </c:pt>
                <c:pt idx="2">
                  <c:v>2.7058907507171146E-3</c:v>
                </c:pt>
                <c:pt idx="3">
                  <c:v>0.17404071691972658</c:v>
                </c:pt>
                <c:pt idx="4">
                  <c:v>0.4883502019958908</c:v>
                </c:pt>
                <c:pt idx="5">
                  <c:v>0.80819221239268269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1.2385517919264205E-2</c:v>
                </c:pt>
              </c:numCache>
            </c:numRef>
          </c:xVal>
          <c:yVal>
            <c:numRef>
              <c:f>Decades!$B$3:$B$23</c:f>
              <c:numCache>
                <c:formatCode>0</c:formatCode>
                <c:ptCount val="21"/>
                <c:pt idx="0">
                  <c:v>315.84615384615387</c:v>
                </c:pt>
                <c:pt idx="1">
                  <c:v>264</c:v>
                </c:pt>
                <c:pt idx="2">
                  <c:v>276.61538461538464</c:v>
                </c:pt>
                <c:pt idx="3">
                  <c:v>687.61538461538464</c:v>
                </c:pt>
                <c:pt idx="4">
                  <c:v>211</c:v>
                </c:pt>
                <c:pt idx="5">
                  <c:v>149.07692307692307</c:v>
                </c:pt>
                <c:pt idx="6">
                  <c:v>96.384615384615387</c:v>
                </c:pt>
                <c:pt idx="7">
                  <c:v>142.84615384615384</c:v>
                </c:pt>
                <c:pt idx="8">
                  <c:v>50.46153846153846</c:v>
                </c:pt>
                <c:pt idx="9">
                  <c:v>39.92307692307692</c:v>
                </c:pt>
                <c:pt idx="10">
                  <c:v>17.307692307692307</c:v>
                </c:pt>
                <c:pt idx="11">
                  <c:v>79.384615384615387</c:v>
                </c:pt>
                <c:pt idx="12">
                  <c:v>201.53846153846155</c:v>
                </c:pt>
                <c:pt idx="13">
                  <c:v>92.15384615384616</c:v>
                </c:pt>
                <c:pt idx="14">
                  <c:v>34.846153846153847</c:v>
                </c:pt>
                <c:pt idx="15">
                  <c:v>92.230769230769226</c:v>
                </c:pt>
                <c:pt idx="16">
                  <c:v>97</c:v>
                </c:pt>
                <c:pt idx="17">
                  <c:v>24.53846153846154</c:v>
                </c:pt>
                <c:pt idx="18">
                  <c:v>25.23076923076923</c:v>
                </c:pt>
                <c:pt idx="19">
                  <c:v>21.307692307692307</c:v>
                </c:pt>
                <c:pt idx="20">
                  <c:v>124.11111111111111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35792"/>
        <c:axId val="512932656"/>
      </c:scatterChart>
      <c:valAx>
        <c:axId val="51293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eucalypt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2656"/>
        <c:crosses val="autoZero"/>
        <c:crossBetween val="midCat"/>
      </c:valAx>
      <c:valAx>
        <c:axId val="512932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5792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41256514436207"/>
          <c:y val="1.9583840812672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Decades!$C$2</c:f>
              <c:strCache>
                <c:ptCount val="1"/>
                <c:pt idx="0">
                  <c:v>1981-1990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38198434343434345"/>
                  <c:y val="-0.436526010101010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Decades!$AA$3:$AA$23</c:f>
              <c:numCache>
                <c:formatCode>0.000</c:formatCode>
                <c:ptCount val="21"/>
                <c:pt idx="0">
                  <c:v>0.98667343908295346</c:v>
                </c:pt>
                <c:pt idx="1">
                  <c:v>0.97104811847557349</c:v>
                </c:pt>
                <c:pt idx="2">
                  <c:v>0.97045595084300895</c:v>
                </c:pt>
                <c:pt idx="3">
                  <c:v>0.98677731443670724</c:v>
                </c:pt>
                <c:pt idx="4">
                  <c:v>0.8905532123592026</c:v>
                </c:pt>
                <c:pt idx="5">
                  <c:v>0.96755977321139952</c:v>
                </c:pt>
                <c:pt idx="6">
                  <c:v>0.70290891899872709</c:v>
                </c:pt>
                <c:pt idx="7">
                  <c:v>0.33887624611027184</c:v>
                </c:pt>
                <c:pt idx="8">
                  <c:v>0.18904852697216964</c:v>
                </c:pt>
                <c:pt idx="9">
                  <c:v>0.88873959119134682</c:v>
                </c:pt>
                <c:pt idx="10">
                  <c:v>0.91034910988813422</c:v>
                </c:pt>
                <c:pt idx="11">
                  <c:v>0.25203750001787628</c:v>
                </c:pt>
                <c:pt idx="12">
                  <c:v>0.90666850830748857</c:v>
                </c:pt>
                <c:pt idx="13">
                  <c:v>0.58218449109158188</c:v>
                </c:pt>
                <c:pt idx="14">
                  <c:v>0.93362389268715085</c:v>
                </c:pt>
                <c:pt idx="15">
                  <c:v>0.9804097413761933</c:v>
                </c:pt>
                <c:pt idx="16">
                  <c:v>0.51801444191844048</c:v>
                </c:pt>
                <c:pt idx="17">
                  <c:v>0.2074424773828438</c:v>
                </c:pt>
                <c:pt idx="18">
                  <c:v>0.83397508398284415</c:v>
                </c:pt>
                <c:pt idx="19">
                  <c:v>0.41253766793384172</c:v>
                </c:pt>
                <c:pt idx="20">
                  <c:v>0.9748220141022369</c:v>
                </c:pt>
              </c:numCache>
            </c:numRef>
          </c:xVal>
          <c:yVal>
            <c:numRef>
              <c:f>Decades!$C$3:$C$23</c:f>
              <c:numCache>
                <c:formatCode>0</c:formatCode>
                <c:ptCount val="21"/>
                <c:pt idx="0">
                  <c:v>939.1</c:v>
                </c:pt>
                <c:pt idx="1">
                  <c:v>645.79999999999995</c:v>
                </c:pt>
                <c:pt idx="2">
                  <c:v>755</c:v>
                </c:pt>
                <c:pt idx="3">
                  <c:v>1502</c:v>
                </c:pt>
                <c:pt idx="4">
                  <c:v>570.1</c:v>
                </c:pt>
                <c:pt idx="5">
                  <c:v>346.8</c:v>
                </c:pt>
                <c:pt idx="6">
                  <c:v>137.5</c:v>
                </c:pt>
                <c:pt idx="7">
                  <c:v>463.3</c:v>
                </c:pt>
                <c:pt idx="8">
                  <c:v>129.9</c:v>
                </c:pt>
                <c:pt idx="9">
                  <c:v>92.4</c:v>
                </c:pt>
                <c:pt idx="10">
                  <c:v>38.6</c:v>
                </c:pt>
                <c:pt idx="11">
                  <c:v>307.10000000000002</c:v>
                </c:pt>
                <c:pt idx="12">
                  <c:v>195.3</c:v>
                </c:pt>
                <c:pt idx="13">
                  <c:v>94.7</c:v>
                </c:pt>
                <c:pt idx="14">
                  <c:v>79.8</c:v>
                </c:pt>
                <c:pt idx="15">
                  <c:v>119.5</c:v>
                </c:pt>
                <c:pt idx="16">
                  <c:v>145.57142857142858</c:v>
                </c:pt>
                <c:pt idx="17">
                  <c:v>72.2</c:v>
                </c:pt>
                <c:pt idx="18">
                  <c:v>74</c:v>
                </c:pt>
                <c:pt idx="19">
                  <c:v>60.5</c:v>
                </c:pt>
                <c:pt idx="20">
                  <c:v>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737624"/>
        <c:axId val="515743112"/>
      </c:scatterChart>
      <c:valAx>
        <c:axId val="515737624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pyrophytic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43112"/>
        <c:crosses val="autoZero"/>
        <c:crossBetween val="midCat"/>
      </c:valAx>
      <c:valAx>
        <c:axId val="515743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7624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769753352204934"/>
          <c:y val="2.937576121900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Decades!$D$2</c:f>
              <c:strCache>
                <c:ptCount val="1"/>
                <c:pt idx="0">
                  <c:v>1991-2000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43169357592887003"/>
                  <c:y val="-0.393739393939393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Decades!$AB$3:$AB$23</c:f>
              <c:numCache>
                <c:formatCode>0.000</c:formatCode>
                <c:ptCount val="21"/>
                <c:pt idx="0">
                  <c:v>0.98578182717857443</c:v>
                </c:pt>
                <c:pt idx="1">
                  <c:v>0.95953415292215349</c:v>
                </c:pt>
                <c:pt idx="2">
                  <c:v>0.95049289930430214</c:v>
                </c:pt>
                <c:pt idx="3">
                  <c:v>0.97604850345755256</c:v>
                </c:pt>
                <c:pt idx="4">
                  <c:v>0.81908799179523983</c:v>
                </c:pt>
                <c:pt idx="5">
                  <c:v>0.98665131931609573</c:v>
                </c:pt>
                <c:pt idx="6">
                  <c:v>0.70335998764591667</c:v>
                </c:pt>
                <c:pt idx="7">
                  <c:v>0.49831534783353337</c:v>
                </c:pt>
                <c:pt idx="8">
                  <c:v>0.21888272674277276</c:v>
                </c:pt>
                <c:pt idx="9">
                  <c:v>0.89703040246875787</c:v>
                </c:pt>
                <c:pt idx="10">
                  <c:v>0.91612568633356262</c:v>
                </c:pt>
                <c:pt idx="11">
                  <c:v>0.56678692540526165</c:v>
                </c:pt>
                <c:pt idx="12">
                  <c:v>0.91795888637750389</c:v>
                </c:pt>
                <c:pt idx="13">
                  <c:v>0.52248390911425668</c:v>
                </c:pt>
                <c:pt idx="14">
                  <c:v>0.88407394310479293</c:v>
                </c:pt>
                <c:pt idx="15">
                  <c:v>0.86654318248004614</c:v>
                </c:pt>
                <c:pt idx="16">
                  <c:v>0.5178935748529041</c:v>
                </c:pt>
                <c:pt idx="17">
                  <c:v>0.34279320687835479</c:v>
                </c:pt>
                <c:pt idx="18">
                  <c:v>0.7597108806907491</c:v>
                </c:pt>
                <c:pt idx="19">
                  <c:v>0.50665236611245035</c:v>
                </c:pt>
                <c:pt idx="20">
                  <c:v>0.97431564883465749</c:v>
                </c:pt>
              </c:numCache>
            </c:numRef>
          </c:xVal>
          <c:yVal>
            <c:numRef>
              <c:f>Decades!$D$3:$D$23</c:f>
              <c:numCache>
                <c:formatCode>0</c:formatCode>
                <c:ptCount val="21"/>
                <c:pt idx="0">
                  <c:v>2398.1999999999998</c:v>
                </c:pt>
                <c:pt idx="1">
                  <c:v>1581.5</c:v>
                </c:pt>
                <c:pt idx="2">
                  <c:v>3324.8</c:v>
                </c:pt>
                <c:pt idx="3">
                  <c:v>2884.5</c:v>
                </c:pt>
                <c:pt idx="4">
                  <c:v>1023.5</c:v>
                </c:pt>
                <c:pt idx="5">
                  <c:v>294.3</c:v>
                </c:pt>
                <c:pt idx="6">
                  <c:v>168</c:v>
                </c:pt>
                <c:pt idx="7">
                  <c:v>600.9</c:v>
                </c:pt>
                <c:pt idx="8">
                  <c:v>69.8</c:v>
                </c:pt>
                <c:pt idx="9">
                  <c:v>86.3</c:v>
                </c:pt>
                <c:pt idx="10">
                  <c:v>59.1</c:v>
                </c:pt>
                <c:pt idx="11">
                  <c:v>462.1</c:v>
                </c:pt>
                <c:pt idx="12">
                  <c:v>302.5</c:v>
                </c:pt>
                <c:pt idx="13">
                  <c:v>177.2</c:v>
                </c:pt>
                <c:pt idx="14">
                  <c:v>100.9</c:v>
                </c:pt>
                <c:pt idx="15">
                  <c:v>149.5</c:v>
                </c:pt>
                <c:pt idx="16">
                  <c:v>263.11111111111109</c:v>
                </c:pt>
                <c:pt idx="17">
                  <c:v>108.3</c:v>
                </c:pt>
                <c:pt idx="18">
                  <c:v>103.9</c:v>
                </c:pt>
                <c:pt idx="19">
                  <c:v>111.3</c:v>
                </c:pt>
                <c:pt idx="20">
                  <c:v>169.22222222222223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738408"/>
        <c:axId val="515739976"/>
      </c:scatterChart>
      <c:valAx>
        <c:axId val="51573840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pyrophytic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9976"/>
        <c:crosses val="autoZero"/>
        <c:crossBetween val="midCat"/>
      </c:valAx>
      <c:valAx>
        <c:axId val="51573997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8408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308084022915341"/>
          <c:y val="2.2847814281451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Decades!$E$2</c:f>
              <c:strCache>
                <c:ptCount val="1"/>
                <c:pt idx="0">
                  <c:v>2001-2012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1224747474747475"/>
                  <c:y val="1.2828282828282828E-2"/>
                </c:manualLayout>
              </c:layout>
              <c:tx>
                <c:rich>
                  <a:bodyPr/>
                  <a:lstStyle/>
                  <a:p>
                    <a:fld id="{171280F7-6FD9-4FF4-814B-D820B760160C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{171280F7-6FD9-4FF4-814B-D820B760160C}</c15:txfldGUID>
                      <c15:f>Decades!$A$3</c15:f>
                      <c15:dlblFieldTableCache>
                        <c:ptCount val="1"/>
                        <c:pt idx="0">
                          <c:v>A Coruña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0.11866161616161616"/>
                  <c:y val="-4.169191919191919E-2"/>
                </c:manualLayout>
              </c:layout>
              <c:tx>
                <c:rich>
                  <a:bodyPr/>
                  <a:lstStyle/>
                  <a:p>
                    <a:fld id="{6FFC3868-1804-49C8-9E38-203806DB52F2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{6FFC3868-1804-49C8-9E38-203806DB52F2}</c15:txfldGUID>
                      <c15:f>Decades!$A$4</c15:f>
                      <c15:dlblFieldTableCache>
                        <c:ptCount val="1"/>
                        <c:pt idx="0">
                          <c:v>Lugo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0.15073232323232325"/>
                  <c:y val="-2.8863636363636362E-2"/>
                </c:manualLayout>
              </c:layout>
              <c:tx>
                <c:rich>
                  <a:bodyPr/>
                  <a:lstStyle/>
                  <a:p>
                    <a:fld id="{5EAA7F73-8506-4FE5-B7FC-3C2A133FD5B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{5EAA7F73-8506-4FE5-B7FC-3C2A133FD5B6}</c15:txfldGUID>
                      <c15:f>Decades!$A$5</c15:f>
                      <c15:dlblFieldTableCache>
                        <c:ptCount val="1"/>
                        <c:pt idx="0">
                          <c:v>Ourense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0.11224747474747486"/>
                  <c:y val="-3.8484848484848483E-2"/>
                </c:manualLayout>
              </c:layout>
              <c:tx>
                <c:rich>
                  <a:bodyPr/>
                  <a:lstStyle/>
                  <a:p>
                    <a:fld id="{A0F93369-1708-4724-9D62-A09C33E28BA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{A0F93369-1708-4724-9D62-A09C33E28BA6}</c15:txfldGUID>
                      <c15:f>Decades!$A$6</c15:f>
                      <c15:dlblFieldTableCache>
                        <c:ptCount val="1"/>
                        <c:pt idx="0">
                          <c:v>Pontevedra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0.16676767676767676"/>
                  <c:y val="0"/>
                </c:manualLayout>
              </c:layout>
              <c:tx>
                <c:rich>
                  <a:bodyPr/>
                  <a:lstStyle/>
                  <a:p>
                    <a:fld id="{E5F6B535-E36D-400F-B482-66E506350AA8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{E5F6B535-E36D-400F-B482-66E506350AA8}</c15:txfldGUID>
                      <c15:f>Decades!$A$7</c15:f>
                      <c15:dlblFieldTableCache>
                        <c:ptCount val="1"/>
                        <c:pt idx="0">
                          <c:v>Asturias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0.10842714174178437"/>
                  <c:y val="-2.6633838383838386E-3"/>
                </c:manualLayout>
              </c:layout>
              <c:tx>
                <c:rich>
                  <a:bodyPr/>
                  <a:lstStyle/>
                  <a:p>
                    <a:fld id="{38D8A534-2201-400C-B0BF-89F0FAB7F28F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{38D8A534-2201-400C-B0BF-89F0FAB7F28F}</c15:txfldGUID>
                      <c15:f>Decades!$A$8</c15:f>
                      <c15:dlblFieldTableCache>
                        <c:ptCount val="1"/>
                        <c:pt idx="0">
                          <c:v>Cantabria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42725152009842193"/>
                  <c:y val="-0.403832828282828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Decades!$AC$3:$AC$23</c:f>
              <c:numCache>
                <c:formatCode>0.000</c:formatCode>
                <c:ptCount val="21"/>
                <c:pt idx="0">
                  <c:v>0.9785103327351754</c:v>
                </c:pt>
                <c:pt idx="1">
                  <c:v>0.92939495027104568</c:v>
                </c:pt>
                <c:pt idx="2">
                  <c:v>0.93919092751244226</c:v>
                </c:pt>
                <c:pt idx="3">
                  <c:v>0.98330651290350646</c:v>
                </c:pt>
                <c:pt idx="4">
                  <c:v>0.92455333769287351</c:v>
                </c:pt>
                <c:pt idx="5">
                  <c:v>0.99022218257850914</c:v>
                </c:pt>
                <c:pt idx="6">
                  <c:v>0.67079505068933831</c:v>
                </c:pt>
                <c:pt idx="7">
                  <c:v>0.64564444548775435</c:v>
                </c:pt>
                <c:pt idx="8">
                  <c:v>0.5758347252873226</c:v>
                </c:pt>
                <c:pt idx="9">
                  <c:v>0.84177840980041296</c:v>
                </c:pt>
                <c:pt idx="10">
                  <c:v>0.91143922632584651</c:v>
                </c:pt>
                <c:pt idx="11">
                  <c:v>0.60751193295877381</c:v>
                </c:pt>
                <c:pt idx="12">
                  <c:v>0.88848589205354955</c:v>
                </c:pt>
                <c:pt idx="13">
                  <c:v>0.68777149448372388</c:v>
                </c:pt>
                <c:pt idx="14">
                  <c:v>0.92509782092481663</c:v>
                </c:pt>
                <c:pt idx="15">
                  <c:v>0.98078594119878471</c:v>
                </c:pt>
                <c:pt idx="16">
                  <c:v>0.58709937141852375</c:v>
                </c:pt>
                <c:pt idx="17">
                  <c:v>0.45726810480280972</c:v>
                </c:pt>
                <c:pt idx="18">
                  <c:v>0.64071118658612491</c:v>
                </c:pt>
                <c:pt idx="19">
                  <c:v>0.38200712893508554</c:v>
                </c:pt>
                <c:pt idx="20">
                  <c:v>0.97478378208800887</c:v>
                </c:pt>
              </c:numCache>
            </c:numRef>
          </c:xVal>
          <c:yVal>
            <c:numRef>
              <c:f>Decades!$E$3:$E$23</c:f>
              <c:numCache>
                <c:formatCode>0</c:formatCode>
                <c:ptCount val="21"/>
                <c:pt idx="0">
                  <c:v>1617.6666666666667</c:v>
                </c:pt>
                <c:pt idx="1">
                  <c:v>853.41666666666663</c:v>
                </c:pt>
                <c:pt idx="2">
                  <c:v>2460.8333333333335</c:v>
                </c:pt>
                <c:pt idx="3">
                  <c:v>1912.1666666666667</c:v>
                </c:pt>
                <c:pt idx="4">
                  <c:v>1808</c:v>
                </c:pt>
                <c:pt idx="5">
                  <c:v>497.08333333333331</c:v>
                </c:pt>
                <c:pt idx="6">
                  <c:v>187.08333333333334</c:v>
                </c:pt>
                <c:pt idx="7">
                  <c:v>580.58333333333337</c:v>
                </c:pt>
                <c:pt idx="8">
                  <c:v>84</c:v>
                </c:pt>
                <c:pt idx="9">
                  <c:v>70.25</c:v>
                </c:pt>
                <c:pt idx="10">
                  <c:v>78.25</c:v>
                </c:pt>
                <c:pt idx="11">
                  <c:v>455.83333333333331</c:v>
                </c:pt>
                <c:pt idx="12">
                  <c:v>254.08333333333334</c:v>
                </c:pt>
                <c:pt idx="13">
                  <c:v>139.25</c:v>
                </c:pt>
                <c:pt idx="14">
                  <c:v>124.58333333333333</c:v>
                </c:pt>
                <c:pt idx="15">
                  <c:v>116.75</c:v>
                </c:pt>
                <c:pt idx="16">
                  <c:v>486.41666666666669</c:v>
                </c:pt>
                <c:pt idx="17">
                  <c:v>99.5</c:v>
                </c:pt>
                <c:pt idx="18">
                  <c:v>110.25</c:v>
                </c:pt>
                <c:pt idx="19">
                  <c:v>206.08333333333334</c:v>
                </c:pt>
                <c:pt idx="20">
                  <c:v>148.41666666666666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739584"/>
        <c:axId val="515745464"/>
      </c:scatterChart>
      <c:valAx>
        <c:axId val="515739584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pyrophytic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45464"/>
        <c:crosses val="autoZero"/>
        <c:crossBetween val="midCat"/>
      </c:valAx>
      <c:valAx>
        <c:axId val="51574546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9584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fires (1968-2012)</a:t>
            </a:r>
          </a:p>
        </c:rich>
      </c:tx>
      <c:layout>
        <c:manualLayout>
          <c:xMode val="edge"/>
          <c:yMode val="edge"/>
          <c:x val="0.27284494949494947"/>
          <c:y val="2.2790909090909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'Summary 1968-2012'!$B$1</c:f>
              <c:strCache>
                <c:ptCount val="1"/>
                <c:pt idx="0">
                  <c:v>Number of fires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0.11868964646464647"/>
                  <c:y val="-0.203977020202020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'Summary 1968-2012'!$C$2:$C$22</c:f>
                <c:numCache>
                  <c:formatCode>General</c:formatCode>
                  <c:ptCount val="21"/>
                  <c:pt idx="0">
                    <c:v>175.85236576587346</c:v>
                  </c:pt>
                  <c:pt idx="1">
                    <c:v>220.34660519225858</c:v>
                  </c:pt>
                  <c:pt idx="2">
                    <c:v>166.35802074507177</c:v>
                  </c:pt>
                  <c:pt idx="3">
                    <c:v>109.74407275077853</c:v>
                  </c:pt>
                  <c:pt idx="4">
                    <c:v>92.036518882891301</c:v>
                  </c:pt>
                  <c:pt idx="5">
                    <c:v>43.338000784634474</c:v>
                  </c:pt>
                  <c:pt idx="6">
                    <c:v>34.999954144590774</c:v>
                  </c:pt>
                  <c:pt idx="7">
                    <c:v>32.752538476512669</c:v>
                  </c:pt>
                  <c:pt idx="8">
                    <c:v>35.732632098298438</c:v>
                  </c:pt>
                  <c:pt idx="9">
                    <c:v>15.144969495185554</c:v>
                  </c:pt>
                  <c:pt idx="10">
                    <c:v>35.60889229747599</c:v>
                  </c:pt>
                  <c:pt idx="11">
                    <c:v>11.551434774187664</c:v>
                  </c:pt>
                  <c:pt idx="12">
                    <c:v>9.6602010189307332</c:v>
                  </c:pt>
                  <c:pt idx="13">
                    <c:v>8.5339817198955075</c:v>
                  </c:pt>
                  <c:pt idx="14">
                    <c:v>11.710291693104756</c:v>
                  </c:pt>
                  <c:pt idx="15">
                    <c:v>7.0076837738512801</c:v>
                  </c:pt>
                  <c:pt idx="16">
                    <c:v>9.5615578986928753</c:v>
                  </c:pt>
                  <c:pt idx="17">
                    <c:v>6.8291479339613197</c:v>
                  </c:pt>
                  <c:pt idx="18">
                    <c:v>6.9422873417450477</c:v>
                  </c:pt>
                  <c:pt idx="19">
                    <c:v>5.2557317330113706</c:v>
                  </c:pt>
                  <c:pt idx="20">
                    <c:v>5.0535005258270456</c:v>
                  </c:pt>
                </c:numCache>
              </c:numRef>
            </c:plus>
            <c:minus>
              <c:numRef>
                <c:f>'Summary 1968-2012'!$C$2:$C$22</c:f>
                <c:numCache>
                  <c:formatCode>General</c:formatCode>
                  <c:ptCount val="21"/>
                  <c:pt idx="0">
                    <c:v>175.85236576587346</c:v>
                  </c:pt>
                  <c:pt idx="1">
                    <c:v>220.34660519225858</c:v>
                  </c:pt>
                  <c:pt idx="2">
                    <c:v>166.35802074507177</c:v>
                  </c:pt>
                  <c:pt idx="3">
                    <c:v>109.74407275077853</c:v>
                  </c:pt>
                  <c:pt idx="4">
                    <c:v>92.036518882891301</c:v>
                  </c:pt>
                  <c:pt idx="5">
                    <c:v>43.338000784634474</c:v>
                  </c:pt>
                  <c:pt idx="6">
                    <c:v>34.999954144590774</c:v>
                  </c:pt>
                  <c:pt idx="7">
                    <c:v>32.752538476512669</c:v>
                  </c:pt>
                  <c:pt idx="8">
                    <c:v>35.732632098298438</c:v>
                  </c:pt>
                  <c:pt idx="9">
                    <c:v>15.144969495185554</c:v>
                  </c:pt>
                  <c:pt idx="10">
                    <c:v>35.60889229747599</c:v>
                  </c:pt>
                  <c:pt idx="11">
                    <c:v>11.551434774187664</c:v>
                  </c:pt>
                  <c:pt idx="12">
                    <c:v>9.6602010189307332</c:v>
                  </c:pt>
                  <c:pt idx="13">
                    <c:v>8.5339817198955075</c:v>
                  </c:pt>
                  <c:pt idx="14">
                    <c:v>11.710291693104756</c:v>
                  </c:pt>
                  <c:pt idx="15">
                    <c:v>7.0076837738512801</c:v>
                  </c:pt>
                  <c:pt idx="16">
                    <c:v>9.5615578986928753</c:v>
                  </c:pt>
                  <c:pt idx="17">
                    <c:v>6.8291479339613197</c:v>
                  </c:pt>
                  <c:pt idx="18">
                    <c:v>6.9422873417450477</c:v>
                  </c:pt>
                  <c:pt idx="19">
                    <c:v>5.2557317330113706</c:v>
                  </c:pt>
                  <c:pt idx="20">
                    <c:v>5.0535005258270456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'Summary 1968-2012'!$L$2:$L$22</c:f>
                <c:numCache>
                  <c:formatCode>General</c:formatCode>
                  <c:ptCount val="21"/>
                  <c:pt idx="0">
                    <c:v>2.4310372763284741E-2</c:v>
                  </c:pt>
                  <c:pt idx="1">
                    <c:v>1.6346977489010636E-3</c:v>
                  </c:pt>
                  <c:pt idx="2">
                    <c:v>3.2085005024388435E-2</c:v>
                  </c:pt>
                  <c:pt idx="3">
                    <c:v>1.7838991669103858E-2</c:v>
                  </c:pt>
                  <c:pt idx="4">
                    <c:v>1.9632420421970199E-2</c:v>
                  </c:pt>
                  <c:pt idx="5">
                    <c:v>2.6538573817043069E-4</c:v>
                  </c:pt>
                  <c:pt idx="6">
                    <c:v>9.6695431420606784E-3</c:v>
                  </c:pt>
                  <c:pt idx="7">
                    <c:v>2.3843221140579344E-5</c:v>
                  </c:pt>
                  <c:pt idx="8">
                    <c:v>0</c:v>
                  </c:pt>
                  <c:pt idx="9">
                    <c:v>3.691911637748202E-4</c:v>
                  </c:pt>
                  <c:pt idx="10">
                    <c:v>6.8889247502832845E-3</c:v>
                  </c:pt>
                  <c:pt idx="11">
                    <c:v>4.4171806240371931E-6</c:v>
                  </c:pt>
                  <c:pt idx="12">
                    <c:v>6.6632933032988173E-3</c:v>
                  </c:pt>
                  <c:pt idx="13">
                    <c:v>8.3803154769761325E-6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4.8449612403100775E-4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plus>
            <c:minus>
              <c:numRef>
                <c:f>'Summary 1968-2012'!$L$2:$L$22</c:f>
                <c:numCache>
                  <c:formatCode>General</c:formatCode>
                  <c:ptCount val="21"/>
                  <c:pt idx="0">
                    <c:v>2.4310372763284741E-2</c:v>
                  </c:pt>
                  <c:pt idx="1">
                    <c:v>1.6346977489010636E-3</c:v>
                  </c:pt>
                  <c:pt idx="2">
                    <c:v>3.2085005024388435E-2</c:v>
                  </c:pt>
                  <c:pt idx="3">
                    <c:v>1.7838991669103858E-2</c:v>
                  </c:pt>
                  <c:pt idx="4">
                    <c:v>1.9632420421970199E-2</c:v>
                  </c:pt>
                  <c:pt idx="5">
                    <c:v>2.6538573817043069E-4</c:v>
                  </c:pt>
                  <c:pt idx="6">
                    <c:v>9.6695431420606784E-3</c:v>
                  </c:pt>
                  <c:pt idx="7">
                    <c:v>2.3843221140579344E-5</c:v>
                  </c:pt>
                  <c:pt idx="8">
                    <c:v>0</c:v>
                  </c:pt>
                  <c:pt idx="9">
                    <c:v>3.691911637748202E-4</c:v>
                  </c:pt>
                  <c:pt idx="10">
                    <c:v>6.8889247502832845E-3</c:v>
                  </c:pt>
                  <c:pt idx="11">
                    <c:v>4.4171806240371931E-6</c:v>
                  </c:pt>
                  <c:pt idx="12">
                    <c:v>6.6632933032988173E-3</c:v>
                  </c:pt>
                  <c:pt idx="13">
                    <c:v>8.3803154769761325E-6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4.8449612403100775E-4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'Summary 1968-2012'!$G$2:$G$22</c:f>
              <c:numCache>
                <c:formatCode>0.000</c:formatCode>
                <c:ptCount val="21"/>
                <c:pt idx="0">
                  <c:v>0.3432876817733197</c:v>
                </c:pt>
                <c:pt idx="1">
                  <c:v>9.4669869822671116E-3</c:v>
                </c:pt>
                <c:pt idx="2">
                  <c:v>0.3719345023996134</c:v>
                </c:pt>
                <c:pt idx="3">
                  <c:v>0.55264946862417874</c:v>
                </c:pt>
                <c:pt idx="4">
                  <c:v>0.2671745533341775</c:v>
                </c:pt>
                <c:pt idx="5">
                  <c:v>2.6538573817043079E-4</c:v>
                </c:pt>
                <c:pt idx="6">
                  <c:v>0.82588503196841512</c:v>
                </c:pt>
                <c:pt idx="7">
                  <c:v>2.7066669534960729E-5</c:v>
                </c:pt>
                <c:pt idx="8">
                  <c:v>0</c:v>
                </c:pt>
                <c:pt idx="9">
                  <c:v>9.0317519880419043E-4</c:v>
                </c:pt>
                <c:pt idx="10">
                  <c:v>2.9851430542054247E-2</c:v>
                </c:pt>
                <c:pt idx="11">
                  <c:v>4.4171806240371931E-6</c:v>
                </c:pt>
                <c:pt idx="12">
                  <c:v>3.5912885703258617E-2</c:v>
                </c:pt>
                <c:pt idx="13">
                  <c:v>8.3803154769761308E-6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4.8449612403100791E-4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'Summary 1968-2012'!$B$2:$B$22</c:f>
              <c:numCache>
                <c:formatCode>0.0</c:formatCode>
                <c:ptCount val="21"/>
                <c:pt idx="0">
                  <c:v>1683.3333333333335</c:v>
                </c:pt>
                <c:pt idx="1">
                  <c:v>1642.7555555555557</c:v>
                </c:pt>
                <c:pt idx="2">
                  <c:v>1264.2444444444445</c:v>
                </c:pt>
                <c:pt idx="3">
                  <c:v>897.22222222222217</c:v>
                </c:pt>
                <c:pt idx="4">
                  <c:v>798.80000000000007</c:v>
                </c:pt>
                <c:pt idx="5">
                  <c:v>432.57777777777784</c:v>
                </c:pt>
                <c:pt idx="6">
                  <c:v>318.0888888888889</c:v>
                </c:pt>
                <c:pt idx="7">
                  <c:v>315.42222222222222</c:v>
                </c:pt>
                <c:pt idx="8">
                  <c:v>272.89189189189193</c:v>
                </c:pt>
                <c:pt idx="9">
                  <c:v>236.6</c:v>
                </c:pt>
                <c:pt idx="10">
                  <c:v>189.44117647058826</c:v>
                </c:pt>
                <c:pt idx="11">
                  <c:v>145.62222222222223</c:v>
                </c:pt>
                <c:pt idx="12">
                  <c:v>124.17777777777778</c:v>
                </c:pt>
                <c:pt idx="13">
                  <c:v>117.55555555555554</c:v>
                </c:pt>
                <c:pt idx="14">
                  <c:v>99.288888888888906</c:v>
                </c:pt>
                <c:pt idx="15">
                  <c:v>83.444444444444457</c:v>
                </c:pt>
                <c:pt idx="16">
                  <c:v>81.355555555555554</c:v>
                </c:pt>
                <c:pt idx="17">
                  <c:v>76.222222222222229</c:v>
                </c:pt>
                <c:pt idx="18">
                  <c:v>73.73333333333332</c:v>
                </c:pt>
                <c:pt idx="19">
                  <c:v>69.977777777777789</c:v>
                </c:pt>
                <c:pt idx="20">
                  <c:v>47.577777777777776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96368"/>
        <c:axId val="516303424"/>
      </c:scatterChart>
      <c:valAx>
        <c:axId val="516296368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Proportion of eucalypt wood harvested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03424"/>
        <c:crosses val="autoZero"/>
        <c:crossBetween val="midCat"/>
      </c:valAx>
      <c:valAx>
        <c:axId val="516303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96368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13832496048137"/>
          <c:y val="4.9143221636540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10483858339985"/>
          <c:y val="0.13446200493753946"/>
          <c:w val="0.68625671915811792"/>
          <c:h val="0.67396152610001014"/>
        </c:manualLayout>
      </c:layout>
      <c:scatterChart>
        <c:scatterStyle val="lineMarker"/>
        <c:varyColors val="0"/>
        <c:ser>
          <c:idx val="0"/>
          <c:order val="0"/>
          <c:tx>
            <c:v>Fires 1991-2001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1563340284036166E-2"/>
                  <c:y val="3.362430954079091E-2"/>
                </c:manualLayout>
              </c:layout>
              <c:tx>
                <c:rich>
                  <a:bodyPr/>
                  <a:lstStyle/>
                  <a:p>
                    <a:fld id="{7479150D-F147-4476-8D20-42AA4F3E3877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{7479150D-F147-4476-8D20-42AA4F3E3877}</c15:txfldGUID>
                      <c15:f>Mediterranean!$A$4</c15:f>
                      <c15:dlblFieldTableCache>
                        <c:ptCount val="1"/>
                        <c:pt idx="0">
                          <c:v>Albania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7.1877800946787218E-3"/>
                  <c:y val="7.500807512945655E-2"/>
                </c:manualLayout>
              </c:layout>
              <c:tx>
                <c:rich>
                  <a:bodyPr/>
                  <a:lstStyle/>
                  <a:p>
                    <a:fld id="{A08C7AB6-9D15-447C-82A1-7E791DBB17C2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4075861830869"/>
                      <c:h val="6.4584539171811464E-2"/>
                    </c:manualLayout>
                  </c15:layout>
                  <c15:dlblFieldTable>
                    <c15:dlblFTEntry>
                      <c15:txfldGUID>{A08C7AB6-9D15-447C-82A1-7E791DBB17C2}</c15:txfldGUID>
                      <c15:f>Mediterranean!$A$7</c15:f>
                      <c15:dlblFieldTableCache>
                        <c:ptCount val="1"/>
                        <c:pt idx="0">
                          <c:v>Bosnia &amp; Herzegovina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0.11021262811840707"/>
                  <c:y val="-2.0691882794332869E-2"/>
                </c:manualLayout>
              </c:layout>
              <c:tx>
                <c:rich>
                  <a:bodyPr/>
                  <a:lstStyle/>
                  <a:p>
                    <a:fld id="{28B7B228-0768-4158-81E6-1139733E4367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{28B7B228-0768-4158-81E6-1139733E4367}</c15:txfldGUID>
                      <c15:f>Mediterranean!$A$9</c15:f>
                      <c15:dlblFieldTableCache>
                        <c:ptCount val="1"/>
                        <c:pt idx="0">
                          <c:v>Croatia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-0.11500448151485955"/>
                  <c:y val="3.362430954079091E-2"/>
                </c:manualLayout>
              </c:layout>
              <c:tx>
                <c:rich>
                  <a:bodyPr/>
                  <a:lstStyle/>
                  <a:p>
                    <a:fld id="{5C021EF6-737B-4A4E-B07C-3071E93956A8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{5C021EF6-737B-4A4E-B07C-3071E93956A8}</c15:txfldGUID>
                      <c15:f>Mediterranean!$A$10</c15:f>
                      <c15:dlblFieldTableCache>
                        <c:ptCount val="1"/>
                        <c:pt idx="0">
                          <c:v>Cyprus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>
                <c:manualLayout>
                  <c:x val="-9.583706792904963E-3"/>
                  <c:y val="-2.06918827943328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Greece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8.9847251183483981E-2"/>
                  <c:y val="3.62107948900825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DDC7438-F2BB-4C66-9383-94E2A2A5CF85}" type="CELLREF">
                      <a:rPr lang="en-US"/>
                      <a:pPr>
                        <a:defRPr/>
                      </a:pPr>
                      <a:t>[CELLREF]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529995964655746E-2"/>
                      <c:h val="3.8758584789266616E-2"/>
                    </c:manualLayout>
                  </c15:layout>
                  <c15:dlblFieldTable>
                    <c15:dlblFTEntry>
                      <c15:txfldGUID>{0DDC7438-F2BB-4C66-9383-94E2A2A5CF85}</c15:txfldGUID>
                      <c15:f>Mediterranean!$A$20</c15:f>
                      <c15:dlblFieldTableCache>
                        <c:ptCount val="1"/>
                        <c:pt idx="0">
                          <c:v>Israel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Italy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C0817EB-DEA9-4232-8433-07AF75844CD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{7C0817EB-DEA9-4232-8433-07AF75844CD6}</c15:txfldGUID>
                      <c15:f>Mediterranean!$A$28</c15:f>
                      <c15:dlblFieldTableCache>
                        <c:ptCount val="1"/>
                        <c:pt idx="0">
                          <c:v>Portugal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layout>
                <c:manualLayout>
                  <c:x val="6.7085947550334743E-2"/>
                  <c:y val="-1.2932426746458043E-2"/>
                </c:manualLayout>
              </c:layout>
              <c:tx>
                <c:rich>
                  <a:bodyPr/>
                  <a:lstStyle/>
                  <a:p>
                    <a:fld id="{B93E437E-C92C-40D8-83F1-C234EAAE0B81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{B93E437E-C92C-40D8-83F1-C234EAAE0B81}</c15:txfldGUID>
                      <c15:f>Mediterranean!$A$29</c15:f>
                      <c15:dlblFieldTableCache>
                        <c:ptCount val="1"/>
                        <c:pt idx="0">
                          <c:v>Romania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layout>
                <c:manualLayout>
                  <c:x val="3.5938900473393612E-2"/>
                  <c:y val="-2.8451338842207692E-2"/>
                </c:manualLayout>
              </c:layout>
              <c:tx>
                <c:rich>
                  <a:bodyPr/>
                  <a:lstStyle/>
                  <a:p>
                    <a:fld id="{A94C88DE-D025-43A5-A4B2-FC4C1788A6E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{A94C88DE-D025-43A5-A4B2-FC4C1788A6E6}</c15:txfldGUID>
                      <c15:f>Mediterranean!$A$32</c15:f>
                      <c15:dlblFieldTableCache>
                        <c:ptCount val="1"/>
                        <c:pt idx="0">
                          <c:v>Slovenia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Spain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0.11260855481663327"/>
                  <c:y val="-4.6556736287248955E-2"/>
                </c:manualLayout>
              </c:layout>
              <c:tx>
                <c:rich>
                  <a:bodyPr/>
                  <a:lstStyle/>
                  <a:p>
                    <a:fld id="{0E3DBA47-B0D5-4364-8D37-0E08187D533D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{0E3DBA47-B0D5-4364-8D37-0E08187D533D}</c15:txfldGUID>
                      <c15:f>Mediterranean!$A$37</c15:f>
                      <c15:dlblFieldTableCache>
                        <c:ptCount val="1"/>
                        <c:pt idx="0">
                          <c:v>Turkey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9"/>
              <c:layout>
                <c:manualLayout>
                  <c:x val="0"/>
                  <c:y val="-1.2932426746458137E-2"/>
                </c:manualLayout>
              </c:layout>
              <c:tx>
                <c:rich>
                  <a:bodyPr/>
                  <a:lstStyle/>
                  <a:p>
                    <a:fld id="{379054EE-3ACD-42C6-A0AE-3BA716299CC8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{379054EE-3ACD-42C6-A0AE-3BA716299CC8}</c15:txfldGUID>
                      <c15:f>Mediterranean!$A$43</c15:f>
                      <c15:dlblFieldTableCache>
                        <c:ptCount val="1"/>
                        <c:pt idx="0">
                          <c:v>Morocco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27D1B79-6B13-40F3-AF36-46A7DF110D5F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{A27D1B79-6B13-40F3-AF36-46A7DF110D5F}</c15:txfldGUID>
                      <c15:f>Mediterranean!$A$44</c15:f>
                      <c15:dlblFieldTableCache>
                        <c:ptCount val="1"/>
                        <c:pt idx="0">
                          <c:v>Algeria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flat" cmpd="sng" algn="ctr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4146678962173301"/>
                  <c:y val="-0.255930892370031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Mediterranean!$N$4:$N$66</c:f>
                <c:numCache>
                  <c:formatCode>General</c:formatCode>
                  <c:ptCount val="63"/>
                  <c:pt idx="0">
                    <c:v>47.736507043176026</c:v>
                  </c:pt>
                  <c:pt idx="1">
                    <c:v>12.617000643344669</c:v>
                  </c:pt>
                  <c:pt idx="2">
                    <c:v>13.980161071363492</c:v>
                  </c:pt>
                  <c:pt idx="3">
                    <c:v>3.7685567797261861</c:v>
                  </c:pt>
                  <c:pt idx="4">
                    <c:v>138.17331512913086</c:v>
                  </c:pt>
                  <c:pt idx="5">
                    <c:v>45.042326113559383</c:v>
                  </c:pt>
                  <c:pt idx="6">
                    <c:v>29.932361767687755</c:v>
                  </c:pt>
                  <c:pt idx="7">
                    <c:v>143.12367693465666</c:v>
                  </c:pt>
                  <c:pt idx="8">
                    <c:v>1.3931156986633446</c:v>
                  </c:pt>
                  <c:pt idx="9">
                    <c:v>30.081070950137285</c:v>
                  </c:pt>
                  <c:pt idx="10">
                    <c:v>251.31964654258934</c:v>
                  </c:pt>
                  <c:pt idx="11">
                    <c:v>356.42788536471846</c:v>
                  </c:pt>
                  <c:pt idx="12">
                    <c:v>155.72071400860534</c:v>
                  </c:pt>
                  <c:pt idx="13">
                    <c:v>1291.2492157558443</c:v>
                  </c:pt>
                  <c:pt idx="14">
                    <c:v>0</c:v>
                  </c:pt>
                  <c:pt idx="15">
                    <c:v>4.7674895101044283</c:v>
                  </c:pt>
                  <c:pt idx="16">
                    <c:v>29.980411419300623</c:v>
                  </c:pt>
                  <c:pt idx="17">
                    <c:v>786.55065388662388</c:v>
                  </c:pt>
                  <c:pt idx="18">
                    <c:v>85.315939063099805</c:v>
                  </c:pt>
                  <c:pt idx="19">
                    <c:v>88.761628656548879</c:v>
                  </c:pt>
                  <c:pt idx="20">
                    <c:v>1.1991094542693044</c:v>
                  </c:pt>
                  <c:pt idx="21">
                    <c:v>4.2902606084192954</c:v>
                  </c:pt>
                  <c:pt idx="22">
                    <c:v>90.532664269109532</c:v>
                  </c:pt>
                  <c:pt idx="23">
                    <c:v>3402.6993875418011</c:v>
                  </c:pt>
                  <c:pt idx="24">
                    <c:v>2133.4304635257572</c:v>
                  </c:pt>
                  <c:pt idx="25">
                    <c:v>51.725688317855401</c:v>
                  </c:pt>
                  <c:pt idx="26">
                    <c:v>9.1973954161256515</c:v>
                  </c:pt>
                  <c:pt idx="27">
                    <c:v>67.21355574062747</c:v>
                  </c:pt>
                  <c:pt idx="28">
                    <c:v>16.396809808643461</c:v>
                  </c:pt>
                  <c:pt idx="29">
                    <c:v>1131.0991990411869</c:v>
                  </c:pt>
                  <c:pt idx="30">
                    <c:v>695.89334571549909</c:v>
                  </c:pt>
                  <c:pt idx="31">
                    <c:v>9.3804073274248232</c:v>
                  </c:pt>
                  <c:pt idx="32">
                    <c:v>20.675828858594738</c:v>
                  </c:pt>
                  <c:pt idx="33">
                    <c:v>154.95577437133227</c:v>
                  </c:pt>
                  <c:pt idx="34">
                    <c:v>69.192250238830553</c:v>
                  </c:pt>
                  <c:pt idx="36">
                    <c:v>6865.6231003653284</c:v>
                  </c:pt>
                  <c:pt idx="47">
                    <c:v>1.3502712035855318</c:v>
                  </c:pt>
                  <c:pt idx="48">
                    <c:v>0.44381268229929732</c:v>
                  </c:pt>
                  <c:pt idx="49">
                    <c:v>518.71315661256881</c:v>
                  </c:pt>
                  <c:pt idx="50">
                    <c:v>106.3588785663559</c:v>
                  </c:pt>
                  <c:pt idx="51">
                    <c:v>0.6154574548966637</c:v>
                  </c:pt>
                  <c:pt idx="52">
                    <c:v>2.4676149535169647</c:v>
                  </c:pt>
                  <c:pt idx="53">
                    <c:v>1594.8380856010901</c:v>
                  </c:pt>
                  <c:pt idx="54">
                    <c:v>1.0391774666352875</c:v>
                  </c:pt>
                  <c:pt idx="55">
                    <c:v>441.60046075853307</c:v>
                  </c:pt>
                  <c:pt idx="57">
                    <c:v>2006.2336629505783</c:v>
                  </c:pt>
                  <c:pt idx="59">
                    <c:v>506.48646162821893</c:v>
                  </c:pt>
                  <c:pt idx="60">
                    <c:v>9369.8641465788678</c:v>
                  </c:pt>
                  <c:pt idx="62">
                    <c:v>10931.020648968277</c:v>
                  </c:pt>
                </c:numCache>
              </c:numRef>
            </c:plus>
            <c:minus>
              <c:numRef>
                <c:f>Mediterranean!$N$4:$N$66</c:f>
                <c:numCache>
                  <c:formatCode>General</c:formatCode>
                  <c:ptCount val="63"/>
                  <c:pt idx="0">
                    <c:v>47.736507043176026</c:v>
                  </c:pt>
                  <c:pt idx="1">
                    <c:v>12.617000643344669</c:v>
                  </c:pt>
                  <c:pt idx="2">
                    <c:v>13.980161071363492</c:v>
                  </c:pt>
                  <c:pt idx="3">
                    <c:v>3.7685567797261861</c:v>
                  </c:pt>
                  <c:pt idx="4">
                    <c:v>138.17331512913086</c:v>
                  </c:pt>
                  <c:pt idx="5">
                    <c:v>45.042326113559383</c:v>
                  </c:pt>
                  <c:pt idx="6">
                    <c:v>29.932361767687755</c:v>
                  </c:pt>
                  <c:pt idx="7">
                    <c:v>143.12367693465666</c:v>
                  </c:pt>
                  <c:pt idx="8">
                    <c:v>1.3931156986633446</c:v>
                  </c:pt>
                  <c:pt idx="9">
                    <c:v>30.081070950137285</c:v>
                  </c:pt>
                  <c:pt idx="10">
                    <c:v>251.31964654258934</c:v>
                  </c:pt>
                  <c:pt idx="11">
                    <c:v>356.42788536471846</c:v>
                  </c:pt>
                  <c:pt idx="12">
                    <c:v>155.72071400860534</c:v>
                  </c:pt>
                  <c:pt idx="13">
                    <c:v>1291.2492157558443</c:v>
                  </c:pt>
                  <c:pt idx="14">
                    <c:v>0</c:v>
                  </c:pt>
                  <c:pt idx="15">
                    <c:v>4.7674895101044283</c:v>
                  </c:pt>
                  <c:pt idx="16">
                    <c:v>29.980411419300623</c:v>
                  </c:pt>
                  <c:pt idx="17">
                    <c:v>786.55065388662388</c:v>
                  </c:pt>
                  <c:pt idx="18">
                    <c:v>85.315939063099805</c:v>
                  </c:pt>
                  <c:pt idx="19">
                    <c:v>88.761628656548879</c:v>
                  </c:pt>
                  <c:pt idx="20">
                    <c:v>1.1991094542693044</c:v>
                  </c:pt>
                  <c:pt idx="21">
                    <c:v>4.2902606084192954</c:v>
                  </c:pt>
                  <c:pt idx="22">
                    <c:v>90.532664269109532</c:v>
                  </c:pt>
                  <c:pt idx="23">
                    <c:v>3402.6993875418011</c:v>
                  </c:pt>
                  <c:pt idx="24">
                    <c:v>2133.4304635257572</c:v>
                  </c:pt>
                  <c:pt idx="25">
                    <c:v>51.725688317855401</c:v>
                  </c:pt>
                  <c:pt idx="26">
                    <c:v>9.1973954161256515</c:v>
                  </c:pt>
                  <c:pt idx="27">
                    <c:v>67.21355574062747</c:v>
                  </c:pt>
                  <c:pt idx="28">
                    <c:v>16.396809808643461</c:v>
                  </c:pt>
                  <c:pt idx="29">
                    <c:v>1131.0991990411869</c:v>
                  </c:pt>
                  <c:pt idx="30">
                    <c:v>695.89334571549909</c:v>
                  </c:pt>
                  <c:pt idx="31">
                    <c:v>9.3804073274248232</c:v>
                  </c:pt>
                  <c:pt idx="32">
                    <c:v>20.675828858594738</c:v>
                  </c:pt>
                  <c:pt idx="33">
                    <c:v>154.95577437133227</c:v>
                  </c:pt>
                  <c:pt idx="34">
                    <c:v>69.192250238830553</c:v>
                  </c:pt>
                  <c:pt idx="36">
                    <c:v>6865.6231003653284</c:v>
                  </c:pt>
                  <c:pt idx="47">
                    <c:v>1.3502712035855318</c:v>
                  </c:pt>
                  <c:pt idx="48">
                    <c:v>0.44381268229929732</c:v>
                  </c:pt>
                  <c:pt idx="49">
                    <c:v>518.71315661256881</c:v>
                  </c:pt>
                  <c:pt idx="50">
                    <c:v>106.3588785663559</c:v>
                  </c:pt>
                  <c:pt idx="51">
                    <c:v>0.6154574548966637</c:v>
                  </c:pt>
                  <c:pt idx="52">
                    <c:v>2.4676149535169647</c:v>
                  </c:pt>
                  <c:pt idx="53">
                    <c:v>1594.8380856010901</c:v>
                  </c:pt>
                  <c:pt idx="54">
                    <c:v>1.0391774666352875</c:v>
                  </c:pt>
                  <c:pt idx="55">
                    <c:v>441.60046075853307</c:v>
                  </c:pt>
                  <c:pt idx="57">
                    <c:v>2006.2336629505783</c:v>
                  </c:pt>
                  <c:pt idx="59">
                    <c:v>506.48646162821893</c:v>
                  </c:pt>
                  <c:pt idx="60">
                    <c:v>9369.8641465788678</c:v>
                  </c:pt>
                  <c:pt idx="62">
                    <c:v>10931.020648968277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dk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Mediterranean!$O$4:$O$66</c:f>
              <c:numCache>
                <c:formatCode>General</c:formatCode>
                <c:ptCount val="63"/>
                <c:pt idx="0" formatCode="0">
                  <c:v>0</c:v>
                </c:pt>
                <c:pt idx="3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11" formatCode="0">
                  <c:v>10000</c:v>
                </c:pt>
                <c:pt idx="13" formatCode="0">
                  <c:v>0</c:v>
                </c:pt>
                <c:pt idx="16" formatCode="0">
                  <c:v>8000</c:v>
                </c:pt>
                <c:pt idx="17" formatCode="0">
                  <c:v>72000</c:v>
                </c:pt>
                <c:pt idx="24" formatCode="0">
                  <c:v>647000</c:v>
                </c:pt>
                <c:pt idx="25" formatCode="0">
                  <c:v>0</c:v>
                </c:pt>
                <c:pt idx="28" formatCode="0">
                  <c:v>0</c:v>
                </c:pt>
                <c:pt idx="29" formatCode="0">
                  <c:v>640000</c:v>
                </c:pt>
                <c:pt idx="32" formatCode="0">
                  <c:v>0</c:v>
                </c:pt>
                <c:pt idx="33" formatCode="0">
                  <c:v>20000</c:v>
                </c:pt>
                <c:pt idx="39">
                  <c:v>215000</c:v>
                </c:pt>
                <c:pt idx="40">
                  <c:v>60000</c:v>
                </c:pt>
                <c:pt idx="41">
                  <c:v>56000</c:v>
                </c:pt>
                <c:pt idx="42">
                  <c:v>8000</c:v>
                </c:pt>
                <c:pt idx="43">
                  <c:v>0</c:v>
                </c:pt>
              </c:numCache>
            </c:numRef>
          </c:xVal>
          <c:yVal>
            <c:numRef>
              <c:f>Mediterranean!$M$4:$M$66</c:f>
              <c:numCache>
                <c:formatCode>0</c:formatCode>
                <c:ptCount val="63"/>
                <c:pt idx="0">
                  <c:v>414.72727272727275</c:v>
                </c:pt>
                <c:pt idx="1">
                  <c:v>83.090909090909093</c:v>
                </c:pt>
                <c:pt idx="2">
                  <c:v>42.454545454545453</c:v>
                </c:pt>
                <c:pt idx="3">
                  <c:v>139.33333333333331</c:v>
                </c:pt>
                <c:pt idx="4">
                  <c:v>593.72727272727275</c:v>
                </c:pt>
                <c:pt idx="5">
                  <c:v>331.06060606060606</c:v>
                </c:pt>
                <c:pt idx="6">
                  <c:v>72.909090909090907</c:v>
                </c:pt>
                <c:pt idx="7">
                  <c:v>1726.0606060606062</c:v>
                </c:pt>
                <c:pt idx="8">
                  <c:v>5.7272727272727275</c:v>
                </c:pt>
                <c:pt idx="9">
                  <c:v>197.12121212121212</c:v>
                </c:pt>
                <c:pt idx="10">
                  <c:v>1212.3636363636363</c:v>
                </c:pt>
                <c:pt idx="11">
                  <c:v>5409.363636363636</c:v>
                </c:pt>
                <c:pt idx="12">
                  <c:v>1559.2727272727273</c:v>
                </c:pt>
                <c:pt idx="13">
                  <c:v>4558.090909090909</c:v>
                </c:pt>
                <c:pt idx="14">
                  <c:v>393</c:v>
                </c:pt>
                <c:pt idx="15">
                  <c:v>147.33333333333337</c:v>
                </c:pt>
                <c:pt idx="16">
                  <c:v>929.90909090909088</c:v>
                </c:pt>
                <c:pt idx="17">
                  <c:v>10473.09090909091</c:v>
                </c:pt>
                <c:pt idx="18">
                  <c:v>924.93939393939399</c:v>
                </c:pt>
                <c:pt idx="19">
                  <c:v>615.4545454545455</c:v>
                </c:pt>
                <c:pt idx="20">
                  <c:v>5.424242424242423</c:v>
                </c:pt>
                <c:pt idx="21">
                  <c:v>76.818181818181813</c:v>
                </c:pt>
                <c:pt idx="22">
                  <c:v>315.66666666666669</c:v>
                </c:pt>
                <c:pt idx="23">
                  <c:v>13488.030303030304</c:v>
                </c:pt>
                <c:pt idx="24">
                  <c:v>23765.81818181818</c:v>
                </c:pt>
                <c:pt idx="25">
                  <c:v>184.27272727272728</c:v>
                </c:pt>
                <c:pt idx="26">
                  <c:v>258.18181818181819</c:v>
                </c:pt>
                <c:pt idx="27">
                  <c:v>623.78787878787875</c:v>
                </c:pt>
                <c:pt idx="28">
                  <c:v>81.090909090909093</c:v>
                </c:pt>
                <c:pt idx="29">
                  <c:v>19203.363636363636</c:v>
                </c:pt>
                <c:pt idx="30">
                  <c:v>4852.75</c:v>
                </c:pt>
                <c:pt idx="31">
                  <c:v>77.787878787878782</c:v>
                </c:pt>
                <c:pt idx="32">
                  <c:v>125</c:v>
                </c:pt>
                <c:pt idx="33">
                  <c:v>2095.6363636363635</c:v>
                </c:pt>
                <c:pt idx="34">
                  <c:v>331.90909090909093</c:v>
                </c:pt>
                <c:pt idx="36">
                  <c:v>94012.090909090912</c:v>
                </c:pt>
                <c:pt idx="47">
                  <c:v>11.333333333333332</c:v>
                </c:pt>
                <c:pt idx="48">
                  <c:v>5</c:v>
                </c:pt>
                <c:pt idx="49">
                  <c:v>2992.4545454545455</c:v>
                </c:pt>
                <c:pt idx="50">
                  <c:v>1143.848484848485</c:v>
                </c:pt>
                <c:pt idx="51">
                  <c:v>6</c:v>
                </c:pt>
                <c:pt idx="52">
                  <c:v>11.121212121212119</c:v>
                </c:pt>
                <c:pt idx="53">
                  <c:v>24612.636363636364</c:v>
                </c:pt>
                <c:pt idx="54">
                  <c:v>8.3636363636363633</c:v>
                </c:pt>
                <c:pt idx="55">
                  <c:v>4263.181818181818</c:v>
                </c:pt>
                <c:pt idx="57">
                  <c:v>33053.939393939392</c:v>
                </c:pt>
                <c:pt idx="59">
                  <c:v>7963.545454545455</c:v>
                </c:pt>
                <c:pt idx="60">
                  <c:v>102130.63636363637</c:v>
                </c:pt>
                <c:pt idx="62">
                  <c:v>126576.99999999999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97152"/>
        <c:axId val="516294800"/>
      </c:scatterChart>
      <c:valAx>
        <c:axId val="516297152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Eucalypt plantations (ha)</a:t>
                </a:r>
              </a:p>
            </c:rich>
          </c:tx>
          <c:layout>
            <c:manualLayout>
              <c:xMode val="edge"/>
              <c:yMode val="edge"/>
              <c:x val="0.41297626353533512"/>
              <c:y val="0.912327107710618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94800"/>
        <c:crosses val="autoZero"/>
        <c:crossBetween val="midCat"/>
        <c:dispUnits>
          <c:builtInUnit val="hundred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516294800"/>
        <c:scaling>
          <c:orientation val="minMax"/>
          <c:max val="4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Average number of fires (1991-2001)</a:t>
                </a:r>
              </a:p>
            </c:rich>
          </c:tx>
          <c:layout>
            <c:manualLayout>
              <c:xMode val="edge"/>
              <c:yMode val="edge"/>
              <c:x val="6.3266614006587465E-2"/>
              <c:y val="0.259085793515375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97152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0483858339985"/>
          <c:y val="0.13446200493753946"/>
          <c:w val="0.68625671915811792"/>
          <c:h val="0.67396152610001014"/>
        </c:manualLayout>
      </c:layout>
      <c:scatterChart>
        <c:scatterStyle val="lineMarker"/>
        <c:varyColors val="0"/>
        <c:ser>
          <c:idx val="0"/>
          <c:order val="0"/>
          <c:tx>
            <c:v>Fires 1991-2001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583706792904963E-3"/>
                  <c:y val="-2.06918827943328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7.447702228824124E-2"/>
                  <c:y val="2.84513388422075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Greece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Italy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C0817EB-DEA9-4232-8433-07AF75844CD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{7C0817EB-DEA9-4232-8433-07AF75844CD6}</c15:txfldGUID>
                      <c15:f>Mediterranean!$A$28</c15:f>
                      <c15:dlblFieldTableCache>
                        <c:ptCount val="1"/>
                        <c:pt idx="0">
                          <c:v>Portugal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Spain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1.5252620017802729E-2"/>
                  <c:y val="4.6556736287248858E-2"/>
                </c:manualLayout>
              </c:layout>
              <c:tx>
                <c:rich>
                  <a:bodyPr/>
                  <a:lstStyle/>
                  <a:p>
                    <a:fld id="{8943E264-EA90-453D-97EF-105CAB67628D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{8943E264-EA90-453D-97EF-105CAB67628D}</c15:txfldGUID>
                      <c15:f>Mediterranean!$A$36</c15:f>
                      <c15:dlblFieldTableCache>
                        <c:ptCount val="1"/>
                        <c:pt idx="0">
                          <c:v>The f.Y.R. of Macedonia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 val="0"/>
                  <c:y val="-1.2932426746458137E-2"/>
                </c:manualLayout>
              </c:layout>
              <c:tx>
                <c:rich>
                  <a:bodyPr/>
                  <a:lstStyle/>
                  <a:p>
                    <a:fld id="{379054EE-3ACD-42C6-A0AE-3BA716299CC8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{379054EE-3ACD-42C6-A0AE-3BA716299CC8}</c15:txfldGUID>
                      <c15:f>Mediterranean!$A$43</c15:f>
                      <c15:dlblFieldTableCache>
                        <c:ptCount val="1"/>
                        <c:pt idx="0">
                          <c:v>Morocco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0"/>
              <c:layout>
                <c:manualLayout>
                  <c:x val="-2.3959266982262846E-3"/>
                  <c:y val="1.810539744504126E-2"/>
                </c:manualLayout>
              </c:layout>
              <c:tx>
                <c:rich>
                  <a:bodyPr/>
                  <a:lstStyle/>
                  <a:p>
                    <a:fld id="{A27D1B79-6B13-40F3-AF36-46A7DF110D5F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{A27D1B79-6B13-40F3-AF36-46A7DF110D5F}</c15:txfldGUID>
                      <c15:f>Mediterranean!$A$44</c15:f>
                      <c15:dlblFieldTableCache>
                        <c:ptCount val="1"/>
                        <c:pt idx="0">
                          <c:v>Algeria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flat" cmpd="sng" algn="ctr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129837627653121"/>
                  <c:y val="-0.253344407020739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Mediterranean!$N$4:$N$66</c:f>
                <c:numCache>
                  <c:formatCode>General</c:formatCode>
                  <c:ptCount val="63"/>
                  <c:pt idx="0">
                    <c:v>47.736507043176026</c:v>
                  </c:pt>
                  <c:pt idx="1">
                    <c:v>12.617000643344669</c:v>
                  </c:pt>
                  <c:pt idx="2">
                    <c:v>13.980161071363492</c:v>
                  </c:pt>
                  <c:pt idx="3">
                    <c:v>3.7685567797261861</c:v>
                  </c:pt>
                  <c:pt idx="4">
                    <c:v>138.17331512913086</c:v>
                  </c:pt>
                  <c:pt idx="5">
                    <c:v>45.042326113559383</c:v>
                  </c:pt>
                  <c:pt idx="6">
                    <c:v>29.932361767687755</c:v>
                  </c:pt>
                  <c:pt idx="7">
                    <c:v>143.12367693465666</c:v>
                  </c:pt>
                  <c:pt idx="8">
                    <c:v>1.3931156986633446</c:v>
                  </c:pt>
                  <c:pt idx="9">
                    <c:v>30.081070950137285</c:v>
                  </c:pt>
                  <c:pt idx="10">
                    <c:v>251.31964654258934</c:v>
                  </c:pt>
                  <c:pt idx="11">
                    <c:v>356.42788536471846</c:v>
                  </c:pt>
                  <c:pt idx="12">
                    <c:v>155.72071400860534</c:v>
                  </c:pt>
                  <c:pt idx="13">
                    <c:v>1291.2492157558443</c:v>
                  </c:pt>
                  <c:pt idx="14">
                    <c:v>0</c:v>
                  </c:pt>
                  <c:pt idx="15">
                    <c:v>4.7674895101044283</c:v>
                  </c:pt>
                  <c:pt idx="16">
                    <c:v>29.980411419300623</c:v>
                  </c:pt>
                  <c:pt idx="17">
                    <c:v>786.55065388662388</c:v>
                  </c:pt>
                  <c:pt idx="18">
                    <c:v>85.315939063099805</c:v>
                  </c:pt>
                  <c:pt idx="19">
                    <c:v>88.761628656548879</c:v>
                  </c:pt>
                  <c:pt idx="20">
                    <c:v>1.1991094542693044</c:v>
                  </c:pt>
                  <c:pt idx="21">
                    <c:v>4.2902606084192954</c:v>
                  </c:pt>
                  <c:pt idx="22">
                    <c:v>90.532664269109532</c:v>
                  </c:pt>
                  <c:pt idx="23">
                    <c:v>3402.6993875418011</c:v>
                  </c:pt>
                  <c:pt idx="24">
                    <c:v>2133.4304635257572</c:v>
                  </c:pt>
                  <c:pt idx="25">
                    <c:v>51.725688317855401</c:v>
                  </c:pt>
                  <c:pt idx="26">
                    <c:v>9.1973954161256515</c:v>
                  </c:pt>
                  <c:pt idx="27">
                    <c:v>67.21355574062747</c:v>
                  </c:pt>
                  <c:pt idx="28">
                    <c:v>16.396809808643461</c:v>
                  </c:pt>
                  <c:pt idx="29">
                    <c:v>1131.0991990411869</c:v>
                  </c:pt>
                  <c:pt idx="30">
                    <c:v>695.89334571549909</c:v>
                  </c:pt>
                  <c:pt idx="31">
                    <c:v>9.3804073274248232</c:v>
                  </c:pt>
                  <c:pt idx="32">
                    <c:v>20.675828858594738</c:v>
                  </c:pt>
                  <c:pt idx="33">
                    <c:v>154.95577437133227</c:v>
                  </c:pt>
                  <c:pt idx="34">
                    <c:v>69.192250238830553</c:v>
                  </c:pt>
                  <c:pt idx="36">
                    <c:v>6865.6231003653284</c:v>
                  </c:pt>
                  <c:pt idx="47">
                    <c:v>1.3502712035855318</c:v>
                  </c:pt>
                  <c:pt idx="48">
                    <c:v>0.44381268229929732</c:v>
                  </c:pt>
                  <c:pt idx="49">
                    <c:v>518.71315661256881</c:v>
                  </c:pt>
                  <c:pt idx="50">
                    <c:v>106.3588785663559</c:v>
                  </c:pt>
                  <c:pt idx="51">
                    <c:v>0.6154574548966637</c:v>
                  </c:pt>
                  <c:pt idx="52">
                    <c:v>2.4676149535169647</c:v>
                  </c:pt>
                  <c:pt idx="53">
                    <c:v>1594.8380856010901</c:v>
                  </c:pt>
                  <c:pt idx="54">
                    <c:v>1.0391774666352875</c:v>
                  </c:pt>
                  <c:pt idx="55">
                    <c:v>441.60046075853307</c:v>
                  </c:pt>
                  <c:pt idx="57">
                    <c:v>2006.2336629505783</c:v>
                  </c:pt>
                  <c:pt idx="59">
                    <c:v>506.48646162821893</c:v>
                  </c:pt>
                  <c:pt idx="60">
                    <c:v>9369.8641465788678</c:v>
                  </c:pt>
                  <c:pt idx="62">
                    <c:v>10931.020648968277</c:v>
                  </c:pt>
                </c:numCache>
              </c:numRef>
            </c:plus>
            <c:minus>
              <c:numRef>
                <c:f>Mediterranean!$N$4:$N$66</c:f>
                <c:numCache>
                  <c:formatCode>General</c:formatCode>
                  <c:ptCount val="63"/>
                  <c:pt idx="0">
                    <c:v>47.736507043176026</c:v>
                  </c:pt>
                  <c:pt idx="1">
                    <c:v>12.617000643344669</c:v>
                  </c:pt>
                  <c:pt idx="2">
                    <c:v>13.980161071363492</c:v>
                  </c:pt>
                  <c:pt idx="3">
                    <c:v>3.7685567797261861</c:v>
                  </c:pt>
                  <c:pt idx="4">
                    <c:v>138.17331512913086</c:v>
                  </c:pt>
                  <c:pt idx="5">
                    <c:v>45.042326113559383</c:v>
                  </c:pt>
                  <c:pt idx="6">
                    <c:v>29.932361767687755</c:v>
                  </c:pt>
                  <c:pt idx="7">
                    <c:v>143.12367693465666</c:v>
                  </c:pt>
                  <c:pt idx="8">
                    <c:v>1.3931156986633446</c:v>
                  </c:pt>
                  <c:pt idx="9">
                    <c:v>30.081070950137285</c:v>
                  </c:pt>
                  <c:pt idx="10">
                    <c:v>251.31964654258934</c:v>
                  </c:pt>
                  <c:pt idx="11">
                    <c:v>356.42788536471846</c:v>
                  </c:pt>
                  <c:pt idx="12">
                    <c:v>155.72071400860534</c:v>
                  </c:pt>
                  <c:pt idx="13">
                    <c:v>1291.2492157558443</c:v>
                  </c:pt>
                  <c:pt idx="14">
                    <c:v>0</c:v>
                  </c:pt>
                  <c:pt idx="15">
                    <c:v>4.7674895101044283</c:v>
                  </c:pt>
                  <c:pt idx="16">
                    <c:v>29.980411419300623</c:v>
                  </c:pt>
                  <c:pt idx="17">
                    <c:v>786.55065388662388</c:v>
                  </c:pt>
                  <c:pt idx="18">
                    <c:v>85.315939063099805</c:v>
                  </c:pt>
                  <c:pt idx="19">
                    <c:v>88.761628656548879</c:v>
                  </c:pt>
                  <c:pt idx="20">
                    <c:v>1.1991094542693044</c:v>
                  </c:pt>
                  <c:pt idx="21">
                    <c:v>4.2902606084192954</c:v>
                  </c:pt>
                  <c:pt idx="22">
                    <c:v>90.532664269109532</c:v>
                  </c:pt>
                  <c:pt idx="23">
                    <c:v>3402.6993875418011</c:v>
                  </c:pt>
                  <c:pt idx="24">
                    <c:v>2133.4304635257572</c:v>
                  </c:pt>
                  <c:pt idx="25">
                    <c:v>51.725688317855401</c:v>
                  </c:pt>
                  <c:pt idx="26">
                    <c:v>9.1973954161256515</c:v>
                  </c:pt>
                  <c:pt idx="27">
                    <c:v>67.21355574062747</c:v>
                  </c:pt>
                  <c:pt idx="28">
                    <c:v>16.396809808643461</c:v>
                  </c:pt>
                  <c:pt idx="29">
                    <c:v>1131.0991990411869</c:v>
                  </c:pt>
                  <c:pt idx="30">
                    <c:v>695.89334571549909</c:v>
                  </c:pt>
                  <c:pt idx="31">
                    <c:v>9.3804073274248232</c:v>
                  </c:pt>
                  <c:pt idx="32">
                    <c:v>20.675828858594738</c:v>
                  </c:pt>
                  <c:pt idx="33">
                    <c:v>154.95577437133227</c:v>
                  </c:pt>
                  <c:pt idx="34">
                    <c:v>69.192250238830553</c:v>
                  </c:pt>
                  <c:pt idx="36">
                    <c:v>6865.6231003653284</c:v>
                  </c:pt>
                  <c:pt idx="47">
                    <c:v>1.3502712035855318</c:v>
                  </c:pt>
                  <c:pt idx="48">
                    <c:v>0.44381268229929732</c:v>
                  </c:pt>
                  <c:pt idx="49">
                    <c:v>518.71315661256881</c:v>
                  </c:pt>
                  <c:pt idx="50">
                    <c:v>106.3588785663559</c:v>
                  </c:pt>
                  <c:pt idx="51">
                    <c:v>0.6154574548966637</c:v>
                  </c:pt>
                  <c:pt idx="52">
                    <c:v>2.4676149535169647</c:v>
                  </c:pt>
                  <c:pt idx="53">
                    <c:v>1594.8380856010901</c:v>
                  </c:pt>
                  <c:pt idx="54">
                    <c:v>1.0391774666352875</c:v>
                  </c:pt>
                  <c:pt idx="55">
                    <c:v>441.60046075853307</c:v>
                  </c:pt>
                  <c:pt idx="57">
                    <c:v>2006.2336629505783</c:v>
                  </c:pt>
                  <c:pt idx="59">
                    <c:v>506.48646162821893</c:v>
                  </c:pt>
                  <c:pt idx="60">
                    <c:v>9369.8641465788678</c:v>
                  </c:pt>
                  <c:pt idx="62">
                    <c:v>10931.020648968277</c:v>
                  </c:pt>
                </c:numCache>
              </c:numRef>
            </c:minus>
            <c:spPr>
              <a:noFill/>
              <a:ln w="190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Mediterranean!$O$4:$O$66</c:f>
              <c:numCache>
                <c:formatCode>General</c:formatCode>
                <c:ptCount val="63"/>
                <c:pt idx="0" formatCode="0">
                  <c:v>0</c:v>
                </c:pt>
                <c:pt idx="3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11" formatCode="0">
                  <c:v>10000</c:v>
                </c:pt>
                <c:pt idx="13" formatCode="0">
                  <c:v>0</c:v>
                </c:pt>
                <c:pt idx="16" formatCode="0">
                  <c:v>8000</c:v>
                </c:pt>
                <c:pt idx="17" formatCode="0">
                  <c:v>72000</c:v>
                </c:pt>
                <c:pt idx="24" formatCode="0">
                  <c:v>647000</c:v>
                </c:pt>
                <c:pt idx="25" formatCode="0">
                  <c:v>0</c:v>
                </c:pt>
                <c:pt idx="28" formatCode="0">
                  <c:v>0</c:v>
                </c:pt>
                <c:pt idx="29" formatCode="0">
                  <c:v>640000</c:v>
                </c:pt>
                <c:pt idx="32" formatCode="0">
                  <c:v>0</c:v>
                </c:pt>
                <c:pt idx="33" formatCode="0">
                  <c:v>20000</c:v>
                </c:pt>
                <c:pt idx="39">
                  <c:v>215000</c:v>
                </c:pt>
                <c:pt idx="40">
                  <c:v>60000</c:v>
                </c:pt>
                <c:pt idx="41">
                  <c:v>56000</c:v>
                </c:pt>
                <c:pt idx="42">
                  <c:v>8000</c:v>
                </c:pt>
                <c:pt idx="43">
                  <c:v>0</c:v>
                </c:pt>
              </c:numCache>
            </c:numRef>
          </c:xVal>
          <c:yVal>
            <c:numRef>
              <c:f>Mediterranean!$M$4:$M$66</c:f>
              <c:numCache>
                <c:formatCode>0</c:formatCode>
                <c:ptCount val="63"/>
                <c:pt idx="0">
                  <c:v>414.72727272727275</c:v>
                </c:pt>
                <c:pt idx="1">
                  <c:v>83.090909090909093</c:v>
                </c:pt>
                <c:pt idx="2">
                  <c:v>42.454545454545453</c:v>
                </c:pt>
                <c:pt idx="3">
                  <c:v>139.33333333333331</c:v>
                </c:pt>
                <c:pt idx="4">
                  <c:v>593.72727272727275</c:v>
                </c:pt>
                <c:pt idx="5">
                  <c:v>331.06060606060606</c:v>
                </c:pt>
                <c:pt idx="6">
                  <c:v>72.909090909090907</c:v>
                </c:pt>
                <c:pt idx="7">
                  <c:v>1726.0606060606062</c:v>
                </c:pt>
                <c:pt idx="8">
                  <c:v>5.7272727272727275</c:v>
                </c:pt>
                <c:pt idx="9">
                  <c:v>197.12121212121212</c:v>
                </c:pt>
                <c:pt idx="10">
                  <c:v>1212.3636363636363</c:v>
                </c:pt>
                <c:pt idx="11">
                  <c:v>5409.363636363636</c:v>
                </c:pt>
                <c:pt idx="12">
                  <c:v>1559.2727272727273</c:v>
                </c:pt>
                <c:pt idx="13">
                  <c:v>4558.090909090909</c:v>
                </c:pt>
                <c:pt idx="14">
                  <c:v>393</c:v>
                </c:pt>
                <c:pt idx="15">
                  <c:v>147.33333333333337</c:v>
                </c:pt>
                <c:pt idx="16">
                  <c:v>929.90909090909088</c:v>
                </c:pt>
                <c:pt idx="17">
                  <c:v>10473.09090909091</c:v>
                </c:pt>
                <c:pt idx="18">
                  <c:v>924.93939393939399</c:v>
                </c:pt>
                <c:pt idx="19">
                  <c:v>615.4545454545455</c:v>
                </c:pt>
                <c:pt idx="20">
                  <c:v>5.424242424242423</c:v>
                </c:pt>
                <c:pt idx="21">
                  <c:v>76.818181818181813</c:v>
                </c:pt>
                <c:pt idx="22">
                  <c:v>315.66666666666669</c:v>
                </c:pt>
                <c:pt idx="23">
                  <c:v>13488.030303030304</c:v>
                </c:pt>
                <c:pt idx="24">
                  <c:v>23765.81818181818</c:v>
                </c:pt>
                <c:pt idx="25">
                  <c:v>184.27272727272728</c:v>
                </c:pt>
                <c:pt idx="26">
                  <c:v>258.18181818181819</c:v>
                </c:pt>
                <c:pt idx="27">
                  <c:v>623.78787878787875</c:v>
                </c:pt>
                <c:pt idx="28">
                  <c:v>81.090909090909093</c:v>
                </c:pt>
                <c:pt idx="29">
                  <c:v>19203.363636363636</c:v>
                </c:pt>
                <c:pt idx="30">
                  <c:v>4852.75</c:v>
                </c:pt>
                <c:pt idx="31">
                  <c:v>77.787878787878782</c:v>
                </c:pt>
                <c:pt idx="32">
                  <c:v>125</c:v>
                </c:pt>
                <c:pt idx="33">
                  <c:v>2095.6363636363635</c:v>
                </c:pt>
                <c:pt idx="34">
                  <c:v>331.90909090909093</c:v>
                </c:pt>
                <c:pt idx="36">
                  <c:v>94012.090909090912</c:v>
                </c:pt>
                <c:pt idx="47">
                  <c:v>11.333333333333332</c:v>
                </c:pt>
                <c:pt idx="48">
                  <c:v>5</c:v>
                </c:pt>
                <c:pt idx="49">
                  <c:v>2992.4545454545455</c:v>
                </c:pt>
                <c:pt idx="50">
                  <c:v>1143.848484848485</c:v>
                </c:pt>
                <c:pt idx="51">
                  <c:v>6</c:v>
                </c:pt>
                <c:pt idx="52">
                  <c:v>11.121212121212119</c:v>
                </c:pt>
                <c:pt idx="53">
                  <c:v>24612.636363636364</c:v>
                </c:pt>
                <c:pt idx="54">
                  <c:v>8.3636363636363633</c:v>
                </c:pt>
                <c:pt idx="55">
                  <c:v>4263.181818181818</c:v>
                </c:pt>
                <c:pt idx="57">
                  <c:v>33053.939393939392</c:v>
                </c:pt>
                <c:pt idx="59">
                  <c:v>7963.545454545455</c:v>
                </c:pt>
                <c:pt idx="60">
                  <c:v>102130.63636363637</c:v>
                </c:pt>
                <c:pt idx="62">
                  <c:v>126576.99999999999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98328"/>
        <c:axId val="516292840"/>
      </c:scatterChart>
      <c:valAx>
        <c:axId val="516298328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Eucalypt plantations (ha)</a:t>
                </a:r>
              </a:p>
            </c:rich>
          </c:tx>
          <c:layout>
            <c:manualLayout>
              <c:xMode val="edge"/>
              <c:yMode val="edge"/>
              <c:x val="0.41297626353533512"/>
              <c:y val="0.912327107710618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92840"/>
        <c:crosses val="autoZero"/>
        <c:crossBetween val="midCat"/>
        <c:dispUnits>
          <c:builtInUnit val="hundred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516292840"/>
        <c:scaling>
          <c:orientation val="minMax"/>
          <c:max val="4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Average number of fires (1991-2001)</a:t>
                </a:r>
              </a:p>
            </c:rich>
          </c:tx>
          <c:layout>
            <c:manualLayout>
              <c:xMode val="edge"/>
              <c:yMode val="edge"/>
              <c:x val="4.5471823386670128E-2"/>
              <c:y val="0.259085793515375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98328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Fires 2011-2014</a:t>
            </a:r>
          </a:p>
        </c:rich>
      </c:tx>
      <c:layout>
        <c:manualLayout>
          <c:xMode val="edge"/>
          <c:yMode val="edge"/>
          <c:x val="0.42213832496048137"/>
          <c:y val="4.9143221636540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10483858339985"/>
          <c:y val="0.13446200493753946"/>
          <c:w val="0.68625671915811792"/>
          <c:h val="0.67396152610001014"/>
        </c:manualLayout>
      </c:layout>
      <c:scatterChart>
        <c:scatterStyle val="lineMarker"/>
        <c:varyColors val="0"/>
        <c:ser>
          <c:idx val="0"/>
          <c:order val="0"/>
          <c:tx>
            <c:strRef>
              <c:f>Mediterranean!$U$3</c:f>
              <c:strCache>
                <c:ptCount val="1"/>
                <c:pt idx="0">
                  <c:v>Average fires 2011-2014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1563340284036166E-2"/>
                  <c:y val="3.362430954079091E-2"/>
                </c:manualLayout>
              </c:layout>
              <c:tx>
                <c:rich>
                  <a:bodyPr/>
                  <a:lstStyle/>
                  <a:p>
                    <a:fld id="{7479150D-F147-4476-8D20-42AA4F3E3877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{7479150D-F147-4476-8D20-42AA4F3E3877}</c15:txfldGUID>
                      <c15:f>Mediterranean!$A$4</c15:f>
                      <c15:dlblFieldTableCache>
                        <c:ptCount val="1"/>
                        <c:pt idx="0">
                          <c:v>Albania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7.1877800946787218E-3"/>
                  <c:y val="7.500807512945655E-2"/>
                </c:manualLayout>
              </c:layout>
              <c:tx>
                <c:rich>
                  <a:bodyPr/>
                  <a:lstStyle/>
                  <a:p>
                    <a:fld id="{A08C7AB6-9D15-447C-82A1-7E791DBB17C2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4075861830869"/>
                      <c:h val="6.4584539171811464E-2"/>
                    </c:manualLayout>
                  </c15:layout>
                  <c15:dlblFieldTable>
                    <c15:dlblFTEntry>
                      <c15:txfldGUID>{A08C7AB6-9D15-447C-82A1-7E791DBB17C2}</c15:txfldGUID>
                      <c15:f>Mediterranean!$A$7</c15:f>
                      <c15:dlblFieldTableCache>
                        <c:ptCount val="1"/>
                        <c:pt idx="0">
                          <c:v>Bosnia &amp; Herzegovina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0.11021262811840707"/>
                  <c:y val="-2.0691882794332869E-2"/>
                </c:manualLayout>
              </c:layout>
              <c:tx>
                <c:rich>
                  <a:bodyPr/>
                  <a:lstStyle/>
                  <a:p>
                    <a:fld id="{28B7B228-0768-4158-81E6-1139733E4367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{28B7B228-0768-4158-81E6-1139733E4367}</c15:txfldGUID>
                      <c15:f>Mediterranean!$A$9</c15:f>
                      <c15:dlblFieldTableCache>
                        <c:ptCount val="1"/>
                        <c:pt idx="0">
                          <c:v>Croatia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-0.11500448151485955"/>
                  <c:y val="3.362430954079091E-2"/>
                </c:manualLayout>
              </c:layout>
              <c:tx>
                <c:rich>
                  <a:bodyPr/>
                  <a:lstStyle/>
                  <a:p>
                    <a:fld id="{5C021EF6-737B-4A4E-B07C-3071E93956A8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{5C021EF6-737B-4A4E-B07C-3071E93956A8}</c15:txfldGUID>
                      <c15:f>Mediterranean!$A$10</c15:f>
                      <c15:dlblFieldTableCache>
                        <c:ptCount val="1"/>
                        <c:pt idx="0">
                          <c:v>Cyprus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>
                <c:manualLayout>
                  <c:x val="-0.1239783797113732"/>
                  <c:y val="1.29324267464580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France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60468945082554E-17"/>
                  <c:y val="4.65567362872489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Greece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8.9847251183483981E-2"/>
                  <c:y val="3.62107948900825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DDC7438-F2BB-4C66-9383-94E2A2A5CF85}" type="CELLREF">
                      <a:rPr lang="en-US"/>
                      <a:pPr>
                        <a:defRPr/>
                      </a:pPr>
                      <a:t>[CELLREF]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529995964655746E-2"/>
                      <c:h val="3.8758584789266616E-2"/>
                    </c:manualLayout>
                  </c15:layout>
                  <c15:dlblFieldTable>
                    <c15:dlblFTEntry>
                      <c15:txfldGUID>{0DDC7438-F2BB-4C66-9383-94E2A2A5CF85}</c15:txfldGUID>
                      <c15:f>Mediterranean!$A$20</c15:f>
                      <c15:dlblFieldTableCache>
                        <c:ptCount val="1"/>
                        <c:pt idx="0">
                          <c:v>Israel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Italy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C0817EB-DEA9-4232-8433-07AF75844CD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{7C0817EB-DEA9-4232-8433-07AF75844CD6}</c15:txfldGUID>
                      <c15:f>Mediterranean!$A$28</c15:f>
                      <c15:dlblFieldTableCache>
                        <c:ptCount val="1"/>
                        <c:pt idx="0">
                          <c:v>Portugal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layout>
                <c:manualLayout>
                  <c:x val="5.9459596870450611E-2"/>
                  <c:y val="-1.2932426746458043E-2"/>
                </c:manualLayout>
              </c:layout>
              <c:tx>
                <c:rich>
                  <a:bodyPr/>
                  <a:lstStyle/>
                  <a:p>
                    <a:fld id="{B93E437E-C92C-40D8-83F1-C234EAAE0B81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{B93E437E-C92C-40D8-83F1-C234EAAE0B81}</c15:txfldGUID>
                      <c15:f>Mediterranean!$A$29</c15:f>
                      <c15:dlblFieldTableCache>
                        <c:ptCount val="1"/>
                        <c:pt idx="0">
                          <c:v>Romania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layout>
                <c:manualLayout>
                  <c:x val="7.9154692592651163E-2"/>
                  <c:y val="-5.1729706985832173E-2"/>
                </c:manualLayout>
              </c:layout>
              <c:tx>
                <c:rich>
                  <a:bodyPr/>
                  <a:lstStyle/>
                  <a:p>
                    <a:fld id="{A94C88DE-D025-43A5-A4B2-FC4C1788A6E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{A94C88DE-D025-43A5-A4B2-FC4C1788A6E6}</c15:txfldGUID>
                      <c15:f>Mediterranean!$A$32</c15:f>
                      <c15:dlblFieldTableCache>
                        <c:ptCount val="1"/>
                        <c:pt idx="0">
                          <c:v>Slovenia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Spain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>
                <c:manualLayout>
                  <c:x val="1.0168413345201773E-2"/>
                  <c:y val="7.2421589780165038E-2"/>
                </c:manualLayout>
              </c:layout>
              <c:tx>
                <c:rich>
                  <a:bodyPr/>
                  <a:lstStyle/>
                  <a:p>
                    <a:fld id="{488F2000-91F5-4EDF-9514-164C819FFC7D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{488F2000-91F5-4EDF-9514-164C819FFC7D}</c15:txfldGUID>
                      <c15:f>Mediterranean!$A$36</c15:f>
                      <c15:dlblFieldTableCache>
                        <c:ptCount val="1"/>
                        <c:pt idx="0">
                          <c:v>The f.Y.R. of Macedonia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3"/>
              <c:layout>
                <c:manualLayout>
                  <c:x val="-2.2122904491175998E-2"/>
                  <c:y val="-0.17329451840253787"/>
                </c:manualLayout>
              </c:layout>
              <c:tx>
                <c:rich>
                  <a:bodyPr/>
                  <a:lstStyle/>
                  <a:p>
                    <a:fld id="{0E3DBA47-B0D5-4364-8D37-0E08187D533D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{0E3DBA47-B0D5-4364-8D37-0E08187D533D}</c15:txfldGUID>
                      <c15:f>Mediterranean!$A$37</c15:f>
                      <c15:dlblFieldTableCache>
                        <c:ptCount val="1"/>
                        <c:pt idx="0">
                          <c:v>Turkey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9"/>
              <c:layout>
                <c:manualLayout>
                  <c:x val="1.5252620017802638E-2"/>
                  <c:y val="-2.0691882794332775E-2"/>
                </c:manualLayout>
              </c:layout>
              <c:tx>
                <c:rich>
                  <a:bodyPr/>
                  <a:lstStyle/>
                  <a:p>
                    <a:fld id="{379054EE-3ACD-42C6-A0AE-3BA716299CC8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{379054EE-3ACD-42C6-A0AE-3BA716299CC8}</c15:txfldGUID>
                      <c15:f>Mediterranean!$A$43</c15:f>
                      <c15:dlblFieldTableCache>
                        <c:ptCount val="1"/>
                        <c:pt idx="0">
                          <c:v>Morocco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0"/>
              <c:layout>
                <c:manualLayout>
                  <c:x val="8.8973616770515879E-2"/>
                  <c:y val="0"/>
                </c:manualLayout>
              </c:layout>
              <c:tx>
                <c:rich>
                  <a:bodyPr/>
                  <a:lstStyle/>
                  <a:p>
                    <a:fld id="{A27D1B79-6B13-40F3-AF36-46A7DF110D5F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{A27D1B79-6B13-40F3-AF36-46A7DF110D5F}</c15:txfldGUID>
                      <c15:f>Mediterranean!$A$44</c15:f>
                      <c15:dlblFieldTableCache>
                        <c:ptCount val="1"/>
                        <c:pt idx="0">
                          <c:v>Algeria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flat" cmpd="sng" algn="ctr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208344784474674"/>
                  <c:y val="-0.189613611674458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Mediterranean!$V$4:$V$45</c:f>
                <c:numCache>
                  <c:formatCode>General</c:formatCode>
                  <c:ptCount val="42"/>
                  <c:pt idx="5">
                    <c:v>114.7710583437015</c:v>
                  </c:pt>
                  <c:pt idx="6">
                    <c:v>14.91364028889884</c:v>
                  </c:pt>
                  <c:pt idx="11">
                    <c:v>538.45682278154857</c:v>
                  </c:pt>
                  <c:pt idx="13">
                    <c:v>267.81041179660411</c:v>
                  </c:pt>
                  <c:pt idx="17">
                    <c:v>1479.5393708854117</c:v>
                  </c:pt>
                  <c:pt idx="24">
                    <c:v>3908.1589948678734</c:v>
                  </c:pt>
                  <c:pt idx="25">
                    <c:v>184.62997905721232</c:v>
                  </c:pt>
                  <c:pt idx="28">
                    <c:v>28.36370920736567</c:v>
                  </c:pt>
                  <c:pt idx="29">
                    <c:v>1971.8027496008149</c:v>
                  </c:pt>
                  <c:pt idx="32">
                    <c:v>112.59403477390205</c:v>
                  </c:pt>
                  <c:pt idx="33">
                    <c:v>537.10344544706777</c:v>
                  </c:pt>
                  <c:pt idx="39">
                    <c:v>41.46559819095021</c:v>
                  </c:pt>
                  <c:pt idx="40">
                    <c:v>701.08658226593764</c:v>
                  </c:pt>
                </c:numCache>
              </c:numRef>
            </c:plus>
            <c:minus>
              <c:numRef>
                <c:f>Mediterranean!$V$4:$V$45</c:f>
                <c:numCache>
                  <c:formatCode>General</c:formatCode>
                  <c:ptCount val="42"/>
                  <c:pt idx="5">
                    <c:v>114.7710583437015</c:v>
                  </c:pt>
                  <c:pt idx="6">
                    <c:v>14.91364028889884</c:v>
                  </c:pt>
                  <c:pt idx="11">
                    <c:v>538.45682278154857</c:v>
                  </c:pt>
                  <c:pt idx="13">
                    <c:v>267.81041179660411</c:v>
                  </c:pt>
                  <c:pt idx="17">
                    <c:v>1479.5393708854117</c:v>
                  </c:pt>
                  <c:pt idx="24">
                    <c:v>3908.1589948678734</c:v>
                  </c:pt>
                  <c:pt idx="25">
                    <c:v>184.62997905721232</c:v>
                  </c:pt>
                  <c:pt idx="28">
                    <c:v>28.36370920736567</c:v>
                  </c:pt>
                  <c:pt idx="29">
                    <c:v>1971.8027496008149</c:v>
                  </c:pt>
                  <c:pt idx="32">
                    <c:v>112.59403477390205</c:v>
                  </c:pt>
                  <c:pt idx="33">
                    <c:v>537.10344544706777</c:v>
                  </c:pt>
                  <c:pt idx="39">
                    <c:v>41.46559819095021</c:v>
                  </c:pt>
                  <c:pt idx="40">
                    <c:v>701.08658226593764</c:v>
                  </c:pt>
                </c:numCache>
              </c:numRef>
            </c:minus>
            <c:spPr>
              <a:noFill/>
              <a:ln w="1905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Mediterranean!$O$4:$O$66</c:f>
              <c:numCache>
                <c:formatCode>General</c:formatCode>
                <c:ptCount val="63"/>
                <c:pt idx="0" formatCode="0">
                  <c:v>0</c:v>
                </c:pt>
                <c:pt idx="3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11" formatCode="0">
                  <c:v>10000</c:v>
                </c:pt>
                <c:pt idx="13" formatCode="0">
                  <c:v>0</c:v>
                </c:pt>
                <c:pt idx="16" formatCode="0">
                  <c:v>8000</c:v>
                </c:pt>
                <c:pt idx="17" formatCode="0">
                  <c:v>72000</c:v>
                </c:pt>
                <c:pt idx="24" formatCode="0">
                  <c:v>647000</c:v>
                </c:pt>
                <c:pt idx="25" formatCode="0">
                  <c:v>0</c:v>
                </c:pt>
                <c:pt idx="28" formatCode="0">
                  <c:v>0</c:v>
                </c:pt>
                <c:pt idx="29" formatCode="0">
                  <c:v>640000</c:v>
                </c:pt>
                <c:pt idx="32" formatCode="0">
                  <c:v>0</c:v>
                </c:pt>
                <c:pt idx="33" formatCode="0">
                  <c:v>20000</c:v>
                </c:pt>
                <c:pt idx="39">
                  <c:v>215000</c:v>
                </c:pt>
                <c:pt idx="40">
                  <c:v>60000</c:v>
                </c:pt>
                <c:pt idx="41">
                  <c:v>56000</c:v>
                </c:pt>
                <c:pt idx="42">
                  <c:v>8000</c:v>
                </c:pt>
                <c:pt idx="43">
                  <c:v>0</c:v>
                </c:pt>
              </c:numCache>
            </c:numRef>
          </c:xVal>
          <c:yVal>
            <c:numRef>
              <c:f>Mediterranean!$U$4:$U$45</c:f>
              <c:numCache>
                <c:formatCode>General</c:formatCode>
                <c:ptCount val="42"/>
                <c:pt idx="5" formatCode="0">
                  <c:v>257.25</c:v>
                </c:pt>
                <c:pt idx="6" formatCode="0">
                  <c:v>91.5</c:v>
                </c:pt>
                <c:pt idx="11" formatCode="0">
                  <c:v>3401.5</c:v>
                </c:pt>
                <c:pt idx="13" formatCode="0">
                  <c:v>1156.5</c:v>
                </c:pt>
                <c:pt idx="17" formatCode="0">
                  <c:v>5656.5</c:v>
                </c:pt>
                <c:pt idx="24" formatCode="0">
                  <c:v>18188.75</c:v>
                </c:pt>
                <c:pt idx="25" formatCode="0">
                  <c:v>355.25</c:v>
                </c:pt>
                <c:pt idx="28" formatCode="0">
                  <c:v>98</c:v>
                </c:pt>
                <c:pt idx="29" formatCode="0">
                  <c:v>13578.5</c:v>
                </c:pt>
                <c:pt idx="32" formatCode="0">
                  <c:v>313.5</c:v>
                </c:pt>
                <c:pt idx="33" formatCode="0">
                  <c:v>2719.6666666666665</c:v>
                </c:pt>
                <c:pt idx="39">
                  <c:v>490.25</c:v>
                </c:pt>
                <c:pt idx="40">
                  <c:v>3667.25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00680"/>
        <c:axId val="516298720"/>
      </c:scatterChart>
      <c:valAx>
        <c:axId val="516300680"/>
        <c:scaling>
          <c:orientation val="minMax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Eucalypt plantations (ha)</a:t>
                </a:r>
              </a:p>
            </c:rich>
          </c:tx>
          <c:layout>
            <c:manualLayout>
              <c:xMode val="edge"/>
              <c:yMode val="edge"/>
              <c:x val="0.41297626353533512"/>
              <c:y val="0.912327107710618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98720"/>
        <c:crosses val="autoZero"/>
        <c:crossBetween val="midCat"/>
        <c:dispUnits>
          <c:builtInUnit val="hundred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51629872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Average number of fires (2011-2014)</a:t>
                </a:r>
              </a:p>
            </c:rich>
          </c:tx>
          <c:layout>
            <c:manualLayout>
              <c:xMode val="edge"/>
              <c:yMode val="edge"/>
              <c:x val="5.0556030059271034E-2"/>
              <c:y val="0.24356688141962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00680"/>
        <c:crosses val="autoZero"/>
        <c:crossBetween val="midCat"/>
      </c:valAx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8594203780238"/>
          <c:y val="3.4227931069798032E-2"/>
          <c:w val="0.82968369865610914"/>
          <c:h val="0.85856636665979003"/>
        </c:manualLayout>
      </c:layout>
      <c:lineChart>
        <c:grouping val="standard"/>
        <c:varyColors val="0"/>
        <c:ser>
          <c:idx val="1"/>
          <c:order val="0"/>
          <c:tx>
            <c:strRef>
              <c:f>'South Europe'!$B$2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'South Europe'!$A$3:$A$37</c:f>
              <c:numCache>
                <c:formatCode>###0;###0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 formatCode="General">
                  <c:v>2006</c:v>
                </c:pt>
                <c:pt idx="27" formatCode="General">
                  <c:v>2007</c:v>
                </c:pt>
                <c:pt idx="28" formatCode="General">
                  <c:v>2008</c:v>
                </c:pt>
                <c:pt idx="29" formatCode="General">
                  <c:v>2009</c:v>
                </c:pt>
                <c:pt idx="30" formatCode="General">
                  <c:v>2010</c:v>
                </c:pt>
                <c:pt idx="31" formatCode="General">
                  <c:v>2011</c:v>
                </c:pt>
                <c:pt idx="32" formatCode="General">
                  <c:v>2012</c:v>
                </c:pt>
                <c:pt idx="33" formatCode="General">
                  <c:v>2013</c:v>
                </c:pt>
                <c:pt idx="34" formatCode="General">
                  <c:v>2014</c:v>
                </c:pt>
              </c:numCache>
            </c:numRef>
          </c:cat>
          <c:val>
            <c:numRef>
              <c:f>'South Europe'!$B$3:$B$37</c:f>
              <c:numCache>
                <c:formatCode>General</c:formatCode>
                <c:ptCount val="35"/>
                <c:pt idx="0">
                  <c:v>2349</c:v>
                </c:pt>
                <c:pt idx="1">
                  <c:v>6730</c:v>
                </c:pt>
                <c:pt idx="2">
                  <c:v>3626</c:v>
                </c:pt>
                <c:pt idx="3">
                  <c:v>4539</c:v>
                </c:pt>
                <c:pt idx="4">
                  <c:v>7356</c:v>
                </c:pt>
                <c:pt idx="5">
                  <c:v>8441</c:v>
                </c:pt>
                <c:pt idx="6">
                  <c:v>5036</c:v>
                </c:pt>
                <c:pt idx="7">
                  <c:v>7705</c:v>
                </c:pt>
                <c:pt idx="8">
                  <c:v>6131</c:v>
                </c:pt>
                <c:pt idx="9">
                  <c:v>21896</c:v>
                </c:pt>
                <c:pt idx="10">
                  <c:v>10745</c:v>
                </c:pt>
                <c:pt idx="11">
                  <c:v>14327</c:v>
                </c:pt>
                <c:pt idx="12">
                  <c:v>14954</c:v>
                </c:pt>
                <c:pt idx="13">
                  <c:v>16101</c:v>
                </c:pt>
                <c:pt idx="14">
                  <c:v>19983</c:v>
                </c:pt>
                <c:pt idx="15">
                  <c:v>34116</c:v>
                </c:pt>
                <c:pt idx="16">
                  <c:v>28626</c:v>
                </c:pt>
                <c:pt idx="17">
                  <c:v>23497</c:v>
                </c:pt>
                <c:pt idx="18">
                  <c:v>34676</c:v>
                </c:pt>
                <c:pt idx="19">
                  <c:v>25477</c:v>
                </c:pt>
                <c:pt idx="20">
                  <c:v>34109</c:v>
                </c:pt>
                <c:pt idx="21">
                  <c:v>26533</c:v>
                </c:pt>
                <c:pt idx="22">
                  <c:v>26488</c:v>
                </c:pt>
                <c:pt idx="23">
                  <c:v>26195</c:v>
                </c:pt>
                <c:pt idx="24">
                  <c:v>21870</c:v>
                </c:pt>
                <c:pt idx="25">
                  <c:v>35697</c:v>
                </c:pt>
                <c:pt idx="26" formatCode="#,##0">
                  <c:v>19929</c:v>
                </c:pt>
                <c:pt idx="27" formatCode="#,##0">
                  <c:v>18722</c:v>
                </c:pt>
                <c:pt idx="28" formatCode="#,##0">
                  <c:v>13832</c:v>
                </c:pt>
                <c:pt idx="29" formatCode="#,##0">
                  <c:v>26119</c:v>
                </c:pt>
                <c:pt idx="30" formatCode="#,##0">
                  <c:v>22026</c:v>
                </c:pt>
                <c:pt idx="31" formatCode="#,##0">
                  <c:v>25221</c:v>
                </c:pt>
                <c:pt idx="32" formatCode="#,##0">
                  <c:v>21176</c:v>
                </c:pt>
                <c:pt idx="33" formatCode="#,##0">
                  <c:v>19291</c:v>
                </c:pt>
                <c:pt idx="34" formatCode="#,##0">
                  <c:v>7067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'South Europe'!$C$2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'South Europe'!$A$3:$A$37</c:f>
              <c:numCache>
                <c:formatCode>###0;###0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 formatCode="General">
                  <c:v>2006</c:v>
                </c:pt>
                <c:pt idx="27" formatCode="General">
                  <c:v>2007</c:v>
                </c:pt>
                <c:pt idx="28" formatCode="General">
                  <c:v>2008</c:v>
                </c:pt>
                <c:pt idx="29" formatCode="General">
                  <c:v>2009</c:v>
                </c:pt>
                <c:pt idx="30" formatCode="General">
                  <c:v>2010</c:v>
                </c:pt>
                <c:pt idx="31" formatCode="General">
                  <c:v>2011</c:v>
                </c:pt>
                <c:pt idx="32" formatCode="General">
                  <c:v>2012</c:v>
                </c:pt>
                <c:pt idx="33" formatCode="General">
                  <c:v>2013</c:v>
                </c:pt>
                <c:pt idx="34" formatCode="General">
                  <c:v>2014</c:v>
                </c:pt>
              </c:numCache>
            </c:numRef>
          </c:cat>
          <c:val>
            <c:numRef>
              <c:f>'South Europe'!$C$3:$C$37</c:f>
              <c:numCache>
                <c:formatCode>General</c:formatCode>
                <c:ptCount val="35"/>
                <c:pt idx="0">
                  <c:v>7190</c:v>
                </c:pt>
                <c:pt idx="1">
                  <c:v>10878</c:v>
                </c:pt>
                <c:pt idx="2">
                  <c:v>6545</c:v>
                </c:pt>
                <c:pt idx="3">
                  <c:v>4791</c:v>
                </c:pt>
                <c:pt idx="4">
                  <c:v>7203</c:v>
                </c:pt>
                <c:pt idx="5">
                  <c:v>12238</c:v>
                </c:pt>
                <c:pt idx="6">
                  <c:v>7570</c:v>
                </c:pt>
                <c:pt idx="7">
                  <c:v>8679</c:v>
                </c:pt>
                <c:pt idx="8">
                  <c:v>9247</c:v>
                </c:pt>
                <c:pt idx="9">
                  <c:v>20811</c:v>
                </c:pt>
                <c:pt idx="10">
                  <c:v>12913</c:v>
                </c:pt>
                <c:pt idx="11">
                  <c:v>13531</c:v>
                </c:pt>
                <c:pt idx="12">
                  <c:v>15955</c:v>
                </c:pt>
                <c:pt idx="13">
                  <c:v>14254</c:v>
                </c:pt>
                <c:pt idx="14">
                  <c:v>19263</c:v>
                </c:pt>
                <c:pt idx="15">
                  <c:v>25827</c:v>
                </c:pt>
                <c:pt idx="16">
                  <c:v>16771</c:v>
                </c:pt>
                <c:pt idx="17">
                  <c:v>22320</c:v>
                </c:pt>
                <c:pt idx="18">
                  <c:v>22446</c:v>
                </c:pt>
                <c:pt idx="19">
                  <c:v>18237</c:v>
                </c:pt>
                <c:pt idx="20">
                  <c:v>24118</c:v>
                </c:pt>
                <c:pt idx="21">
                  <c:v>19547</c:v>
                </c:pt>
                <c:pt idx="22">
                  <c:v>19929</c:v>
                </c:pt>
                <c:pt idx="23">
                  <c:v>18616</c:v>
                </c:pt>
                <c:pt idx="24">
                  <c:v>21394</c:v>
                </c:pt>
                <c:pt idx="25">
                  <c:v>25492</c:v>
                </c:pt>
                <c:pt idx="26" formatCode="#,##0">
                  <c:v>16354</c:v>
                </c:pt>
                <c:pt idx="27" formatCode="#,##0">
                  <c:v>10936</c:v>
                </c:pt>
                <c:pt idx="28" formatCode="#,##0">
                  <c:v>11655</c:v>
                </c:pt>
                <c:pt idx="29" formatCode="#,##0">
                  <c:v>15643</c:v>
                </c:pt>
                <c:pt idx="30" formatCode="#,##0">
                  <c:v>11721</c:v>
                </c:pt>
                <c:pt idx="31" formatCode="#,##0">
                  <c:v>16414</c:v>
                </c:pt>
                <c:pt idx="32" formatCode="#,##0">
                  <c:v>17503</c:v>
                </c:pt>
                <c:pt idx="33" formatCode="#,##0">
                  <c:v>10626</c:v>
                </c:pt>
                <c:pt idx="34" formatCode="#,##0">
                  <c:v>9771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'South Europe'!$D$2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'South Europe'!$A$3:$A$37</c:f>
              <c:numCache>
                <c:formatCode>###0;###0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 formatCode="General">
                  <c:v>2006</c:v>
                </c:pt>
                <c:pt idx="27" formatCode="General">
                  <c:v>2007</c:v>
                </c:pt>
                <c:pt idx="28" formatCode="General">
                  <c:v>2008</c:v>
                </c:pt>
                <c:pt idx="29" formatCode="General">
                  <c:v>2009</c:v>
                </c:pt>
                <c:pt idx="30" formatCode="General">
                  <c:v>2010</c:v>
                </c:pt>
                <c:pt idx="31" formatCode="General">
                  <c:v>2011</c:v>
                </c:pt>
                <c:pt idx="32" formatCode="General">
                  <c:v>2012</c:v>
                </c:pt>
                <c:pt idx="33" formatCode="General">
                  <c:v>2013</c:v>
                </c:pt>
                <c:pt idx="34" formatCode="General">
                  <c:v>2014</c:v>
                </c:pt>
              </c:numCache>
            </c:numRef>
          </c:cat>
          <c:val>
            <c:numRef>
              <c:f>'South Europe'!$D$3:$D$37</c:f>
              <c:numCache>
                <c:formatCode>General</c:formatCode>
                <c:ptCount val="35"/>
                <c:pt idx="0">
                  <c:v>5040</c:v>
                </c:pt>
                <c:pt idx="1">
                  <c:v>5173</c:v>
                </c:pt>
                <c:pt idx="2">
                  <c:v>5308</c:v>
                </c:pt>
                <c:pt idx="3">
                  <c:v>4659</c:v>
                </c:pt>
                <c:pt idx="4">
                  <c:v>5672</c:v>
                </c:pt>
                <c:pt idx="5">
                  <c:v>6249</c:v>
                </c:pt>
                <c:pt idx="6">
                  <c:v>4353</c:v>
                </c:pt>
                <c:pt idx="7">
                  <c:v>3043</c:v>
                </c:pt>
                <c:pt idx="8">
                  <c:v>2837</c:v>
                </c:pt>
                <c:pt idx="9">
                  <c:v>6763</c:v>
                </c:pt>
                <c:pt idx="10">
                  <c:v>5881</c:v>
                </c:pt>
                <c:pt idx="11">
                  <c:v>3888</c:v>
                </c:pt>
                <c:pt idx="12">
                  <c:v>4002</c:v>
                </c:pt>
                <c:pt idx="13">
                  <c:v>4769</c:v>
                </c:pt>
                <c:pt idx="14">
                  <c:v>4618</c:v>
                </c:pt>
                <c:pt idx="15">
                  <c:v>6563</c:v>
                </c:pt>
                <c:pt idx="16">
                  <c:v>6401</c:v>
                </c:pt>
                <c:pt idx="17">
                  <c:v>8005</c:v>
                </c:pt>
                <c:pt idx="18">
                  <c:v>6289</c:v>
                </c:pt>
                <c:pt idx="19">
                  <c:v>4960</c:v>
                </c:pt>
                <c:pt idx="20">
                  <c:v>4603</c:v>
                </c:pt>
                <c:pt idx="21">
                  <c:v>4309</c:v>
                </c:pt>
                <c:pt idx="22">
                  <c:v>4097</c:v>
                </c:pt>
                <c:pt idx="23">
                  <c:v>7023</c:v>
                </c:pt>
                <c:pt idx="24">
                  <c:v>3775</c:v>
                </c:pt>
                <c:pt idx="25">
                  <c:v>4698</c:v>
                </c:pt>
                <c:pt idx="26" formatCode="#,##0">
                  <c:v>4608</c:v>
                </c:pt>
                <c:pt idx="27" formatCode="#,##0">
                  <c:v>3364</c:v>
                </c:pt>
                <c:pt idx="28" formatCode="#,##0">
                  <c:v>2781</c:v>
                </c:pt>
                <c:pt idx="29" formatCode="#,##0">
                  <c:v>4800</c:v>
                </c:pt>
                <c:pt idx="30" formatCode="#,##0">
                  <c:v>3900</c:v>
                </c:pt>
                <c:pt idx="31" formatCode="#,##0">
                  <c:v>4500</c:v>
                </c:pt>
                <c:pt idx="32" formatCode="#,##0">
                  <c:v>4105</c:v>
                </c:pt>
                <c:pt idx="33" formatCode="#,##0">
                  <c:v>2223</c:v>
                </c:pt>
                <c:pt idx="34" formatCode="#,##0">
                  <c:v>2778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'South Europe'!$E$2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'South Europe'!$A$3:$A$37</c:f>
              <c:numCache>
                <c:formatCode>###0;###0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 formatCode="General">
                  <c:v>2006</c:v>
                </c:pt>
                <c:pt idx="27" formatCode="General">
                  <c:v>2007</c:v>
                </c:pt>
                <c:pt idx="28" formatCode="General">
                  <c:v>2008</c:v>
                </c:pt>
                <c:pt idx="29" formatCode="General">
                  <c:v>2009</c:v>
                </c:pt>
                <c:pt idx="30" formatCode="General">
                  <c:v>2010</c:v>
                </c:pt>
                <c:pt idx="31" formatCode="General">
                  <c:v>2011</c:v>
                </c:pt>
                <c:pt idx="32" formatCode="General">
                  <c:v>2012</c:v>
                </c:pt>
                <c:pt idx="33" formatCode="General">
                  <c:v>2013</c:v>
                </c:pt>
                <c:pt idx="34" formatCode="General">
                  <c:v>2014</c:v>
                </c:pt>
              </c:numCache>
            </c:numRef>
          </c:cat>
          <c:val>
            <c:numRef>
              <c:f>'South Europe'!$E$3:$E$37</c:f>
              <c:numCache>
                <c:formatCode>General</c:formatCode>
                <c:ptCount val="35"/>
                <c:pt idx="0">
                  <c:v>11963</c:v>
                </c:pt>
                <c:pt idx="1">
                  <c:v>14503</c:v>
                </c:pt>
                <c:pt idx="2">
                  <c:v>9557</c:v>
                </c:pt>
                <c:pt idx="3">
                  <c:v>7956</c:v>
                </c:pt>
                <c:pt idx="4">
                  <c:v>8482</c:v>
                </c:pt>
                <c:pt idx="5">
                  <c:v>18664</c:v>
                </c:pt>
                <c:pt idx="6">
                  <c:v>9398</c:v>
                </c:pt>
                <c:pt idx="7">
                  <c:v>11972</c:v>
                </c:pt>
                <c:pt idx="8">
                  <c:v>13588</c:v>
                </c:pt>
                <c:pt idx="9">
                  <c:v>9669</c:v>
                </c:pt>
                <c:pt idx="10">
                  <c:v>14477</c:v>
                </c:pt>
                <c:pt idx="11">
                  <c:v>11965</c:v>
                </c:pt>
                <c:pt idx="12">
                  <c:v>14641</c:v>
                </c:pt>
                <c:pt idx="13">
                  <c:v>14412</c:v>
                </c:pt>
                <c:pt idx="14">
                  <c:v>11588</c:v>
                </c:pt>
                <c:pt idx="15">
                  <c:v>7378</c:v>
                </c:pt>
                <c:pt idx="16">
                  <c:v>9093</c:v>
                </c:pt>
                <c:pt idx="17">
                  <c:v>11612</c:v>
                </c:pt>
                <c:pt idx="18">
                  <c:v>9540</c:v>
                </c:pt>
                <c:pt idx="19">
                  <c:v>6932</c:v>
                </c:pt>
                <c:pt idx="20">
                  <c:v>8595</c:v>
                </c:pt>
                <c:pt idx="21">
                  <c:v>7134</c:v>
                </c:pt>
                <c:pt idx="22">
                  <c:v>4601</c:v>
                </c:pt>
                <c:pt idx="23">
                  <c:v>9697</c:v>
                </c:pt>
                <c:pt idx="24">
                  <c:v>6428</c:v>
                </c:pt>
                <c:pt idx="25">
                  <c:v>7951</c:v>
                </c:pt>
                <c:pt idx="26" formatCode="#,##0">
                  <c:v>5634</c:v>
                </c:pt>
                <c:pt idx="27" formatCode="#,##0">
                  <c:v>10639</c:v>
                </c:pt>
                <c:pt idx="28" formatCode="#,##0">
                  <c:v>6486</c:v>
                </c:pt>
                <c:pt idx="29" formatCode="#,##0">
                  <c:v>5422</c:v>
                </c:pt>
                <c:pt idx="30" formatCode="#,##0">
                  <c:v>4884</c:v>
                </c:pt>
                <c:pt idx="31" formatCode="#,##0">
                  <c:v>8181</c:v>
                </c:pt>
                <c:pt idx="32" formatCode="#,##0">
                  <c:v>8252</c:v>
                </c:pt>
                <c:pt idx="33" formatCode="#,##0">
                  <c:v>2936</c:v>
                </c:pt>
                <c:pt idx="34" formatCode="#,##0">
                  <c:v>3257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'South Europe'!$F$2</c:f>
              <c:strCache>
                <c:ptCount val="1"/>
                <c:pt idx="0">
                  <c:v>Greece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'South Europe'!$A$3:$A$37</c:f>
              <c:numCache>
                <c:formatCode>###0;###0</c:formatCod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 formatCode="General">
                  <c:v>2006</c:v>
                </c:pt>
                <c:pt idx="27" formatCode="General">
                  <c:v>2007</c:v>
                </c:pt>
                <c:pt idx="28" formatCode="General">
                  <c:v>2008</c:v>
                </c:pt>
                <c:pt idx="29" formatCode="General">
                  <c:v>2009</c:v>
                </c:pt>
                <c:pt idx="30" formatCode="General">
                  <c:v>2010</c:v>
                </c:pt>
                <c:pt idx="31" formatCode="General">
                  <c:v>2011</c:v>
                </c:pt>
                <c:pt idx="32" formatCode="General">
                  <c:v>2012</c:v>
                </c:pt>
                <c:pt idx="33" formatCode="General">
                  <c:v>2013</c:v>
                </c:pt>
                <c:pt idx="34" formatCode="General">
                  <c:v>2014</c:v>
                </c:pt>
              </c:numCache>
            </c:numRef>
          </c:cat>
          <c:val>
            <c:numRef>
              <c:f>'South Europe'!$F$3:$F$37</c:f>
              <c:numCache>
                <c:formatCode>General</c:formatCode>
                <c:ptCount val="35"/>
                <c:pt idx="0">
                  <c:v>1207</c:v>
                </c:pt>
                <c:pt idx="1">
                  <c:v>1159</c:v>
                </c:pt>
                <c:pt idx="2">
                  <c:v>1045</c:v>
                </c:pt>
                <c:pt idx="3" formatCode="###0;###0">
                  <c:v>968</c:v>
                </c:pt>
                <c:pt idx="4">
                  <c:v>1284</c:v>
                </c:pt>
                <c:pt idx="5">
                  <c:v>1442</c:v>
                </c:pt>
                <c:pt idx="6">
                  <c:v>1082</c:v>
                </c:pt>
                <c:pt idx="7">
                  <c:v>1266</c:v>
                </c:pt>
                <c:pt idx="8">
                  <c:v>1898</c:v>
                </c:pt>
                <c:pt idx="9">
                  <c:v>1284</c:v>
                </c:pt>
                <c:pt idx="10">
                  <c:v>1322</c:v>
                </c:pt>
                <c:pt idx="11" formatCode="###0;###0">
                  <c:v>858</c:v>
                </c:pt>
                <c:pt idx="12">
                  <c:v>2582</c:v>
                </c:pt>
                <c:pt idx="13">
                  <c:v>2406</c:v>
                </c:pt>
                <c:pt idx="14">
                  <c:v>1763</c:v>
                </c:pt>
                <c:pt idx="15">
                  <c:v>1438</c:v>
                </c:pt>
                <c:pt idx="16">
                  <c:v>1508</c:v>
                </c:pt>
                <c:pt idx="17">
                  <c:v>2273</c:v>
                </c:pt>
                <c:pt idx="18">
                  <c:v>1842</c:v>
                </c:pt>
                <c:pt idx="19">
                  <c:v>1486</c:v>
                </c:pt>
                <c:pt idx="20">
                  <c:v>2581</c:v>
                </c:pt>
                <c:pt idx="21">
                  <c:v>2535</c:v>
                </c:pt>
                <c:pt idx="22">
                  <c:v>1141</c:v>
                </c:pt>
                <c:pt idx="23">
                  <c:v>1452</c:v>
                </c:pt>
                <c:pt idx="24">
                  <c:v>1748</c:v>
                </c:pt>
                <c:pt idx="25">
                  <c:v>1544</c:v>
                </c:pt>
                <c:pt idx="26" formatCode="#,##0">
                  <c:v>1417</c:v>
                </c:pt>
                <c:pt idx="27" formatCode="#,##0">
                  <c:v>1983</c:v>
                </c:pt>
                <c:pt idx="28" formatCode="#,##0">
                  <c:v>1481</c:v>
                </c:pt>
                <c:pt idx="29" formatCode="#,##0">
                  <c:v>1063</c:v>
                </c:pt>
                <c:pt idx="30" formatCode="#,##0">
                  <c:v>1052</c:v>
                </c:pt>
                <c:pt idx="31" formatCode="#,##0">
                  <c:v>1653</c:v>
                </c:pt>
                <c:pt idx="32" formatCode="#,##0">
                  <c:v>1559</c:v>
                </c:pt>
                <c:pt idx="33">
                  <c:v>862</c:v>
                </c:pt>
                <c:pt idx="34">
                  <c:v>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315968"/>
        <c:axId val="516306560"/>
      </c:lineChart>
      <c:catAx>
        <c:axId val="516315968"/>
        <c:scaling>
          <c:orientation val="minMax"/>
        </c:scaling>
        <c:delete val="0"/>
        <c:axPos val="b"/>
        <c:numFmt formatCode="###0;#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06560"/>
        <c:crosses val="autoZero"/>
        <c:auto val="1"/>
        <c:lblAlgn val="ctr"/>
        <c:lblOffset val="100"/>
        <c:noMultiLvlLbl val="0"/>
      </c:catAx>
      <c:valAx>
        <c:axId val="5163065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Number of forest fires</a:t>
                </a:r>
              </a:p>
            </c:rich>
          </c:tx>
          <c:layout>
            <c:manualLayout>
              <c:xMode val="edge"/>
              <c:yMode val="edge"/>
              <c:x val="2.2193868058537479E-2"/>
              <c:y val="0.286692611618091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315968"/>
        <c:crosses val="autoZero"/>
        <c:crossBetween val="between"/>
      </c:valAx>
      <c:spPr>
        <a:solidFill>
          <a:schemeClr val="lt1"/>
        </a:solidFill>
        <a:ln w="19050" cap="flat" cmpd="sng" algn="ctr">
          <a:solidFill>
            <a:schemeClr val="dk1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1544832195261977"/>
          <c:y val="6.2565815876761813E-2"/>
          <c:w val="0.12382587478714689"/>
          <c:h val="0.2908087837152471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Standardized residuals / Eucalypt biomass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516306952"/>
        <c:axId val="516309696"/>
      </c:barChart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1.3037968687005774</c:v>
                </c:pt>
              </c:numLit>
            </c:plus>
            <c:minus>
              <c:numLit>
                <c:formatCode>General</c:formatCode>
                <c:ptCount val="1"/>
                <c:pt idx="0">
                  <c:v>1.3037968687005774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'IFN1-4'!#REF!</c:f>
            </c:numRef>
          </c:xVal>
          <c:yVal>
            <c:numRef>
              <c:f>'IFN1-4'!#REF!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7682566</c:v>
              </c:pt>
            </c:numLit>
          </c:xVal>
          <c:yVal>
            <c:numLit>
              <c:formatCode>General</c:formatCode>
              <c:ptCount val="1"/>
              <c:pt idx="0">
                <c:v>-1.0129652230264921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10872"/>
        <c:axId val="516309304"/>
      </c:scatterChart>
      <c:catAx>
        <c:axId val="51630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Eucalypt biomass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516309696"/>
        <c:crosses val="autoZero"/>
        <c:auto val="1"/>
        <c:lblAlgn val="ctr"/>
        <c:lblOffset val="100"/>
        <c:tickMarkSkip val="1"/>
        <c:noMultiLvlLbl val="0"/>
      </c:catAx>
      <c:valAx>
        <c:axId val="516309696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06952"/>
        <c:crosses val="autoZero"/>
        <c:crossBetween val="between"/>
      </c:valAx>
      <c:valAx>
        <c:axId val="5163093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16310872"/>
        <c:crosses val="max"/>
        <c:crossBetween val="midCat"/>
      </c:valAx>
      <c:valAx>
        <c:axId val="516310872"/>
        <c:scaling>
          <c:orientation val="minMax"/>
        </c:scaling>
        <c:delete val="0"/>
        <c:axPos val="t"/>
        <c:numFmt formatCode="0.000" sourceLinked="1"/>
        <c:majorTickMark val="out"/>
        <c:minorTickMark val="none"/>
        <c:tickLblPos val="nextTo"/>
        <c:crossAx val="516309304"/>
        <c:crosses val="max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Fires-trans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</c:v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xVal>
            <c:numRef>
              <c:f>'IFN1-4'!#REF!</c:f>
            </c:numRef>
          </c:xVal>
          <c:yVal>
            <c:numRef>
              <c:f>'IFN1-4'!#REF!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Training set</c:v>
          </c:tx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1"/>
              <c:pt idx="0">
                <c:v>12.457049425727195</c:v>
              </c:pt>
            </c:numLit>
          </c:xVal>
          <c:yVal>
            <c:numLit>
              <c:formatCode>General</c:formatCode>
              <c:ptCount val="1"/>
              <c:pt idx="0">
                <c:v>-1.0129652230264921</c:v>
              </c:pt>
            </c:numLit>
          </c:yVal>
          <c:smooth val="0"/>
        </c:ser>
        <c:ser>
          <c:idx val="2"/>
          <c:order val="2"/>
          <c:tx>
            <c:v>Conf. interval (Mean 95%)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inventories'!ydata1</c:f>
              <c:numCache>
                <c:formatCode>General</c:formatCode>
                <c:ptCount val="70"/>
                <c:pt idx="0">
                  <c:v>-6482.7902360435855</c:v>
                </c:pt>
                <c:pt idx="1">
                  <c:v>-6225.1134655771302</c:v>
                </c:pt>
                <c:pt idx="2">
                  <c:v>-5969.5978928892255</c:v>
                </c:pt>
                <c:pt idx="3">
                  <c:v>-5716.3583304670683</c:v>
                </c:pt>
                <c:pt idx="4">
                  <c:v>-5465.5154916880001</c:v>
                </c:pt>
                <c:pt idx="5">
                  <c:v>-5217.1960975163838</c:v>
                </c:pt>
                <c:pt idx="6">
                  <c:v>-4971.5329383886838</c:v>
                </c:pt>
                <c:pt idx="7">
                  <c:v>-4728.6648809236467</c:v>
                </c:pt>
                <c:pt idx="8">
                  <c:v>-4488.7368079538737</c:v>
                </c:pt>
                <c:pt idx="9">
                  <c:v>-4251.8994793275342</c:v>
                </c:pt>
                <c:pt idx="10">
                  <c:v>-4018.3093000576173</c:v>
                </c:pt>
                <c:pt idx="11">
                  <c:v>-3788.1279818044359</c:v>
                </c:pt>
                <c:pt idx="12">
                  <c:v>-3561.522083488122</c:v>
                </c:pt>
                <c:pt idx="13">
                  <c:v>-3338.662417181491</c:v>
                </c:pt>
                <c:pt idx="14">
                  <c:v>-3119.7233064822212</c:v>
                </c:pt>
                <c:pt idx="15">
                  <c:v>-2904.8816864609025</c:v>
                </c:pt>
                <c:pt idx="16">
                  <c:v>-2694.3160371718832</c:v>
                </c:pt>
                <c:pt idx="17">
                  <c:v>-2488.2051467112869</c:v>
                </c:pt>
                <c:pt idx="18">
                  <c:v>-2286.7267049740713</c:v>
                </c:pt>
                <c:pt idx="19">
                  <c:v>-2090.0557355861729</c:v>
                </c:pt>
                <c:pt idx="20">
                  <c:v>-1898.3628808541216</c:v>
                </c:pt>
                <c:pt idx="21">
                  <c:v>-1711.812562744999</c:v>
                </c:pt>
                <c:pt idx="22">
                  <c:v>-1530.5610515110584</c:v>
                </c:pt>
                <c:pt idx="23">
                  <c:v>-1354.7544820968478</c:v>
                </c:pt>
                <c:pt idx="24">
                  <c:v>-1184.5268662879307</c:v>
                </c:pt>
                <c:pt idx="25">
                  <c:v>-1019.998154980216</c:v>
                </c:pt>
                <c:pt idx="26">
                  <c:v>-861.27240925624756</c:v>
                </c:pt>
                <c:pt idx="27">
                  <c:v>-708.43614050650285</c:v>
                </c:pt>
                <c:pt idx="28">
                  <c:v>-561.55687814233988</c:v>
                </c:pt>
                <c:pt idx="29">
                  <c:v>-420.68201826501991</c:v>
                </c:pt>
                <c:pt idx="30">
                  <c:v>-285.83799803662714</c:v>
                </c:pt>
                <c:pt idx="31">
                  <c:v>-157.02982883051936</c:v>
                </c:pt>
                <c:pt idx="32">
                  <c:v>-34.241007224704845</c:v>
                </c:pt>
                <c:pt idx="33">
                  <c:v>82.566192498086821</c:v>
                </c:pt>
                <c:pt idx="34">
                  <c:v>193.45005634861354</c:v>
                </c:pt>
                <c:pt idx="35">
                  <c:v>298.48842592305118</c:v>
                </c:pt>
                <c:pt idx="36">
                  <c:v>397.7773906489756</c:v>
                </c:pt>
                <c:pt idx="37">
                  <c:v>491.4297267514321</c:v>
                </c:pt>
                <c:pt idx="38">
                  <c:v>579.57313951310243</c:v>
                </c:pt>
                <c:pt idx="39">
                  <c:v>662.34836870450999</c:v>
                </c:pt>
                <c:pt idx="40">
                  <c:v>739.90721696966739</c:v>
                </c:pt>
                <c:pt idx="41">
                  <c:v>812.41055785481512</c:v>
                </c:pt>
                <c:pt idx="42">
                  <c:v>880.02637464450436</c:v>
                </c:pt>
                <c:pt idx="43">
                  <c:v>942.92787391074035</c:v>
                </c:pt>
                <c:pt idx="44">
                  <c:v>1001.2917094006652</c:v>
                </c:pt>
                <c:pt idx="45">
                  <c:v>1055.2963432520592</c:v>
                </c:pt>
                <c:pt idx="46">
                  <c:v>1105.1205631001021</c:v>
                </c:pt>
                <c:pt idx="47">
                  <c:v>1150.9421658605897</c:v>
                </c:pt>
                <c:pt idx="48">
                  <c:v>1192.9368121445077</c:v>
                </c:pt>
                <c:pt idx="49">
                  <c:v>1231.2770495458744</c:v>
                </c:pt>
                <c:pt idx="50">
                  <c:v>1266.1314985067092</c:v>
                </c:pt>
                <c:pt idx="51">
                  <c:v>1297.6641910691797</c:v>
                </c:pt>
                <c:pt idx="52">
                  <c:v>1326.0340504820124</c:v>
                </c:pt>
                <c:pt idx="53">
                  <c:v>1351.3944982035491</c:v>
                </c:pt>
                <c:pt idx="54">
                  <c:v>1373.8931741861479</c:v>
                </c:pt>
                <c:pt idx="55">
                  <c:v>1393.6717562814938</c:v>
                </c:pt>
                <c:pt idx="56">
                  <c:v>1410.8658650270772</c:v>
                </c:pt>
                <c:pt idx="57">
                  <c:v>1425.6050408294323</c:v>
                </c:pt>
                <c:pt idx="58">
                  <c:v>1438.0127815368442</c:v>
                </c:pt>
                <c:pt idx="59">
                  <c:v>1448.2066295006953</c:v>
                </c:pt>
                <c:pt idx="60">
                  <c:v>1456.2982983871125</c:v>
                </c:pt>
                <c:pt idx="61">
                  <c:v>1462.3938311636512</c:v>
                </c:pt>
                <c:pt idx="62">
                  <c:v>1466.5937818092116</c:v>
                </c:pt>
                <c:pt idx="63">
                  <c:v>1468.9934143520632</c:v>
                </c:pt>
                <c:pt idx="64">
                  <c:v>1469.6829138135436</c:v>
                </c:pt>
                <c:pt idx="65">
                  <c:v>1468.7476045149451</c:v>
                </c:pt>
                <c:pt idx="66">
                  <c:v>1466.2681719893535</c:v>
                </c:pt>
                <c:pt idx="67">
                  <c:v>1462.3208854300883</c:v>
                </c:pt>
                <c:pt idx="68">
                  <c:v>1456.9778182073205</c:v>
                </c:pt>
                <c:pt idx="69">
                  <c:v>1450.3070645008083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inventories'!ydata2</c:f>
              <c:numCache>
                <c:formatCode>General</c:formatCode>
                <c:ptCount val="70"/>
                <c:pt idx="0">
                  <c:v>8037.1068274945701</c:v>
                </c:pt>
                <c:pt idx="1">
                  <c:v>8046.3090116660669</c:v>
                </c:pt>
                <c:pt idx="2">
                  <c:v>8057.6723936161143</c:v>
                </c:pt>
                <c:pt idx="3">
                  <c:v>8071.3117858319056</c:v>
                </c:pt>
                <c:pt idx="4">
                  <c:v>8087.3479016907895</c:v>
                </c:pt>
                <c:pt idx="5">
                  <c:v>8105.9074621571235</c:v>
                </c:pt>
                <c:pt idx="6">
                  <c:v>8127.1232576673738</c:v>
                </c:pt>
                <c:pt idx="7">
                  <c:v>8151.134154840287</c:v>
                </c:pt>
                <c:pt idx="8">
                  <c:v>8178.0850365084643</c:v>
                </c:pt>
                <c:pt idx="9">
                  <c:v>8208.1266625200769</c:v>
                </c:pt>
                <c:pt idx="10">
                  <c:v>8241.4154378881103</c:v>
                </c:pt>
                <c:pt idx="11">
                  <c:v>8278.1130742728819</c:v>
                </c:pt>
                <c:pt idx="12">
                  <c:v>8318.3861305945175</c:v>
                </c:pt>
                <c:pt idx="13">
                  <c:v>8362.4054189258368</c:v>
                </c:pt>
                <c:pt idx="14">
                  <c:v>8410.3452628645173</c:v>
                </c:pt>
                <c:pt idx="15">
                  <c:v>8462.382597481148</c:v>
                </c:pt>
                <c:pt idx="16">
                  <c:v>8518.6959028300807</c:v>
                </c:pt>
                <c:pt idx="17">
                  <c:v>8579.4639670074357</c:v>
                </c:pt>
                <c:pt idx="18">
                  <c:v>8644.8644799081721</c:v>
                </c:pt>
                <c:pt idx="19">
                  <c:v>8715.0724651582223</c:v>
                </c:pt>
                <c:pt idx="20">
                  <c:v>8790.2585650641213</c:v>
                </c:pt>
                <c:pt idx="21">
                  <c:v>8870.5872015929508</c:v>
                </c:pt>
                <c:pt idx="22">
                  <c:v>8956.2146449969605</c:v>
                </c:pt>
                <c:pt idx="23">
                  <c:v>9047.2870302207011</c:v>
                </c:pt>
                <c:pt idx="24">
                  <c:v>9143.9383690497343</c:v>
                </c:pt>
                <c:pt idx="25">
                  <c:v>9246.2886123799708</c:v>
                </c:pt>
                <c:pt idx="26">
                  <c:v>9354.4418212939527</c:v>
                </c:pt>
                <c:pt idx="27">
                  <c:v>9468.4845071821583</c:v>
                </c:pt>
                <c:pt idx="28">
                  <c:v>9588.4841994559465</c:v>
                </c:pt>
                <c:pt idx="29">
                  <c:v>9714.488294216575</c:v>
                </c:pt>
                <c:pt idx="30">
                  <c:v>9846.5232286261344</c:v>
                </c:pt>
                <c:pt idx="31">
                  <c:v>9984.5940140579805</c:v>
                </c:pt>
                <c:pt idx="32">
                  <c:v>10128.684147090113</c:v>
                </c:pt>
                <c:pt idx="33">
                  <c:v>10278.755902005272</c:v>
                </c:pt>
                <c:pt idx="34">
                  <c:v>10434.750992792699</c:v>
                </c:pt>
                <c:pt idx="35">
                  <c:v>10596.591577856208</c:v>
                </c:pt>
                <c:pt idx="36">
                  <c:v>10764.181567768239</c:v>
                </c:pt>
                <c:pt idx="37">
                  <c:v>10937.408186303732</c:v>
                </c:pt>
                <c:pt idx="38">
                  <c:v>11116.14372818001</c:v>
                </c:pt>
                <c:pt idx="39">
                  <c:v>11300.247453626556</c:v>
                </c:pt>
                <c:pt idx="40">
                  <c:v>11489.567559999348</c:v>
                </c:pt>
                <c:pt idx="41">
                  <c:v>11683.943173752152</c:v>
                </c:pt>
                <c:pt idx="42">
                  <c:v>11883.206311600414</c:v>
                </c:pt>
                <c:pt idx="43">
                  <c:v>12087.183766972128</c:v>
                </c:pt>
                <c:pt idx="44">
                  <c:v>12295.698886120153</c:v>
                </c:pt>
                <c:pt idx="45">
                  <c:v>12508.573206906713</c:v>
                </c:pt>
                <c:pt idx="46">
                  <c:v>12725.627941696617</c:v>
                </c:pt>
                <c:pt idx="47">
                  <c:v>12946.685293574083</c:v>
                </c:pt>
                <c:pt idx="48">
                  <c:v>13171.569601928113</c:v>
                </c:pt>
                <c:pt idx="49">
                  <c:v>13400.108319164694</c:v>
                </c:pt>
                <c:pt idx="50">
                  <c:v>13632.132824841812</c:v>
                </c:pt>
                <c:pt idx="51">
                  <c:v>13867.479086917294</c:v>
                </c:pt>
                <c:pt idx="52">
                  <c:v>14105.988182142413</c:v>
                </c:pt>
                <c:pt idx="53">
                  <c:v>14347.506689058824</c:v>
                </c:pt>
                <c:pt idx="54">
                  <c:v>14591.886967714177</c:v>
                </c:pt>
                <c:pt idx="55">
                  <c:v>14838.987340256785</c:v>
                </c:pt>
                <c:pt idx="56">
                  <c:v>15088.67218614915</c:v>
                </c:pt>
                <c:pt idx="57">
                  <c:v>15340.811964984747</c:v>
                </c:pt>
                <c:pt idx="58">
                  <c:v>15595.283178915288</c:v>
                </c:pt>
                <c:pt idx="59">
                  <c:v>15851.968285589384</c:v>
                </c:pt>
                <c:pt idx="60">
                  <c:v>16110.755571340917</c:v>
                </c:pt>
                <c:pt idx="61">
                  <c:v>16371.538993202328</c:v>
                </c:pt>
                <c:pt idx="62">
                  <c:v>16634.217997194719</c:v>
                </c:pt>
                <c:pt idx="63">
                  <c:v>16898.697319289819</c:v>
                </c:pt>
                <c:pt idx="64">
                  <c:v>17164.886774466289</c:v>
                </c:pt>
                <c:pt idx="65">
                  <c:v>17432.70103840284</c:v>
                </c:pt>
                <c:pt idx="66">
                  <c:v>17702.059425566382</c:v>
                </c:pt>
                <c:pt idx="67">
                  <c:v>17972.885666763599</c:v>
                </c:pt>
                <c:pt idx="68">
                  <c:v>18245.107688624317</c:v>
                </c:pt>
                <c:pt idx="69">
                  <c:v>18518.657396968778</c:v>
                </c:pt>
              </c:numCache>
            </c:numRef>
          </c:yVal>
          <c:smooth val="0"/>
        </c:ser>
        <c:ser>
          <c:idx val="4"/>
          <c:order val="4"/>
          <c:tx>
            <c:v>Conf. interval (Obs. 95%)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inventories'!xdata3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inventories'!ydata3</c:f>
              <c:numCache>
                <c:formatCode>General</c:formatCode>
                <c:ptCount val="100"/>
                <c:pt idx="0">
                  <c:v>-10611.38203773735</c:v>
                </c:pt>
                <c:pt idx="1">
                  <c:v>-10463.234891671298</c:v>
                </c:pt>
                <c:pt idx="2">
                  <c:v>-10316.135639710972</c:v>
                </c:pt>
                <c:pt idx="3">
                  <c:v>-10170.099430318623</c:v>
                </c:pt>
                <c:pt idx="4">
                  <c:v>-10025.141399004369</c:v>
                </c:pt>
                <c:pt idx="5">
                  <c:v>-9881.2766534498878</c:v>
                </c:pt>
                <c:pt idx="6">
                  <c:v>-9738.5202580433106</c:v>
                </c:pt>
                <c:pt idx="7">
                  <c:v>-9596.8872178395814</c:v>
                </c:pt>
                <c:pt idx="8">
                  <c:v>-9456.392461963911</c:v>
                </c:pt>
                <c:pt idx="9">
                  <c:v>-9317.0508264794062</c:v>
                </c:pt>
                <c:pt idx="10">
                  <c:v>-9178.87703674355</c:v>
                </c:pt>
                <c:pt idx="11">
                  <c:v>-9041.8856892819022</c:v>
                </c:pt>
                <c:pt idx="12">
                  <c:v>-8906.0912332111748</c:v>
                </c:pt>
                <c:pt idx="13">
                  <c:v>-8771.5079512475349</c:v>
                </c:pt>
                <c:pt idx="14">
                  <c:v>-8638.1499403399866</c:v>
                </c:pt>
                <c:pt idx="15">
                  <c:v>-8506.0310919723488</c:v>
                </c:pt>
                <c:pt idx="16">
                  <c:v>-8375.1650721812148</c:v>
                </c:pt>
                <c:pt idx="17">
                  <c:v>-8245.5653013409719</c:v>
                </c:pt>
                <c:pt idx="18">
                  <c:v>-8117.2449337705139</c:v>
                </c:pt>
                <c:pt idx="19">
                  <c:v>-7990.2168372197975</c:v>
                </c:pt>
                <c:pt idx="20">
                  <c:v>-7864.4935722976197</c:v>
                </c:pt>
                <c:pt idx="21">
                  <c:v>-7740.0873719049996</c:v>
                </c:pt>
                <c:pt idx="22">
                  <c:v>-7617.0101207414154</c:v>
                </c:pt>
                <c:pt idx="23">
                  <c:v>-7495.273334953531</c:v>
                </c:pt>
                <c:pt idx="24">
                  <c:v>-7374.8881419982172</c:v>
                </c:pt>
                <c:pt idx="25">
                  <c:v>-7255.8652607934209</c:v>
                </c:pt>
                <c:pt idx="26">
                  <c:v>-7138.2149822318115</c:v>
                </c:pt>
                <c:pt idx="27">
                  <c:v>-7021.9471501329372</c:v>
                </c:pt>
                <c:pt idx="28">
                  <c:v>-6907.0711427101714</c:v>
                </c:pt>
                <c:pt idx="29">
                  <c:v>-6793.5958546285619</c:v>
                </c:pt>
                <c:pt idx="30">
                  <c:v>-6681.5296797291348</c:v>
                </c:pt>
                <c:pt idx="31">
                  <c:v>-6570.8804944941039</c:v>
                </c:pt>
                <c:pt idx="32">
                  <c:v>-6461.6556423257325</c:v>
                </c:pt>
                <c:pt idx="33">
                  <c:v>-6353.8619187093891</c:v>
                </c:pt>
                <c:pt idx="34">
                  <c:v>-6247.505557328579</c:v>
                </c:pt>
                <c:pt idx="35">
                  <c:v>-6142.5922171964357</c:v>
                </c:pt>
                <c:pt idx="36">
                  <c:v>-6039.1269708643413</c:v>
                </c:pt>
                <c:pt idx="37">
                  <c:v>-5937.1142937639434</c:v>
                </c:pt>
                <c:pt idx="38">
                  <c:v>-5836.5580547341715</c:v>
                </c:pt>
                <c:pt idx="39">
                  <c:v>-5737.4615077794724</c:v>
                </c:pt>
                <c:pt idx="40">
                  <c:v>-5639.8272850999138</c:v>
                </c:pt>
                <c:pt idx="41">
                  <c:v>-5543.6573914277878</c:v>
                </c:pt>
                <c:pt idx="42">
                  <c:v>-5448.9531996990145</c:v>
                </c:pt>
                <c:pt idx="43">
                  <c:v>-5355.7154480811241</c:v>
                </c:pt>
                <c:pt idx="44">
                  <c:v>-5263.9442383727473</c:v>
                </c:pt>
                <c:pt idx="45">
                  <c:v>-5173.6390357827659</c:v>
                </c:pt>
                <c:pt idx="46">
                  <c:v>-5084.7986700901984</c:v>
                </c:pt>
                <c:pt idx="47">
                  <c:v>-4997.4213381789805</c:v>
                </c:pt>
                <c:pt idx="48">
                  <c:v>-4911.5046079348149</c:v>
                </c:pt>
                <c:pt idx="49">
                  <c:v>-4827.0454234845347</c:v>
                </c:pt>
                <c:pt idx="50">
                  <c:v>-4744.0401117517004</c:v>
                </c:pt>
                <c:pt idx="51">
                  <c:v>-4662.4843902958028</c:v>
                </c:pt>
                <c:pt idx="52">
                  <c:v>-4582.3733763963473</c:v>
                </c:pt>
                <c:pt idx="53">
                  <c:v>-4503.7015973372572</c:v>
                </c:pt>
                <c:pt idx="54">
                  <c:v>-4426.4630018417611</c:v>
                </c:pt>
                <c:pt idx="55">
                  <c:v>-4350.6509726028744</c:v>
                </c:pt>
                <c:pt idx="56">
                  <c:v>-4276.2583398501902</c:v>
                </c:pt>
                <c:pt idx="57">
                  <c:v>-4203.2773958896396</c:v>
                </c:pt>
                <c:pt idx="58">
                  <c:v>-4131.6999105494515</c:v>
                </c:pt>
                <c:pt idx="59">
                  <c:v>-4061.5171474625922</c:v>
                </c:pt>
                <c:pt idx="60">
                  <c:v>-3992.7198811135795</c:v>
                </c:pt>
                <c:pt idx="61">
                  <c:v>-3925.2984145756927</c:v>
                </c:pt>
                <c:pt idx="62">
                  <c:v>-3859.2425978633582</c:v>
                </c:pt>
                <c:pt idx="63">
                  <c:v>-3794.5418468236549</c:v>
                </c:pt>
                <c:pt idx="64">
                  <c:v>-3731.1851624907576</c:v>
                </c:pt>
                <c:pt idx="65">
                  <c:v>-3669.1611508272399</c:v>
                </c:pt>
                <c:pt idx="66">
                  <c:v>-3608.4580427770925</c:v>
                </c:pt>
                <c:pt idx="67">
                  <c:v>-3549.0637145563669</c:v>
                </c:pt>
                <c:pt idx="68">
                  <c:v>-3490.9657081090791</c:v>
                </c:pt>
                <c:pt idx="69">
                  <c:v>-3434.1512516579442</c:v>
                </c:pt>
                <c:pt idx="70">
                  <c:v>-3378.6072802819635</c:v>
                </c:pt>
                <c:pt idx="71">
                  <c:v>-3324.3204564554871</c:v>
                </c:pt>
                <c:pt idx="72">
                  <c:v>-3271.2771904864076</c:v>
                </c:pt>
                <c:pt idx="73">
                  <c:v>-3219.4636607942557</c:v>
                </c:pt>
                <c:pt idx="74">
                  <c:v>-3168.8658339724643</c:v>
                </c:pt>
                <c:pt idx="75">
                  <c:v>-3119.4694845825416</c:v>
                </c:pt>
                <c:pt idx="76">
                  <c:v>-3071.2602146315767</c:v>
                </c:pt>
                <c:pt idx="77">
                  <c:v>-3024.223472688318</c:v>
                </c:pt>
                <c:pt idx="78">
                  <c:v>-2978.3445725968322</c:v>
                </c:pt>
                <c:pt idx="79">
                  <c:v>-2933.6087117505613</c:v>
                </c:pt>
                <c:pt idx="80">
                  <c:v>-2890.0009888934819</c:v>
                </c:pt>
                <c:pt idx="81">
                  <c:v>-2847.5064214187678</c:v>
                </c:pt>
                <c:pt idx="82">
                  <c:v>-2806.109962139155</c:v>
                </c:pt>
                <c:pt idx="83">
                  <c:v>-2765.7965155067195</c:v>
                </c:pt>
                <c:pt idx="84">
                  <c:v>-2726.5509532634187</c:v>
                </c:pt>
                <c:pt idx="85">
                  <c:v>-2688.3581295070107</c:v>
                </c:pt>
                <c:pt idx="86">
                  <c:v>-2651.2028951603115</c:v>
                </c:pt>
                <c:pt idx="87">
                  <c:v>-2615.0701118347715</c:v>
                </c:pt>
                <c:pt idx="88">
                  <c:v>-2579.9446650823047</c:v>
                </c:pt>
                <c:pt idx="89">
                  <c:v>-2545.8114770320626</c:v>
                </c:pt>
                <c:pt idx="90">
                  <c:v>-2512.6555184114131</c:v>
                </c:pt>
                <c:pt idx="91">
                  <c:v>-2480.4618199527795</c:v>
                </c:pt>
                <c:pt idx="92">
                  <c:v>-2449.2154831902044</c:v>
                </c:pt>
                <c:pt idx="93">
                  <c:v>-2418.9016906515662</c:v>
                </c:pt>
                <c:pt idx="94">
                  <c:v>-2389.505715454161</c:v>
                </c:pt>
                <c:pt idx="95">
                  <c:v>-2361.0129303131034</c:v>
                </c:pt>
                <c:pt idx="96">
                  <c:v>-2333.4088159734729</c:v>
                </c:pt>
                <c:pt idx="97">
                  <c:v>-2306.6789690784371</c:v>
                </c:pt>
                <c:pt idx="98">
                  <c:v>-2280.8091094868032</c:v>
                </c:pt>
                <c:pt idx="99">
                  <c:v>-2255.7850870544189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inventories'!xdata4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inventories'!ydata4</c:f>
              <c:numCache>
                <c:formatCode>General</c:formatCode>
                <c:ptCount val="100"/>
                <c:pt idx="0">
                  <c:v>12165.698629188335</c:v>
                </c:pt>
                <c:pt idx="1">
                  <c:v>12203.558027263887</c:v>
                </c:pt>
                <c:pt idx="2">
                  <c:v>12242.465319445162</c:v>
                </c:pt>
                <c:pt idx="3">
                  <c:v>12282.435654194418</c:v>
                </c:pt>
                <c:pt idx="4">
                  <c:v>12323.484167021765</c:v>
                </c:pt>
                <c:pt idx="5">
                  <c:v>12365.625965608888</c:v>
                </c:pt>
                <c:pt idx="6">
                  <c:v>12408.876114343911</c:v>
                </c:pt>
                <c:pt idx="7">
                  <c:v>12453.249618281783</c:v>
                </c:pt>
                <c:pt idx="8">
                  <c:v>12498.761406547717</c:v>
                </c:pt>
                <c:pt idx="9">
                  <c:v>12545.426315204813</c:v>
                </c:pt>
                <c:pt idx="10">
                  <c:v>12593.259069610558</c:v>
                </c:pt>
                <c:pt idx="11">
                  <c:v>12642.274266290515</c:v>
                </c:pt>
                <c:pt idx="12">
                  <c:v>12692.486354361388</c:v>
                </c:pt>
                <c:pt idx="13">
                  <c:v>12743.909616539349</c:v>
                </c:pt>
                <c:pt idx="14">
                  <c:v>12796.558149773406</c:v>
                </c:pt>
                <c:pt idx="15">
                  <c:v>12850.445845547369</c:v>
                </c:pt>
                <c:pt idx="16">
                  <c:v>12905.586369897839</c:v>
                </c:pt>
                <c:pt idx="17">
                  <c:v>12961.993143199197</c:v>
                </c:pt>
                <c:pt idx="18">
                  <c:v>13019.679319770341</c:v>
                </c:pt>
                <c:pt idx="19">
                  <c:v>13078.657767361228</c:v>
                </c:pt>
                <c:pt idx="20">
                  <c:v>13138.941046580654</c:v>
                </c:pt>
                <c:pt idx="21">
                  <c:v>13200.541390329636</c:v>
                </c:pt>
                <c:pt idx="22">
                  <c:v>13263.470683307653</c:v>
                </c:pt>
                <c:pt idx="23">
                  <c:v>13327.740441661372</c:v>
                </c:pt>
                <c:pt idx="24">
                  <c:v>13393.36179284766</c:v>
                </c:pt>
                <c:pt idx="25">
                  <c:v>13460.345455784467</c:v>
                </c:pt>
                <c:pt idx="26">
                  <c:v>13528.701721364459</c:v>
                </c:pt>
                <c:pt idx="27">
                  <c:v>13598.440433407186</c:v>
                </c:pt>
                <c:pt idx="28">
                  <c:v>13669.570970126024</c:v>
                </c:pt>
                <c:pt idx="29">
                  <c:v>13742.102226186016</c:v>
                </c:pt>
                <c:pt idx="30">
                  <c:v>13816.042595428193</c:v>
                </c:pt>
                <c:pt idx="31">
                  <c:v>13891.399954334764</c:v>
                </c:pt>
                <c:pt idx="32">
                  <c:v>13968.181646307996</c:v>
                </c:pt>
                <c:pt idx="33">
                  <c:v>14046.394466833251</c:v>
                </c:pt>
                <c:pt idx="34">
                  <c:v>14126.044649594045</c:v>
                </c:pt>
                <c:pt idx="35">
                  <c:v>14207.137853603506</c:v>
                </c:pt>
                <c:pt idx="36">
                  <c:v>14289.679151413013</c:v>
                </c:pt>
                <c:pt idx="37">
                  <c:v>14373.673018454216</c:v>
                </c:pt>
                <c:pt idx="38">
                  <c:v>14459.123323566047</c:v>
                </c:pt>
                <c:pt idx="39">
                  <c:v>14546.033320752951</c:v>
                </c:pt>
                <c:pt idx="40">
                  <c:v>14634.405642214995</c:v>
                </c:pt>
                <c:pt idx="41">
                  <c:v>14724.24229268447</c:v>
                </c:pt>
                <c:pt idx="42">
                  <c:v>14815.5446450973</c:v>
                </c:pt>
                <c:pt idx="43">
                  <c:v>14908.313437621013</c:v>
                </c:pt>
                <c:pt idx="44">
                  <c:v>15002.548772054237</c:v>
                </c:pt>
                <c:pt idx="45">
                  <c:v>15098.250113605856</c:v>
                </c:pt>
                <c:pt idx="46">
                  <c:v>15195.416292054893</c:v>
                </c:pt>
                <c:pt idx="47">
                  <c:v>15294.045504285277</c:v>
                </c:pt>
                <c:pt idx="48">
                  <c:v>15394.135318182714</c:v>
                </c:pt>
                <c:pt idx="49">
                  <c:v>15495.682677874036</c:v>
                </c:pt>
                <c:pt idx="50">
                  <c:v>15598.683910282805</c:v>
                </c:pt>
                <c:pt idx="51">
                  <c:v>15703.134732968512</c:v>
                </c:pt>
                <c:pt idx="52">
                  <c:v>15809.030263210658</c:v>
                </c:pt>
                <c:pt idx="53">
                  <c:v>15916.365028293167</c:v>
                </c:pt>
                <c:pt idx="54">
                  <c:v>16025.132976939274</c:v>
                </c:pt>
                <c:pt idx="55">
                  <c:v>16135.327491841992</c:v>
                </c:pt>
                <c:pt idx="56">
                  <c:v>16246.941403230909</c:v>
                </c:pt>
                <c:pt idx="57">
                  <c:v>16359.967003411959</c:v>
                </c:pt>
                <c:pt idx="58">
                  <c:v>16474.396062213375</c:v>
                </c:pt>
                <c:pt idx="59">
                  <c:v>16590.219843268118</c:v>
                </c:pt>
                <c:pt idx="60">
                  <c:v>16707.429121060708</c:v>
                </c:pt>
                <c:pt idx="61">
                  <c:v>16826.014198664423</c:v>
                </c:pt>
                <c:pt idx="62">
                  <c:v>16945.964926093689</c:v>
                </c:pt>
                <c:pt idx="63">
                  <c:v>17067.270719195592</c:v>
                </c:pt>
                <c:pt idx="64">
                  <c:v>17189.920579004294</c:v>
                </c:pt>
                <c:pt idx="65">
                  <c:v>17313.903111482377</c:v>
                </c:pt>
                <c:pt idx="66">
                  <c:v>17439.206547573835</c:v>
                </c:pt>
                <c:pt idx="67">
                  <c:v>17565.818763494713</c:v>
                </c:pt>
                <c:pt idx="68">
                  <c:v>17693.727301189028</c:v>
                </c:pt>
                <c:pt idx="69">
                  <c:v>17822.919388879491</c:v>
                </c:pt>
                <c:pt idx="70">
                  <c:v>17953.381961645115</c:v>
                </c:pt>
                <c:pt idx="71">
                  <c:v>18085.101681960241</c:v>
                </c:pt>
                <c:pt idx="72">
                  <c:v>18218.06496013276</c:v>
                </c:pt>
                <c:pt idx="73">
                  <c:v>18352.257974582211</c:v>
                </c:pt>
                <c:pt idx="74">
                  <c:v>18487.666691902024</c:v>
                </c:pt>
                <c:pt idx="75">
                  <c:v>18624.276886653708</c:v>
                </c:pt>
                <c:pt idx="76">
                  <c:v>18762.074160844342</c:v>
                </c:pt>
                <c:pt idx="77">
                  <c:v>18901.043963042684</c:v>
                </c:pt>
                <c:pt idx="78">
                  <c:v>19041.171607092801</c:v>
                </c:pt>
                <c:pt idx="79">
                  <c:v>19182.442290388135</c:v>
                </c:pt>
                <c:pt idx="80">
                  <c:v>19324.841111672657</c:v>
                </c:pt>
                <c:pt idx="81">
                  <c:v>19468.353088339543</c:v>
                </c:pt>
                <c:pt idx="82">
                  <c:v>19612.963173201533</c:v>
                </c:pt>
                <c:pt idx="83">
                  <c:v>19758.6562707107</c:v>
                </c:pt>
                <c:pt idx="84">
                  <c:v>19905.417252609004</c:v>
                </c:pt>
                <c:pt idx="85">
                  <c:v>20053.230972994195</c:v>
                </c:pt>
                <c:pt idx="86">
                  <c:v>20202.082282789102</c:v>
                </c:pt>
                <c:pt idx="87">
                  <c:v>20351.956043605165</c:v>
                </c:pt>
                <c:pt idx="88">
                  <c:v>20502.837140994299</c:v>
                </c:pt>
                <c:pt idx="89">
                  <c:v>20654.71049708566</c:v>
                </c:pt>
                <c:pt idx="90">
                  <c:v>20807.561082606611</c:v>
                </c:pt>
                <c:pt idx="91">
                  <c:v>20961.37392828958</c:v>
                </c:pt>
                <c:pt idx="92">
                  <c:v>21116.134135668606</c:v>
                </c:pt>
                <c:pt idx="93">
                  <c:v>21271.826887271571</c:v>
                </c:pt>
                <c:pt idx="94">
                  <c:v>21428.437456215768</c:v>
                </c:pt>
                <c:pt idx="95">
                  <c:v>21585.951215216315</c:v>
                </c:pt>
                <c:pt idx="96">
                  <c:v>21744.353645018287</c:v>
                </c:pt>
                <c:pt idx="97">
                  <c:v>21903.630342264849</c:v>
                </c:pt>
                <c:pt idx="98">
                  <c:v>22063.767026814818</c:v>
                </c:pt>
                <c:pt idx="99">
                  <c:v>22224.749548524043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smooth val="0"/>
        </c:ser>
        <c:ser>
          <c:idx val="7"/>
          <c:order val="7"/>
          <c:spPr>
            <a:ln w="28575">
              <a:noFill/>
            </a:ln>
          </c:spP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14792"/>
        <c:axId val="516315576"/>
      </c:scatterChart>
      <c:valAx>
        <c:axId val="516314792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Fires-trans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15576"/>
        <c:crosses val="autoZero"/>
        <c:crossBetween val="midCat"/>
      </c:valAx>
      <c:valAx>
        <c:axId val="516315576"/>
        <c:scaling>
          <c:orientation val="minMax"/>
          <c:max val="30000"/>
          <c:min val="-20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14792"/>
        <c:crosses val="autoZero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41256514436207"/>
          <c:y val="1.9583840812672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Decades!$C$2</c:f>
              <c:strCache>
                <c:ptCount val="1"/>
                <c:pt idx="0">
                  <c:v>1981-1990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0.13695176767676767"/>
                  <c:y val="-0.220430303030303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Decades!$K$3:$K$23</c:f>
              <c:numCache>
                <c:formatCode>0.000</c:formatCode>
                <c:ptCount val="21"/>
                <c:pt idx="0">
                  <c:v>0.34297044558295997</c:v>
                </c:pt>
                <c:pt idx="1">
                  <c:v>0.317881391847046</c:v>
                </c:pt>
                <c:pt idx="2">
                  <c:v>6.090918701632763E-3</c:v>
                </c:pt>
                <c:pt idx="3">
                  <c:v>0.36415926952516597</c:v>
                </c:pt>
                <c:pt idx="4">
                  <c:v>0.52965164132500475</c:v>
                </c:pt>
                <c:pt idx="5">
                  <c:v>0.79702633047282223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1.0621522141473125E-3</c:v>
                </c:pt>
                <c:pt idx="13">
                  <c:v>1.9857477392177705E-2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1.3991465241569587E-2</c:v>
                </c:pt>
              </c:numCache>
            </c:numRef>
          </c:xVal>
          <c:yVal>
            <c:numRef>
              <c:f>Decades!$C$3:$C$23</c:f>
              <c:numCache>
                <c:formatCode>0</c:formatCode>
                <c:ptCount val="21"/>
                <c:pt idx="0">
                  <c:v>939.1</c:v>
                </c:pt>
                <c:pt idx="1">
                  <c:v>645.79999999999995</c:v>
                </c:pt>
                <c:pt idx="2">
                  <c:v>755</c:v>
                </c:pt>
                <c:pt idx="3">
                  <c:v>1502</c:v>
                </c:pt>
                <c:pt idx="4">
                  <c:v>570.1</c:v>
                </c:pt>
                <c:pt idx="5">
                  <c:v>346.8</c:v>
                </c:pt>
                <c:pt idx="6">
                  <c:v>137.5</c:v>
                </c:pt>
                <c:pt idx="7">
                  <c:v>463.3</c:v>
                </c:pt>
                <c:pt idx="8">
                  <c:v>129.9</c:v>
                </c:pt>
                <c:pt idx="9">
                  <c:v>92.4</c:v>
                </c:pt>
                <c:pt idx="10">
                  <c:v>38.6</c:v>
                </c:pt>
                <c:pt idx="11">
                  <c:v>307.10000000000002</c:v>
                </c:pt>
                <c:pt idx="12">
                  <c:v>195.3</c:v>
                </c:pt>
                <c:pt idx="13">
                  <c:v>94.7</c:v>
                </c:pt>
                <c:pt idx="14">
                  <c:v>79.8</c:v>
                </c:pt>
                <c:pt idx="15">
                  <c:v>119.5</c:v>
                </c:pt>
                <c:pt idx="16">
                  <c:v>145.57142857142858</c:v>
                </c:pt>
                <c:pt idx="17">
                  <c:v>72.2</c:v>
                </c:pt>
                <c:pt idx="18">
                  <c:v>74</c:v>
                </c:pt>
                <c:pt idx="19">
                  <c:v>60.5</c:v>
                </c:pt>
                <c:pt idx="20">
                  <c:v>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34616"/>
        <c:axId val="512936968"/>
      </c:scatterChart>
      <c:valAx>
        <c:axId val="512934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eucalypt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6968"/>
        <c:crosses val="autoZero"/>
        <c:crossBetween val="midCat"/>
      </c:valAx>
      <c:valAx>
        <c:axId val="512936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4616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Pred(Fires-trans)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xVal>
            <c:numRef>
              <c:f>'IFN1-4'!#REF!</c:f>
            </c:numRef>
          </c:xVal>
          <c:yVal>
            <c:numRef>
              <c:f>'IFN1-4'!#REF!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17.623827788512411</c:v>
              </c:pt>
            </c:numLit>
          </c:xVal>
          <c:yVal>
            <c:numLit>
              <c:formatCode>General</c:formatCode>
              <c:ptCount val="1"/>
              <c:pt idx="0">
                <c:v>-1.0129652230264921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05384"/>
        <c:axId val="516305776"/>
      </c:scatterChart>
      <c:valAx>
        <c:axId val="516305384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Pred(Fires-trans)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05776"/>
        <c:crosses val="autoZero"/>
        <c:crossBetween val="midCat"/>
      </c:valAx>
      <c:valAx>
        <c:axId val="516305776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05384"/>
        <c:crosses val="autoZero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Pred(Fires-trans) / Fires-trans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xVal>
            <c:numRef>
              <c:f>'IFN1-4'!#REF!</c:f>
            </c:numRef>
          </c:xVal>
          <c:yVal>
            <c:numRef>
              <c:f>'IFN1-4'!#REF!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17.623827788512411</c:v>
              </c:pt>
            </c:numLit>
          </c:xVal>
          <c:yVal>
            <c:numLit>
              <c:formatCode>General</c:formatCode>
              <c:ptCount val="1"/>
              <c:pt idx="0">
                <c:v>12.457049425727195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C0C0C0"/>
              </a:solidFill>
              <a:prstDash val="solid"/>
            </a:ln>
            <a:effectLst/>
          </c:spPr>
          <c:marker>
            <c:symbol val="none"/>
          </c:marker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'Forest inventories'!xdata121</c:f>
              <c:numCache>
                <c:formatCode>General</c:formatCode>
                <c:ptCount val="70"/>
                <c:pt idx="0">
                  <c:v>17.101707021856502</c:v>
                </c:pt>
                <c:pt idx="1">
                  <c:v>17.387366577277305</c:v>
                </c:pt>
                <c:pt idx="2">
                  <c:v>17.673026132698105</c:v>
                </c:pt>
                <c:pt idx="3">
                  <c:v>17.958685688118909</c:v>
                </c:pt>
                <c:pt idx="4">
                  <c:v>18.244345243539708</c:v>
                </c:pt>
                <c:pt idx="5">
                  <c:v>18.530004798960512</c:v>
                </c:pt>
                <c:pt idx="6">
                  <c:v>18.815664354381315</c:v>
                </c:pt>
                <c:pt idx="7">
                  <c:v>19.101323909802115</c:v>
                </c:pt>
                <c:pt idx="8">
                  <c:v>19.386983465222919</c:v>
                </c:pt>
                <c:pt idx="9">
                  <c:v>19.672643020643719</c:v>
                </c:pt>
                <c:pt idx="10">
                  <c:v>19.958302576064522</c:v>
                </c:pt>
                <c:pt idx="11">
                  <c:v>20.243962131485326</c:v>
                </c:pt>
                <c:pt idx="12">
                  <c:v>20.529621686906125</c:v>
                </c:pt>
                <c:pt idx="13">
                  <c:v>20.815281242326929</c:v>
                </c:pt>
                <c:pt idx="14">
                  <c:v>21.100940797747729</c:v>
                </c:pt>
                <c:pt idx="15">
                  <c:v>21.386600353168532</c:v>
                </c:pt>
                <c:pt idx="16">
                  <c:v>21.672259908589332</c:v>
                </c:pt>
                <c:pt idx="17">
                  <c:v>21.957919464010136</c:v>
                </c:pt>
                <c:pt idx="18">
                  <c:v>22.243579019430939</c:v>
                </c:pt>
                <c:pt idx="19">
                  <c:v>22.529238574851739</c:v>
                </c:pt>
                <c:pt idx="20">
                  <c:v>22.814898130272542</c:v>
                </c:pt>
                <c:pt idx="21">
                  <c:v>23.100557685693346</c:v>
                </c:pt>
                <c:pt idx="22">
                  <c:v>23.386217241114146</c:v>
                </c:pt>
                <c:pt idx="23">
                  <c:v>23.671876796534949</c:v>
                </c:pt>
                <c:pt idx="24">
                  <c:v>23.957536351955749</c:v>
                </c:pt>
                <c:pt idx="25">
                  <c:v>24.243195907376553</c:v>
                </c:pt>
                <c:pt idx="26">
                  <c:v>24.528855462797353</c:v>
                </c:pt>
                <c:pt idx="27">
                  <c:v>24.814515018218156</c:v>
                </c:pt>
                <c:pt idx="28">
                  <c:v>25.100174573638959</c:v>
                </c:pt>
                <c:pt idx="29">
                  <c:v>25.385834129059759</c:v>
                </c:pt>
                <c:pt idx="30">
                  <c:v>25.671493684480563</c:v>
                </c:pt>
                <c:pt idx="31">
                  <c:v>25.957153239901366</c:v>
                </c:pt>
                <c:pt idx="32">
                  <c:v>26.242812795322166</c:v>
                </c:pt>
                <c:pt idx="33">
                  <c:v>26.528472350742966</c:v>
                </c:pt>
                <c:pt idx="34">
                  <c:v>26.81413190616377</c:v>
                </c:pt>
                <c:pt idx="35">
                  <c:v>27.099791461584573</c:v>
                </c:pt>
                <c:pt idx="36">
                  <c:v>27.385451017005373</c:v>
                </c:pt>
                <c:pt idx="37">
                  <c:v>27.671110572426176</c:v>
                </c:pt>
                <c:pt idx="38">
                  <c:v>27.95677012784698</c:v>
                </c:pt>
                <c:pt idx="39">
                  <c:v>28.24242968326778</c:v>
                </c:pt>
                <c:pt idx="40">
                  <c:v>28.528089238688583</c:v>
                </c:pt>
                <c:pt idx="41">
                  <c:v>28.813748794109387</c:v>
                </c:pt>
                <c:pt idx="42">
                  <c:v>29.099408349530187</c:v>
                </c:pt>
                <c:pt idx="43">
                  <c:v>29.385067904950986</c:v>
                </c:pt>
                <c:pt idx="44">
                  <c:v>29.67072746037179</c:v>
                </c:pt>
                <c:pt idx="45">
                  <c:v>29.956387015792593</c:v>
                </c:pt>
                <c:pt idx="46">
                  <c:v>30.242046571213393</c:v>
                </c:pt>
                <c:pt idx="47">
                  <c:v>30.527706126634197</c:v>
                </c:pt>
                <c:pt idx="48">
                  <c:v>30.813365682055</c:v>
                </c:pt>
                <c:pt idx="49">
                  <c:v>31.0990252374758</c:v>
                </c:pt>
                <c:pt idx="50">
                  <c:v>31.3846847928966</c:v>
                </c:pt>
                <c:pt idx="51">
                  <c:v>31.670344348317407</c:v>
                </c:pt>
                <c:pt idx="52">
                  <c:v>31.956003903738207</c:v>
                </c:pt>
                <c:pt idx="53">
                  <c:v>32.241663459159007</c:v>
                </c:pt>
                <c:pt idx="54">
                  <c:v>32.527323014579807</c:v>
                </c:pt>
                <c:pt idx="55">
                  <c:v>32.812982570000614</c:v>
                </c:pt>
                <c:pt idx="56">
                  <c:v>33.098642125421414</c:v>
                </c:pt>
                <c:pt idx="57">
                  <c:v>33.384301680842214</c:v>
                </c:pt>
                <c:pt idx="58">
                  <c:v>33.669961236263021</c:v>
                </c:pt>
                <c:pt idx="59">
                  <c:v>33.95562079168382</c:v>
                </c:pt>
                <c:pt idx="60">
                  <c:v>34.24128034710462</c:v>
                </c:pt>
                <c:pt idx="61">
                  <c:v>34.526939902525427</c:v>
                </c:pt>
                <c:pt idx="62">
                  <c:v>34.812599457946227</c:v>
                </c:pt>
                <c:pt idx="63">
                  <c:v>35.098259013367027</c:v>
                </c:pt>
                <c:pt idx="64">
                  <c:v>35.383918568787834</c:v>
                </c:pt>
                <c:pt idx="65">
                  <c:v>35.669578124208634</c:v>
                </c:pt>
                <c:pt idx="66">
                  <c:v>35.955237679629434</c:v>
                </c:pt>
                <c:pt idx="67">
                  <c:v>36.240897235050241</c:v>
                </c:pt>
                <c:pt idx="68">
                  <c:v>36.526556790471034</c:v>
                </c:pt>
                <c:pt idx="69">
                  <c:v>36.812216345891841</c:v>
                </c:pt>
              </c:numCache>
            </c:numRef>
          </c:xVal>
          <c:yVal>
            <c:numRef>
              <c:f>'Forest inventories'!ydata122</c:f>
              <c:numCache>
                <c:formatCode>General</c:formatCode>
                <c:ptCount val="70"/>
                <c:pt idx="0">
                  <c:v>5.9162287442333685</c:v>
                </c:pt>
                <c:pt idx="1">
                  <c:v>6.2342523398535103</c:v>
                </c:pt>
                <c:pt idx="2">
                  <c:v>6.5509356883408643</c:v>
                </c:pt>
                <c:pt idx="3">
                  <c:v>6.8662675442924321</c:v>
                </c:pt>
                <c:pt idx="4">
                  <c:v>7.180237034194052</c:v>
                </c:pt>
                <c:pt idx="5">
                  <c:v>7.4928336747856275</c:v>
                </c:pt>
                <c:pt idx="6">
                  <c:v>7.8040473910956418</c:v>
                </c:pt>
                <c:pt idx="7">
                  <c:v>8.1138685340787369</c:v>
                </c:pt>
                <c:pt idx="8">
                  <c:v>8.4222878977894453</c:v>
                </c:pt>
                <c:pt idx="9">
                  <c:v>8.7292967360254323</c:v>
                </c:pt>
                <c:pt idx="10">
                  <c:v>9.0348867783740712</c:v>
                </c:pt>
                <c:pt idx="11">
                  <c:v>9.3390502455969866</c:v>
                </c:pt>
                <c:pt idx="12">
                  <c:v>9.6417798642887966</c:v>
                </c:pt>
                <c:pt idx="13">
                  <c:v>9.943068880747882</c:v>
                </c:pt>
                <c:pt idx="14">
                  <c:v>10.242911073999489</c:v>
                </c:pt>
                <c:pt idx="15">
                  <c:v>10.541300767914128</c:v>
                </c:pt>
                <c:pt idx="16">
                  <c:v>10.838232842367409</c:v>
                </c:pt>
                <c:pt idx="17">
                  <c:v>11.133702743391041</c:v>
                </c:pt>
                <c:pt idx="18">
                  <c:v>11.427706492268756</c:v>
                </c:pt>
                <c:pt idx="19">
                  <c:v>11.720240693535253</c:v>
                </c:pt>
                <c:pt idx="20">
                  <c:v>12.011302541840985</c:v>
                </c:pt>
                <c:pt idx="21">
                  <c:v>12.300889827650572</c:v>
                </c:pt>
                <c:pt idx="22">
                  <c:v>12.589000941748022</c:v>
                </c:pt>
                <c:pt idx="23">
                  <c:v>12.875634878527382</c:v>
                </c:pt>
                <c:pt idx="24">
                  <c:v>13.160791238053095</c:v>
                </c:pt>
                <c:pt idx="25">
                  <c:v>13.44447022688032</c:v>
                </c:pt>
                <c:pt idx="26">
                  <c:v>13.726672657631179</c:v>
                </c:pt>
                <c:pt idx="27">
                  <c:v>14.007399947329091</c:v>
                </c:pt>
                <c:pt idx="28">
                  <c:v>14.286654114499012</c:v>
                </c:pt>
                <c:pt idx="29">
                  <c:v>14.564437775047498</c:v>
                </c:pt>
                <c:pt idx="30">
                  <c:v>14.840754136942159</c:v>
                </c:pt>
                <c:pt idx="31">
                  <c:v>15.115606993715549</c:v>
                </c:pt>
                <c:pt idx="32">
                  <c:v>15.389000716824118</c:v>
                </c:pt>
                <c:pt idx="33">
                  <c:v>15.660940246897802</c:v>
                </c:pt>
                <c:pt idx="34">
                  <c:v>15.93143108392063</c:v>
                </c:pt>
                <c:pt idx="35">
                  <c:v>16.200479276387362</c:v>
                </c:pt>
                <c:pt idx="36">
                  <c:v>16.468091409485048</c:v>
                </c:pt>
                <c:pt idx="37">
                  <c:v>16.734274592352449</c:v>
                </c:pt>
                <c:pt idx="38">
                  <c:v>16.99903644447317</c:v>
                </c:pt>
                <c:pt idx="39">
                  <c:v>17.262385081261577</c:v>
                </c:pt>
                <c:pt idx="40">
                  <c:v>17.524329098902861</c:v>
                </c:pt>
                <c:pt idx="41">
                  <c:v>17.784877558510544</c:v>
                </c:pt>
                <c:pt idx="42">
                  <c:v>18.044039969666365</c:v>
                </c:pt>
                <c:pt idx="43">
                  <c:v>18.30182627340848</c:v>
                </c:pt>
                <c:pt idx="44">
                  <c:v>18.558246824734571</c:v>
                </c:pt>
                <c:pt idx="45">
                  <c:v>18.813312374686657</c:v>
                </c:pt>
                <c:pt idx="46">
                  <c:v>19.067034052084161</c:v>
                </c:pt>
                <c:pt idx="47">
                  <c:v>19.319423344971209</c:v>
                </c:pt>
                <c:pt idx="48">
                  <c:v>19.570492081843099</c:v>
                </c:pt>
                <c:pt idx="49">
                  <c:v>19.820252412715504</c:v>
                </c:pt>
                <c:pt idx="50">
                  <c:v>20.068716790098435</c:v>
                </c:pt>
                <c:pt idx="51">
                  <c:v>20.315897949934815</c:v>
                </c:pt>
                <c:pt idx="52">
                  <c:v>20.561808892561434</c:v>
                </c:pt>
                <c:pt idx="53">
                  <c:v>20.806462863747534</c:v>
                </c:pt>
                <c:pt idx="54">
                  <c:v>21.049873335863587</c:v>
                </c:pt>
                <c:pt idx="55">
                  <c:v>21.292053989229959</c:v>
                </c:pt>
                <c:pt idx="56">
                  <c:v>21.533018693692192</c:v>
                </c:pt>
                <c:pt idx="57">
                  <c:v>21.772781490466585</c:v>
                </c:pt>
                <c:pt idx="58">
                  <c:v>22.01135657429645</c:v>
                </c:pt>
                <c:pt idx="59">
                  <c:v>22.248758275956249</c:v>
                </c:pt>
                <c:pt idx="60">
                  <c:v>22.485001045137658</c:v>
                </c:pt>
                <c:pt idx="61">
                  <c:v>22.720099433748128</c:v>
                </c:pt>
                <c:pt idx="62">
                  <c:v>22.954068079649474</c:v>
                </c:pt>
                <c:pt idx="63">
                  <c:v>23.186921690860753</c:v>
                </c:pt>
                <c:pt idx="64">
                  <c:v>23.418675030246547</c:v>
                </c:pt>
                <c:pt idx="65">
                  <c:v>23.649342900708717</c:v>
                </c:pt>
                <c:pt idx="66">
                  <c:v>23.878940130896915</c:v>
                </c:pt>
                <c:pt idx="67">
                  <c:v>24.107481561449958</c:v>
                </c:pt>
                <c:pt idx="68">
                  <c:v>24.334982031777812</c:v>
                </c:pt>
                <c:pt idx="69">
                  <c:v>24.561456367391187</c:v>
                </c:pt>
              </c:numCache>
            </c:numRef>
          </c:yVal>
          <c:smooth val="0"/>
        </c:ser>
        <c:ser>
          <c:idx val="4"/>
          <c:order val="4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'Forest inventories'!xdata123</c:f>
              <c:numCache>
                <c:formatCode>General</c:formatCode>
                <c:ptCount val="70"/>
                <c:pt idx="0">
                  <c:v>14.099062230809899</c:v>
                </c:pt>
                <c:pt idx="1">
                  <c:v>14.42823837740529</c:v>
                </c:pt>
                <c:pt idx="2">
                  <c:v>14.75741452400068</c:v>
                </c:pt>
                <c:pt idx="3">
                  <c:v>15.086590670596069</c:v>
                </c:pt>
                <c:pt idx="4">
                  <c:v>15.415766817191459</c:v>
                </c:pt>
                <c:pt idx="5">
                  <c:v>15.744942963786849</c:v>
                </c:pt>
                <c:pt idx="6">
                  <c:v>16.074119110382238</c:v>
                </c:pt>
                <c:pt idx="7">
                  <c:v>16.403295256977628</c:v>
                </c:pt>
                <c:pt idx="8">
                  <c:v>16.732471403573019</c:v>
                </c:pt>
                <c:pt idx="9">
                  <c:v>17.061647550168409</c:v>
                </c:pt>
                <c:pt idx="10">
                  <c:v>17.3908236967638</c:v>
                </c:pt>
                <c:pt idx="11">
                  <c:v>17.71999984335919</c:v>
                </c:pt>
                <c:pt idx="12">
                  <c:v>18.049175989954581</c:v>
                </c:pt>
                <c:pt idx="13">
                  <c:v>18.378352136549971</c:v>
                </c:pt>
                <c:pt idx="14">
                  <c:v>18.707528283145358</c:v>
                </c:pt>
                <c:pt idx="15">
                  <c:v>19.036704429740748</c:v>
                </c:pt>
                <c:pt idx="16">
                  <c:v>19.365880576336139</c:v>
                </c:pt>
                <c:pt idx="17">
                  <c:v>19.695056722931529</c:v>
                </c:pt>
                <c:pt idx="18">
                  <c:v>20.024232869526919</c:v>
                </c:pt>
                <c:pt idx="19">
                  <c:v>20.35340901612231</c:v>
                </c:pt>
                <c:pt idx="20">
                  <c:v>20.6825851627177</c:v>
                </c:pt>
                <c:pt idx="21">
                  <c:v>21.011761309313091</c:v>
                </c:pt>
                <c:pt idx="22">
                  <c:v>21.340937455908481</c:v>
                </c:pt>
                <c:pt idx="23">
                  <c:v>21.670113602503868</c:v>
                </c:pt>
                <c:pt idx="24">
                  <c:v>21.999289749099262</c:v>
                </c:pt>
                <c:pt idx="25">
                  <c:v>22.328465895694649</c:v>
                </c:pt>
                <c:pt idx="26">
                  <c:v>22.657642042290039</c:v>
                </c:pt>
                <c:pt idx="27">
                  <c:v>22.986818188885429</c:v>
                </c:pt>
                <c:pt idx="28">
                  <c:v>23.31599433548082</c:v>
                </c:pt>
                <c:pt idx="29">
                  <c:v>23.64517048207621</c:v>
                </c:pt>
                <c:pt idx="30">
                  <c:v>23.974346628671597</c:v>
                </c:pt>
                <c:pt idx="31">
                  <c:v>24.303522775266991</c:v>
                </c:pt>
                <c:pt idx="32">
                  <c:v>24.632698921862378</c:v>
                </c:pt>
                <c:pt idx="33">
                  <c:v>24.961875068457772</c:v>
                </c:pt>
                <c:pt idx="34">
                  <c:v>25.291051215053159</c:v>
                </c:pt>
                <c:pt idx="35">
                  <c:v>25.620227361648549</c:v>
                </c:pt>
                <c:pt idx="36">
                  <c:v>25.94940350824394</c:v>
                </c:pt>
                <c:pt idx="37">
                  <c:v>26.27857965483933</c:v>
                </c:pt>
                <c:pt idx="38">
                  <c:v>26.60775580143472</c:v>
                </c:pt>
                <c:pt idx="39">
                  <c:v>26.936931948030107</c:v>
                </c:pt>
                <c:pt idx="40">
                  <c:v>27.266108094625501</c:v>
                </c:pt>
                <c:pt idx="41">
                  <c:v>27.595284241220888</c:v>
                </c:pt>
                <c:pt idx="42">
                  <c:v>27.924460387816282</c:v>
                </c:pt>
                <c:pt idx="43">
                  <c:v>28.253636534411669</c:v>
                </c:pt>
                <c:pt idx="44">
                  <c:v>28.582812681007059</c:v>
                </c:pt>
                <c:pt idx="45">
                  <c:v>28.91198882760245</c:v>
                </c:pt>
                <c:pt idx="46">
                  <c:v>29.24116497419784</c:v>
                </c:pt>
                <c:pt idx="47">
                  <c:v>29.570341120793231</c:v>
                </c:pt>
                <c:pt idx="48">
                  <c:v>29.899517267388621</c:v>
                </c:pt>
                <c:pt idx="49">
                  <c:v>30.228693413984011</c:v>
                </c:pt>
                <c:pt idx="50">
                  <c:v>30.557869560579402</c:v>
                </c:pt>
                <c:pt idx="51">
                  <c:v>30.887045707174789</c:v>
                </c:pt>
                <c:pt idx="52">
                  <c:v>31.216221853770179</c:v>
                </c:pt>
                <c:pt idx="53">
                  <c:v>31.545398000365569</c:v>
                </c:pt>
                <c:pt idx="54">
                  <c:v>31.87457414696096</c:v>
                </c:pt>
                <c:pt idx="55">
                  <c:v>32.203750293556354</c:v>
                </c:pt>
                <c:pt idx="56">
                  <c:v>32.532926440151741</c:v>
                </c:pt>
                <c:pt idx="57">
                  <c:v>32.862102586747127</c:v>
                </c:pt>
                <c:pt idx="58">
                  <c:v>33.191278733342521</c:v>
                </c:pt>
                <c:pt idx="59">
                  <c:v>33.520454879937915</c:v>
                </c:pt>
                <c:pt idx="60">
                  <c:v>33.849631026533302</c:v>
                </c:pt>
                <c:pt idx="61">
                  <c:v>34.178807173128689</c:v>
                </c:pt>
                <c:pt idx="62">
                  <c:v>34.507983319724076</c:v>
                </c:pt>
                <c:pt idx="63">
                  <c:v>34.83715946631947</c:v>
                </c:pt>
                <c:pt idx="64">
                  <c:v>35.166335612914864</c:v>
                </c:pt>
                <c:pt idx="65">
                  <c:v>35.495511759510251</c:v>
                </c:pt>
                <c:pt idx="66">
                  <c:v>35.824687906105638</c:v>
                </c:pt>
                <c:pt idx="67">
                  <c:v>36.153864052701032</c:v>
                </c:pt>
                <c:pt idx="68">
                  <c:v>36.483040199296425</c:v>
                </c:pt>
                <c:pt idx="69">
                  <c:v>36.812216345891812</c:v>
                </c:pt>
              </c:numCache>
            </c:numRef>
          </c:xVal>
          <c:yVal>
            <c:numRef>
              <c:f>'Forest inventories'!ydata124</c:f>
              <c:numCache>
                <c:formatCode>General</c:formatCode>
                <c:ptCount val="70"/>
                <c:pt idx="0">
                  <c:v>25.702703685982332</c:v>
                </c:pt>
                <c:pt idx="1">
                  <c:v>25.979330708276649</c:v>
                </c:pt>
                <c:pt idx="2">
                  <c:v>26.257559745551752</c:v>
                </c:pt>
                <c:pt idx="3">
                  <c:v>26.53741218093073</c:v>
                </c:pt>
                <c:pt idx="4">
                  <c:v>26.818909080210553</c:v>
                </c:pt>
                <c:pt idx="5">
                  <c:v>27.1020711546673</c:v>
                </c:pt>
                <c:pt idx="6">
                  <c:v>27.386918723292425</c:v>
                </c:pt>
                <c:pt idx="7">
                  <c:v>27.673471674583535</c:v>
                </c:pt>
                <c:pt idx="8">
                  <c:v>27.961749428022763</c:v>
                </c:pt>
                <c:pt idx="9">
                  <c:v>28.251770895384475</c:v>
                </c:pt>
                <c:pt idx="10">
                  <c:v>28.543554442022533</c:v>
                </c:pt>
                <c:pt idx="11">
                  <c:v>28.837117848294611</c:v>
                </c:pt>
                <c:pt idx="12">
                  <c:v>29.132478271287944</c:v>
                </c:pt>
                <c:pt idx="13">
                  <c:v>29.429652207016318</c:v>
                </c:pt>
                <c:pt idx="14">
                  <c:v>29.72865545326275</c:v>
                </c:pt>
                <c:pt idx="15">
                  <c:v>30.029503073245511</c:v>
                </c:pt>
                <c:pt idx="16">
                  <c:v>30.332209360287067</c:v>
                </c:pt>
                <c:pt idx="17">
                  <c:v>30.636787803666024</c:v>
                </c:pt>
                <c:pt idx="18">
                  <c:v>30.943251055831119</c:v>
                </c:pt>
                <c:pt idx="19">
                  <c:v>31.251610901153747</c:v>
                </c:pt>
                <c:pt idx="20">
                  <c:v>31.561878226391165</c:v>
                </c:pt>
                <c:pt idx="21">
                  <c:v>31.874062993027032</c:v>
                </c:pt>
                <c:pt idx="22">
                  <c:v>32.188174211647976</c:v>
                </c:pt>
                <c:pt idx="23">
                  <c:v>32.50421991850645</c:v>
                </c:pt>
                <c:pt idx="24">
                  <c:v>32.822207154409085</c:v>
                </c:pt>
                <c:pt idx="25">
                  <c:v>33.142141946057905</c:v>
                </c:pt>
                <c:pt idx="26">
                  <c:v>33.464029289958496</c:v>
                </c:pt>
                <c:pt idx="27">
                  <c:v>33.787873138994385</c:v>
                </c:pt>
                <c:pt idx="28">
                  <c:v>34.11367639175127</c:v>
                </c:pt>
                <c:pt idx="29">
                  <c:v>34.441440884658149</c:v>
                </c:pt>
                <c:pt idx="30">
                  <c:v>34.771167386994804</c:v>
                </c:pt>
                <c:pt idx="31">
                  <c:v>35.102855598797383</c:v>
                </c:pt>
                <c:pt idx="32">
                  <c:v>35.436504151675308</c:v>
                </c:pt>
                <c:pt idx="33">
                  <c:v>35.772110612534298</c:v>
                </c:pt>
                <c:pt idx="34">
                  <c:v>36.10967149018196</c:v>
                </c:pt>
                <c:pt idx="35">
                  <c:v>36.449182244774185</c:v>
                </c:pt>
                <c:pt idx="36">
                  <c:v>36.790637300042881</c:v>
                </c:pt>
                <c:pt idx="37">
                  <c:v>37.134030058228682</c:v>
                </c:pt>
                <c:pt idx="38">
                  <c:v>37.479352917626017</c:v>
                </c:pt>
                <c:pt idx="39">
                  <c:v>37.826597292632847</c:v>
                </c:pt>
                <c:pt idx="40">
                  <c:v>38.175753636183444</c:v>
                </c:pt>
                <c:pt idx="41">
                  <c:v>38.526811464429834</c:v>
                </c:pt>
                <c:pt idx="42">
                  <c:v>38.879759383526604</c:v>
                </c:pt>
                <c:pt idx="43">
                  <c:v>39.234585118363562</c:v>
                </c:pt>
                <c:pt idx="44">
                  <c:v>39.591275543083157</c:v>
                </c:pt>
                <c:pt idx="45">
                  <c:v>39.949816713212563</c:v>
                </c:pt>
                <c:pt idx="46">
                  <c:v>40.310193899235756</c:v>
                </c:pt>
                <c:pt idx="47">
                  <c:v>40.672391621427337</c:v>
                </c:pt>
                <c:pt idx="48">
                  <c:v>41.036393685768417</c:v>
                </c:pt>
                <c:pt idx="49">
                  <c:v>41.40218322076452</c:v>
                </c:pt>
                <c:pt idx="50">
                  <c:v>41.76974271498684</c:v>
                </c:pt>
                <c:pt idx="51">
                  <c:v>42.139054055160784</c:v>
                </c:pt>
                <c:pt idx="52">
                  <c:v>42.510098564629963</c:v>
                </c:pt>
                <c:pt idx="53">
                  <c:v>42.882857042028547</c:v>
                </c:pt>
                <c:pt idx="54">
                  <c:v>43.257309800001501</c:v>
                </c:pt>
                <c:pt idx="55">
                  <c:v>43.6334367038191</c:v>
                </c:pt>
                <c:pt idx="56">
                  <c:v>44.011217209740209</c:v>
                </c:pt>
                <c:pt idx="57">
                  <c:v>44.390630402987362</c:v>
                </c:pt>
                <c:pt idx="58">
                  <c:v>44.771655035205939</c:v>
                </c:pt>
                <c:pt idx="59">
                  <c:v>45.154269561289219</c:v>
                </c:pt>
                <c:pt idx="60">
                  <c:v>45.538452175461046</c:v>
                </c:pt>
                <c:pt idx="61">
                  <c:v>45.924180846517963</c:v>
                </c:pt>
                <c:pt idx="62">
                  <c:v>46.311433352142622</c:v>
                </c:pt>
                <c:pt idx="63">
                  <c:v>46.700187312210545</c:v>
                </c:pt>
                <c:pt idx="64">
                  <c:v>47.090420221022221</c:v>
                </c:pt>
                <c:pt idx="65">
                  <c:v>47.482109478402322</c:v>
                </c:pt>
                <c:pt idx="66">
                  <c:v>47.875232419617241</c:v>
                </c:pt>
                <c:pt idx="67">
                  <c:v>48.269766344071272</c:v>
                </c:pt>
                <c:pt idx="68">
                  <c:v>48.665688542750608</c:v>
                </c:pt>
                <c:pt idx="69">
                  <c:v>49.062976324392466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12000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12000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18712"/>
        <c:axId val="516317928"/>
      </c:scatterChart>
      <c:valAx>
        <c:axId val="516318712"/>
        <c:scaling>
          <c:orientation val="minMax"/>
          <c:max val="12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Pred(Fires-trans)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17928"/>
        <c:crosses val="autoZero"/>
        <c:crossBetween val="midCat"/>
      </c:valAx>
      <c:valAx>
        <c:axId val="516317928"/>
        <c:scaling>
          <c:orientation val="minMax"/>
          <c:max val="1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Fires-trans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18712"/>
        <c:crosses val="autoZero"/>
        <c:crossBetween val="midCat"/>
      </c:valAx>
      <c:spPr>
        <a:ln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overlay val="0"/>
      <c:spPr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Standardized residuals / Fires-trans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266FF"/>
            </a:solidFill>
            <a:ln w="25400">
              <a:solidFill>
                <a:srgbClr val="3266FF"/>
              </a:solidFill>
              <a:prstDash val="solid"/>
            </a:ln>
          </c:spPr>
          <c:invertIfNegative val="0"/>
          <c:val>
            <c:numRef>
              <c:f>'IFN1-4'!#REF!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516320280"/>
        <c:axId val="516319888"/>
      </c:barChart>
      <c:scatterChart>
        <c:scatterStyle val="lineMarker"/>
        <c:varyColors val="0"/>
        <c:ser>
          <c:idx val="1"/>
          <c:order val="1"/>
          <c:spPr>
            <a:ln w="28575">
              <a:noFill/>
            </a:ln>
          </c:spPr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17536"/>
        <c:axId val="516323416"/>
      </c:scatterChart>
      <c:valAx>
        <c:axId val="516317536"/>
        <c:scaling>
          <c:orientation val="minMax"/>
          <c:max val="1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Observations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23416"/>
        <c:crosses val="autoZero"/>
        <c:crossBetween val="midCat"/>
      </c:valAx>
      <c:valAx>
        <c:axId val="516323416"/>
        <c:scaling>
          <c:orientation val="minMax"/>
          <c:max val="2"/>
          <c:min val="-2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17536"/>
        <c:crosses val="autoZero"/>
        <c:crossBetween val="midCat"/>
      </c:valAx>
      <c:valAx>
        <c:axId val="51631988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516320280"/>
        <c:crosses val="max"/>
        <c:crossBetween val="between"/>
      </c:valAx>
      <c:catAx>
        <c:axId val="516320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16319888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Pred(Incendios) / Incendios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12000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12000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inventories'!xdata5</c:f>
              <c:numCache>
                <c:formatCode>General</c:formatCode>
                <c:ptCount val="70"/>
                <c:pt idx="0">
                  <c:v>0</c:v>
                </c:pt>
                <c:pt idx="1">
                  <c:v>173.91304347826099</c:v>
                </c:pt>
                <c:pt idx="2">
                  <c:v>347.82608695652198</c:v>
                </c:pt>
                <c:pt idx="3">
                  <c:v>521.73913043478296</c:v>
                </c:pt>
                <c:pt idx="4">
                  <c:v>695.65217391304395</c:v>
                </c:pt>
                <c:pt idx="5">
                  <c:v>869.56521739130494</c:v>
                </c:pt>
                <c:pt idx="6">
                  <c:v>1043.4782608695659</c:v>
                </c:pt>
                <c:pt idx="7">
                  <c:v>1217.3913043478269</c:v>
                </c:pt>
                <c:pt idx="8">
                  <c:v>1391.3043478260879</c:v>
                </c:pt>
                <c:pt idx="9">
                  <c:v>1565.2173913043489</c:v>
                </c:pt>
                <c:pt idx="10">
                  <c:v>1739.1304347826099</c:v>
                </c:pt>
                <c:pt idx="11">
                  <c:v>1913.0434782608709</c:v>
                </c:pt>
                <c:pt idx="12">
                  <c:v>2086.9565217391319</c:v>
                </c:pt>
                <c:pt idx="13">
                  <c:v>2260.8695652173928</c:v>
                </c:pt>
                <c:pt idx="14">
                  <c:v>2434.7826086956538</c:v>
                </c:pt>
                <c:pt idx="15">
                  <c:v>2608.6956521739148</c:v>
                </c:pt>
                <c:pt idx="16">
                  <c:v>2782.6086956521758</c:v>
                </c:pt>
                <c:pt idx="17">
                  <c:v>2956.5217391304368</c:v>
                </c:pt>
                <c:pt idx="18">
                  <c:v>3130.4347826086978</c:v>
                </c:pt>
                <c:pt idx="19">
                  <c:v>3304.3478260869588</c:v>
                </c:pt>
                <c:pt idx="20">
                  <c:v>3478.2608695652198</c:v>
                </c:pt>
                <c:pt idx="21">
                  <c:v>3652.1739130434808</c:v>
                </c:pt>
                <c:pt idx="22">
                  <c:v>3826.0869565217417</c:v>
                </c:pt>
                <c:pt idx="23">
                  <c:v>4000.0000000000027</c:v>
                </c:pt>
                <c:pt idx="24">
                  <c:v>4173.9130434782637</c:v>
                </c:pt>
                <c:pt idx="25">
                  <c:v>4347.8260869565247</c:v>
                </c:pt>
                <c:pt idx="26">
                  <c:v>4521.7391304347857</c:v>
                </c:pt>
                <c:pt idx="27">
                  <c:v>4695.6521739130467</c:v>
                </c:pt>
                <c:pt idx="28">
                  <c:v>4869.5652173913077</c:v>
                </c:pt>
                <c:pt idx="29">
                  <c:v>5043.4782608695687</c:v>
                </c:pt>
                <c:pt idx="30">
                  <c:v>5217.3913043478296</c:v>
                </c:pt>
                <c:pt idx="31">
                  <c:v>5391.3043478260906</c:v>
                </c:pt>
                <c:pt idx="32">
                  <c:v>5565.2173913043516</c:v>
                </c:pt>
                <c:pt idx="33">
                  <c:v>5739.1304347826126</c:v>
                </c:pt>
                <c:pt idx="34">
                  <c:v>5913.0434782608736</c:v>
                </c:pt>
                <c:pt idx="35">
                  <c:v>6086.9565217391346</c:v>
                </c:pt>
                <c:pt idx="36">
                  <c:v>6260.8695652173956</c:v>
                </c:pt>
                <c:pt idx="37">
                  <c:v>6434.7826086956566</c:v>
                </c:pt>
                <c:pt idx="38">
                  <c:v>6608.6956521739176</c:v>
                </c:pt>
                <c:pt idx="39">
                  <c:v>6782.6086956521785</c:v>
                </c:pt>
                <c:pt idx="40">
                  <c:v>6956.5217391304395</c:v>
                </c:pt>
                <c:pt idx="41">
                  <c:v>7130.4347826087005</c:v>
                </c:pt>
                <c:pt idx="42">
                  <c:v>7304.3478260869615</c:v>
                </c:pt>
                <c:pt idx="43">
                  <c:v>7478.2608695652225</c:v>
                </c:pt>
                <c:pt idx="44">
                  <c:v>7652.1739130434835</c:v>
                </c:pt>
                <c:pt idx="45">
                  <c:v>7826.0869565217445</c:v>
                </c:pt>
                <c:pt idx="46">
                  <c:v>8000.0000000000055</c:v>
                </c:pt>
                <c:pt idx="47">
                  <c:v>8173.9130434782664</c:v>
                </c:pt>
                <c:pt idx="48">
                  <c:v>8347.8260869565274</c:v>
                </c:pt>
                <c:pt idx="49">
                  <c:v>8521.7391304347875</c:v>
                </c:pt>
                <c:pt idx="50">
                  <c:v>8695.6521739130494</c:v>
                </c:pt>
                <c:pt idx="51">
                  <c:v>8869.5652173913113</c:v>
                </c:pt>
                <c:pt idx="52">
                  <c:v>9043.4782608695714</c:v>
                </c:pt>
                <c:pt idx="53">
                  <c:v>9217.3913043478315</c:v>
                </c:pt>
                <c:pt idx="54">
                  <c:v>9391.3043478260934</c:v>
                </c:pt>
                <c:pt idx="55">
                  <c:v>9565.2173913043553</c:v>
                </c:pt>
                <c:pt idx="56">
                  <c:v>9739.1304347826153</c:v>
                </c:pt>
                <c:pt idx="57">
                  <c:v>9913.0434782608754</c:v>
                </c:pt>
                <c:pt idx="58">
                  <c:v>10086.956521739137</c:v>
                </c:pt>
                <c:pt idx="59">
                  <c:v>10260.869565217399</c:v>
                </c:pt>
                <c:pt idx="60">
                  <c:v>10434.782608695659</c:v>
                </c:pt>
                <c:pt idx="61">
                  <c:v>10608.695652173919</c:v>
                </c:pt>
                <c:pt idx="62">
                  <c:v>10782.608695652181</c:v>
                </c:pt>
                <c:pt idx="63">
                  <c:v>10956.521739130443</c:v>
                </c:pt>
                <c:pt idx="64">
                  <c:v>11130.434782608703</c:v>
                </c:pt>
                <c:pt idx="65">
                  <c:v>11304.347826086963</c:v>
                </c:pt>
                <c:pt idx="66">
                  <c:v>11478.260869565225</c:v>
                </c:pt>
                <c:pt idx="67">
                  <c:v>11652.173913043487</c:v>
                </c:pt>
                <c:pt idx="68">
                  <c:v>11826.086956521747</c:v>
                </c:pt>
                <c:pt idx="69">
                  <c:v>12000.000000000007</c:v>
                </c:pt>
              </c:numCache>
            </c:numRef>
          </c:xVal>
          <c:yVal>
            <c:numRef>
              <c:f>'Forest inventories'!ydata5</c:f>
              <c:numCache>
                <c:formatCode>General</c:formatCode>
                <c:ptCount val="70"/>
                <c:pt idx="0">
                  <c:v>-11888.263565320842</c:v>
                </c:pt>
                <c:pt idx="1">
                  <c:v>-11596.709953046171</c:v>
                </c:pt>
                <c:pt idx="2">
                  <c:v>-11308.427329983086</c:v>
                </c:pt>
                <c:pt idx="3">
                  <c:v>-11023.512905764095</c:v>
                </c:pt>
                <c:pt idx="4">
                  <c:v>-10742.064744450694</c:v>
                </c:pt>
                <c:pt idx="5">
                  <c:v>-10464.18151066493</c:v>
                </c:pt>
                <c:pt idx="6">
                  <c:v>-10189.96218952934</c:v>
                </c:pt>
                <c:pt idx="7">
                  <c:v>-9919.5057803622149</c:v>
                </c:pt>
                <c:pt idx="8">
                  <c:v>-9652.9109644547843</c:v>
                </c:pt>
                <c:pt idx="9">
                  <c:v>-9390.2757476852021</c:v>
                </c:pt>
                <c:pt idx="10">
                  <c:v>-9131.6970791974854</c:v>
                </c:pt>
                <c:pt idx="11">
                  <c:v>-8877.2704478859414</c:v>
                </c:pt>
                <c:pt idx="12">
                  <c:v>-8627.0894589686523</c:v>
                </c:pt>
                <c:pt idx="13">
                  <c:v>-8381.2453934961741</c:v>
                </c:pt>
                <c:pt idx="14">
                  <c:v>-8139.8267542104331</c:v>
                </c:pt>
                <c:pt idx="15">
                  <c:v>-7902.9188017279603</c:v>
                </c:pt>
                <c:pt idx="16">
                  <c:v>-7670.603085553068</c:v>
                </c:pt>
                <c:pt idx="17">
                  <c:v>-7442.9569749113916</c:v>
                </c:pt>
                <c:pt idx="18">
                  <c:v>-7220.0531948115786</c:v>
                </c:pt>
                <c:pt idx="19">
                  <c:v>-7001.9593730734623</c:v>
                </c:pt>
                <c:pt idx="20">
                  <c:v>-6788.7376042849537</c:v>
                </c:pt>
                <c:pt idx="21">
                  <c:v>-6580.4440367506604</c:v>
                </c:pt>
                <c:pt idx="22">
                  <c:v>-6377.1284884587458</c:v>
                </c:pt>
                <c:pt idx="23">
                  <c:v>-6178.8340979092054</c:v>
                </c:pt>
                <c:pt idx="24">
                  <c:v>-5985.5970153120488</c:v>
                </c:pt>
                <c:pt idx="25">
                  <c:v>-5797.4461391789364</c:v>
                </c:pt>
                <c:pt idx="26">
                  <c:v>-5614.4029027039214</c:v>
                </c:pt>
                <c:pt idx="27">
                  <c:v>-5436.4811135718037</c:v>
                </c:pt>
                <c:pt idx="28">
                  <c:v>-5263.6868499653247</c:v>
                </c:pt>
                <c:pt idx="29">
                  <c:v>-5096.0184145896264</c:v>
                </c:pt>
                <c:pt idx="30">
                  <c:v>-4933.4663475227881</c:v>
                </c:pt>
                <c:pt idx="31">
                  <c:v>-4776.0134976661075</c:v>
                </c:pt>
                <c:pt idx="32">
                  <c:v>-4623.6351515396946</c:v>
                </c:pt>
                <c:pt idx="33">
                  <c:v>-4476.2992171804735</c:v>
                </c:pt>
                <c:pt idx="34">
                  <c:v>-4333.9664599808875</c:v>
                </c:pt>
                <c:pt idx="35">
                  <c:v>-4196.5907864846076</c:v>
                </c:pt>
                <c:pt idx="36">
                  <c:v>-4064.119571452813</c:v>
                </c:pt>
                <c:pt idx="37">
                  <c:v>-3936.4940229476933</c:v>
                </c:pt>
                <c:pt idx="38">
                  <c:v>-3813.6495797600492</c:v>
                </c:pt>
                <c:pt idx="39">
                  <c:v>-3695.5163352392565</c:v>
                </c:pt>
                <c:pt idx="40">
                  <c:v>-3582.0194814656152</c:v>
                </c:pt>
                <c:pt idx="41">
                  <c:v>-3473.079767729897</c:v>
                </c:pt>
                <c:pt idx="42">
                  <c:v>-3368.6139674413062</c:v>
                </c:pt>
                <c:pt idx="43">
                  <c:v>-3268.5353478577936</c:v>
                </c:pt>
                <c:pt idx="44">
                  <c:v>-3172.7541374034427</c:v>
                </c:pt>
                <c:pt idx="45">
                  <c:v>-3081.1779857870924</c:v>
                </c:pt>
                <c:pt idx="46">
                  <c:v>-2993.7124126437666</c:v>
                </c:pt>
                <c:pt idx="47">
                  <c:v>-2910.2612409665498</c:v>
                </c:pt>
                <c:pt idx="48">
                  <c:v>-2830.7270121618621</c:v>
                </c:pt>
                <c:pt idx="49">
                  <c:v>-2755.0113801290863</c:v>
                </c:pt>
                <c:pt idx="50">
                  <c:v>-2683.0154823210269</c:v>
                </c:pt>
                <c:pt idx="51">
                  <c:v>-2614.640286272579</c:v>
                </c:pt>
                <c:pt idx="52">
                  <c:v>-2549.7869105811442</c:v>
                </c:pt>
                <c:pt idx="53">
                  <c:v>-2488.3569197765846</c:v>
                </c:pt>
                <c:pt idx="54">
                  <c:v>-2430.2525929259737</c:v>
                </c:pt>
                <c:pt idx="55">
                  <c:v>-2375.3771661758728</c:v>
                </c:pt>
                <c:pt idx="56">
                  <c:v>-2323.6350497421136</c:v>
                </c:pt>
                <c:pt idx="57">
                  <c:v>-2274.9320201140454</c:v>
                </c:pt>
                <c:pt idx="58">
                  <c:v>-2229.1753884494428</c:v>
                </c:pt>
                <c:pt idx="59">
                  <c:v>-2186.2741463003167</c:v>
                </c:pt>
                <c:pt idx="60">
                  <c:v>-2146.1390899326343</c:v>
                </c:pt>
                <c:pt idx="61">
                  <c:v>-2108.6829245882363</c:v>
                </c:pt>
                <c:pt idx="62">
                  <c:v>-2073.8203500896234</c:v>
                </c:pt>
                <c:pt idx="63">
                  <c:v>-2041.4681292118803</c:v>
                </c:pt>
                <c:pt idx="64">
                  <c:v>-2011.5451402452891</c:v>
                </c:pt>
                <c:pt idx="65">
                  <c:v>-1983.9724151510873</c:v>
                </c:pt>
                <c:pt idx="66">
                  <c:v>-1958.6731646751723</c:v>
                </c:pt>
                <c:pt idx="67">
                  <c:v>-1935.5727917339682</c:v>
                </c:pt>
                <c:pt idx="68">
                  <c:v>-1914.5988943259035</c:v>
                </c:pt>
                <c:pt idx="69">
                  <c:v>-1895.6812591542457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inventories'!xdata6</c:f>
              <c:numCache>
                <c:formatCode>General</c:formatCode>
                <c:ptCount val="70"/>
                <c:pt idx="0">
                  <c:v>0</c:v>
                </c:pt>
                <c:pt idx="1">
                  <c:v>173.91304347826099</c:v>
                </c:pt>
                <c:pt idx="2">
                  <c:v>347.82608695652198</c:v>
                </c:pt>
                <c:pt idx="3">
                  <c:v>521.73913043478296</c:v>
                </c:pt>
                <c:pt idx="4">
                  <c:v>695.65217391304395</c:v>
                </c:pt>
                <c:pt idx="5">
                  <c:v>869.56521739130494</c:v>
                </c:pt>
                <c:pt idx="6">
                  <c:v>1043.4782608695659</c:v>
                </c:pt>
                <c:pt idx="7">
                  <c:v>1217.3913043478269</c:v>
                </c:pt>
                <c:pt idx="8">
                  <c:v>1391.3043478260879</c:v>
                </c:pt>
                <c:pt idx="9">
                  <c:v>1565.2173913043489</c:v>
                </c:pt>
                <c:pt idx="10">
                  <c:v>1739.1304347826099</c:v>
                </c:pt>
                <c:pt idx="11">
                  <c:v>1913.0434782608709</c:v>
                </c:pt>
                <c:pt idx="12">
                  <c:v>2086.9565217391319</c:v>
                </c:pt>
                <c:pt idx="13">
                  <c:v>2260.8695652173928</c:v>
                </c:pt>
                <c:pt idx="14">
                  <c:v>2434.7826086956538</c:v>
                </c:pt>
                <c:pt idx="15">
                  <c:v>2608.6956521739148</c:v>
                </c:pt>
                <c:pt idx="16">
                  <c:v>2782.6086956521758</c:v>
                </c:pt>
                <c:pt idx="17">
                  <c:v>2956.5217391304368</c:v>
                </c:pt>
                <c:pt idx="18">
                  <c:v>3130.4347826086978</c:v>
                </c:pt>
                <c:pt idx="19">
                  <c:v>3304.3478260869588</c:v>
                </c:pt>
                <c:pt idx="20">
                  <c:v>3478.2608695652198</c:v>
                </c:pt>
                <c:pt idx="21">
                  <c:v>3652.1739130434808</c:v>
                </c:pt>
                <c:pt idx="22">
                  <c:v>3826.0869565217417</c:v>
                </c:pt>
                <c:pt idx="23">
                  <c:v>4000.0000000000027</c:v>
                </c:pt>
                <c:pt idx="24">
                  <c:v>4173.9130434782637</c:v>
                </c:pt>
                <c:pt idx="25">
                  <c:v>4347.8260869565247</c:v>
                </c:pt>
                <c:pt idx="26">
                  <c:v>4521.7391304347857</c:v>
                </c:pt>
                <c:pt idx="27">
                  <c:v>4695.6521739130467</c:v>
                </c:pt>
                <c:pt idx="28">
                  <c:v>4869.5652173913077</c:v>
                </c:pt>
                <c:pt idx="29">
                  <c:v>5043.4782608695687</c:v>
                </c:pt>
                <c:pt idx="30">
                  <c:v>5217.3913043478296</c:v>
                </c:pt>
                <c:pt idx="31">
                  <c:v>5391.3043478260906</c:v>
                </c:pt>
                <c:pt idx="32">
                  <c:v>5565.2173913043516</c:v>
                </c:pt>
                <c:pt idx="33">
                  <c:v>5739.1304347826126</c:v>
                </c:pt>
                <c:pt idx="34">
                  <c:v>5913.0434782608736</c:v>
                </c:pt>
                <c:pt idx="35">
                  <c:v>6086.9565217391346</c:v>
                </c:pt>
                <c:pt idx="36">
                  <c:v>6260.8695652173956</c:v>
                </c:pt>
                <c:pt idx="37">
                  <c:v>6434.7826086956566</c:v>
                </c:pt>
                <c:pt idx="38">
                  <c:v>6608.6956521739176</c:v>
                </c:pt>
                <c:pt idx="39">
                  <c:v>6782.6086956521785</c:v>
                </c:pt>
                <c:pt idx="40">
                  <c:v>6956.5217391304395</c:v>
                </c:pt>
                <c:pt idx="41">
                  <c:v>7130.4347826087005</c:v>
                </c:pt>
                <c:pt idx="42">
                  <c:v>7304.3478260869615</c:v>
                </c:pt>
                <c:pt idx="43">
                  <c:v>7478.2608695652225</c:v>
                </c:pt>
                <c:pt idx="44">
                  <c:v>7652.1739130434835</c:v>
                </c:pt>
                <c:pt idx="45">
                  <c:v>7826.0869565217445</c:v>
                </c:pt>
                <c:pt idx="46">
                  <c:v>8000.0000000000055</c:v>
                </c:pt>
                <c:pt idx="47">
                  <c:v>8173.9130434782664</c:v>
                </c:pt>
                <c:pt idx="48">
                  <c:v>8347.8260869565274</c:v>
                </c:pt>
                <c:pt idx="49">
                  <c:v>8521.7391304347875</c:v>
                </c:pt>
                <c:pt idx="50">
                  <c:v>8695.6521739130494</c:v>
                </c:pt>
                <c:pt idx="51">
                  <c:v>8869.5652173913113</c:v>
                </c:pt>
                <c:pt idx="52">
                  <c:v>9043.4782608695714</c:v>
                </c:pt>
                <c:pt idx="53">
                  <c:v>9217.3913043478315</c:v>
                </c:pt>
                <c:pt idx="54">
                  <c:v>9391.3043478260934</c:v>
                </c:pt>
                <c:pt idx="55">
                  <c:v>9565.2173913043553</c:v>
                </c:pt>
                <c:pt idx="56">
                  <c:v>9739.1304347826153</c:v>
                </c:pt>
                <c:pt idx="57">
                  <c:v>9913.0434782608754</c:v>
                </c:pt>
                <c:pt idx="58">
                  <c:v>10086.956521739137</c:v>
                </c:pt>
                <c:pt idx="59">
                  <c:v>10260.869565217399</c:v>
                </c:pt>
                <c:pt idx="60">
                  <c:v>10434.782608695659</c:v>
                </c:pt>
                <c:pt idx="61">
                  <c:v>10608.695652173919</c:v>
                </c:pt>
                <c:pt idx="62">
                  <c:v>10782.608695652181</c:v>
                </c:pt>
                <c:pt idx="63">
                  <c:v>10956.521739130443</c:v>
                </c:pt>
                <c:pt idx="64">
                  <c:v>11130.434782608703</c:v>
                </c:pt>
                <c:pt idx="65">
                  <c:v>11304.347826086963</c:v>
                </c:pt>
                <c:pt idx="66">
                  <c:v>11478.260869565225</c:v>
                </c:pt>
                <c:pt idx="67">
                  <c:v>11652.173913043487</c:v>
                </c:pt>
                <c:pt idx="68">
                  <c:v>11826.086956521747</c:v>
                </c:pt>
                <c:pt idx="69">
                  <c:v>12000.000000000007</c:v>
                </c:pt>
              </c:numCache>
            </c:numRef>
          </c:xVal>
          <c:yVal>
            <c:numRef>
              <c:f>'Forest inventories'!ydata6</c:f>
              <c:numCache>
                <c:formatCode>General</c:formatCode>
                <c:ptCount val="70"/>
                <c:pt idx="0">
                  <c:v>11888.263565320842</c:v>
                </c:pt>
                <c:pt idx="1">
                  <c:v>11944.536040002695</c:v>
                </c:pt>
                <c:pt idx="2">
                  <c:v>12004.07950389613</c:v>
                </c:pt>
                <c:pt idx="3">
                  <c:v>12066.991166633663</c:v>
                </c:pt>
                <c:pt idx="4">
                  <c:v>12133.369092276782</c:v>
                </c:pt>
                <c:pt idx="5">
                  <c:v>12203.311945447538</c:v>
                </c:pt>
                <c:pt idx="6">
                  <c:v>12276.918711268472</c:v>
                </c:pt>
                <c:pt idx="7">
                  <c:v>12354.288389057867</c:v>
                </c:pt>
                <c:pt idx="8">
                  <c:v>12435.51966010696</c:v>
                </c:pt>
                <c:pt idx="9">
                  <c:v>12520.710530293902</c:v>
                </c:pt>
                <c:pt idx="10">
                  <c:v>12609.957948762705</c:v>
                </c:pt>
                <c:pt idx="11">
                  <c:v>12703.357404407681</c:v>
                </c:pt>
                <c:pt idx="12">
                  <c:v>12801.002502446916</c:v>
                </c:pt>
                <c:pt idx="13">
                  <c:v>12902.984523930958</c:v>
                </c:pt>
                <c:pt idx="14">
                  <c:v>13009.391971601741</c:v>
                </c:pt>
                <c:pt idx="15">
                  <c:v>13120.310106075791</c:v>
                </c:pt>
                <c:pt idx="16">
                  <c:v>13235.82047685742</c:v>
                </c:pt>
                <c:pt idx="17">
                  <c:v>13356.000453172266</c:v>
                </c:pt>
                <c:pt idx="18">
                  <c:v>13480.922760028974</c:v>
                </c:pt>
                <c:pt idx="19">
                  <c:v>13610.655025247379</c:v>
                </c:pt>
                <c:pt idx="20">
                  <c:v>13745.259343415393</c:v>
                </c:pt>
                <c:pt idx="21">
                  <c:v>13884.791862837621</c:v>
                </c:pt>
                <c:pt idx="22">
                  <c:v>14029.302401502229</c:v>
                </c:pt>
                <c:pt idx="23">
                  <c:v>14178.83409790921</c:v>
                </c:pt>
                <c:pt idx="24">
                  <c:v>14333.423102268576</c:v>
                </c:pt>
                <c:pt idx="25">
                  <c:v>14493.098313091985</c:v>
                </c:pt>
                <c:pt idx="26">
                  <c:v>14657.881163573493</c:v>
                </c:pt>
                <c:pt idx="27">
                  <c:v>14827.785461397896</c:v>
                </c:pt>
                <c:pt idx="28">
                  <c:v>15002.81728474794</c:v>
                </c:pt>
                <c:pt idx="29">
                  <c:v>15182.974936328763</c:v>
                </c:pt>
                <c:pt idx="30">
                  <c:v>15368.248956218447</c:v>
                </c:pt>
                <c:pt idx="31">
                  <c:v>15558.62219331829</c:v>
                </c:pt>
                <c:pt idx="32">
                  <c:v>15754.069934148398</c:v>
                </c:pt>
                <c:pt idx="33">
                  <c:v>15954.5600867457</c:v>
                </c:pt>
                <c:pt idx="34">
                  <c:v>16160.053416502635</c:v>
                </c:pt>
                <c:pt idx="35">
                  <c:v>16370.503829962876</c:v>
                </c:pt>
                <c:pt idx="36">
                  <c:v>16585.858701887606</c:v>
                </c:pt>
                <c:pt idx="37">
                  <c:v>16806.059240339007</c:v>
                </c:pt>
                <c:pt idx="38">
                  <c:v>17031.040884107882</c:v>
                </c:pt>
                <c:pt idx="39">
                  <c:v>17260.733726543614</c:v>
                </c:pt>
                <c:pt idx="40">
                  <c:v>17495.062959726492</c:v>
                </c:pt>
                <c:pt idx="41">
                  <c:v>17733.949332947297</c:v>
                </c:pt>
                <c:pt idx="42">
                  <c:v>17977.309619615229</c:v>
                </c:pt>
                <c:pt idx="43">
                  <c:v>18225.057086988239</c:v>
                </c:pt>
                <c:pt idx="44">
                  <c:v>18477.101963490408</c:v>
                </c:pt>
                <c:pt idx="45">
                  <c:v>18733.35189883058</c:v>
                </c:pt>
                <c:pt idx="46">
                  <c:v>18993.712412643777</c:v>
                </c:pt>
                <c:pt idx="47">
                  <c:v>19258.087327923084</c:v>
                </c:pt>
                <c:pt idx="48">
                  <c:v>19526.379186074919</c:v>
                </c:pt>
                <c:pt idx="49">
                  <c:v>19798.489640998661</c:v>
                </c:pt>
                <c:pt idx="50">
                  <c:v>20074.319830147128</c:v>
                </c:pt>
                <c:pt idx="51">
                  <c:v>20353.770721055203</c:v>
                </c:pt>
                <c:pt idx="52">
                  <c:v>20636.743432320287</c:v>
                </c:pt>
                <c:pt idx="53">
                  <c:v>20923.139528472246</c:v>
                </c:pt>
                <c:pt idx="54">
                  <c:v>21212.861288578162</c:v>
                </c:pt>
                <c:pt idx="55">
                  <c:v>21505.811948784583</c:v>
                </c:pt>
                <c:pt idx="56">
                  <c:v>21801.895919307346</c:v>
                </c:pt>
                <c:pt idx="57">
                  <c:v>22101.018976635794</c:v>
                </c:pt>
                <c:pt idx="58">
                  <c:v>22403.088431927717</c:v>
                </c:pt>
                <c:pt idx="59">
                  <c:v>22708.013276735117</c:v>
                </c:pt>
                <c:pt idx="60">
                  <c:v>23015.704307323955</c:v>
                </c:pt>
                <c:pt idx="61">
                  <c:v>23326.074228936075</c:v>
                </c:pt>
                <c:pt idx="62">
                  <c:v>23639.037741393986</c:v>
                </c:pt>
                <c:pt idx="63">
                  <c:v>23954.511607472767</c:v>
                </c:pt>
                <c:pt idx="64">
                  <c:v>24272.414705462696</c:v>
                </c:pt>
                <c:pt idx="65">
                  <c:v>24592.668067325016</c:v>
                </c:pt>
                <c:pt idx="66">
                  <c:v>24915.194903805623</c:v>
                </c:pt>
                <c:pt idx="67">
                  <c:v>25239.920617820942</c:v>
                </c:pt>
                <c:pt idx="68">
                  <c:v>25566.772807369398</c:v>
                </c:pt>
                <c:pt idx="69">
                  <c:v>25895.681259154262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23024"/>
        <c:axId val="516320672"/>
      </c:scatterChart>
      <c:valAx>
        <c:axId val="516323024"/>
        <c:scaling>
          <c:orientation val="minMax"/>
          <c:max val="12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Pred(Incendios)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20672"/>
        <c:crosses val="autoZero"/>
        <c:crossBetween val="midCat"/>
        <c:majorUnit val="2000"/>
      </c:valAx>
      <c:valAx>
        <c:axId val="516320672"/>
        <c:scaling>
          <c:orientation val="minMax"/>
          <c:max val="12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23024"/>
        <c:crosses val="autoZero"/>
        <c:crossBetween val="midCat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Standardized residuals / Incendios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'IFN1-4'!#REF!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321848"/>
        <c:axId val="516324200"/>
      </c:barChart>
      <c:catAx>
        <c:axId val="516321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Observations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24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6324200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21848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Incendios / Standardized coefficients
(95% conf. interval)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0.18458260430192608</c:v>
                </c:pt>
              </c:numLit>
            </c:plus>
            <c:minus>
              <c:numLit>
                <c:formatCode>General</c:formatCode>
                <c:ptCount val="1"/>
                <c:pt idx="0">
                  <c:v>0.18458260430192619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'IFN1-4'!#REF!</c:f>
              <c:numCache>
                <c:formatCode>General</c:formatCode>
                <c:ptCount val="1"/>
                <c:pt idx="0">
                  <c:v>0.9998944780618515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Eucalypt biomass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516318320"/>
        <c:axId val="516319496"/>
      </c:barChart>
      <c:catAx>
        <c:axId val="516318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Variable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6319496"/>
        <c:crosses val="autoZero"/>
        <c:auto val="1"/>
        <c:lblAlgn val="ctr"/>
        <c:lblOffset val="100"/>
        <c:tickMarkSkip val="1"/>
        <c:noMultiLvlLbl val="0"/>
      </c:catAx>
      <c:valAx>
        <c:axId val="516319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coefficients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18320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Regression of Incendios by Eucalypt biomass (R²=1.000)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7682566</c:v>
                </c:pt>
                <c:pt idx="1">
                  <c:v>15620749</c:v>
                </c:pt>
                <c:pt idx="2">
                  <c:v>34800921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459</c:v>
                </c:pt>
                <c:pt idx="1">
                  <c:v>4721</c:v>
                </c:pt>
                <c:pt idx="2">
                  <c:v>14388</c:v>
                </c:pt>
              </c:numCache>
            </c:numRef>
          </c:yVal>
          <c:smooth val="0"/>
        </c:ser>
        <c:ser>
          <c:idx val="1"/>
          <c:order val="1"/>
          <c:tx>
            <c:v>Model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"/>
              <c:pt idx="0">
                <c:v>7682566</c:v>
              </c:pt>
              <c:pt idx="1">
                <c:v>34800921</c:v>
              </c:pt>
            </c:numLit>
          </c:xVal>
          <c:yVal>
            <c:numLit>
              <c:formatCode>General</c:formatCode>
              <c:ptCount val="2"/>
              <c:pt idx="0">
                <c:v>541.34963379351905</c:v>
              </c:pt>
              <c:pt idx="1">
                <c:v>14422.082408804001</c:v>
              </c:pt>
            </c:numLit>
          </c:yVal>
          <c:smooth val="0"/>
        </c:ser>
        <c:ser>
          <c:idx val="2"/>
          <c:order val="2"/>
          <c:tx>
            <c:v>Conf. interval (Mean 95%)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inventories'!xdata7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inventories'!ydata7</c:f>
              <c:numCache>
                <c:formatCode>General</c:formatCode>
                <c:ptCount val="70"/>
                <c:pt idx="0">
                  <c:v>-1000.140351326768</c:v>
                </c:pt>
                <c:pt idx="1">
                  <c:v>-772.5912614055992</c:v>
                </c:pt>
                <c:pt idx="2">
                  <c:v>-545.50105417718282</c:v>
                </c:pt>
                <c:pt idx="3">
                  <c:v>-318.89410754150094</c:v>
                </c:pt>
                <c:pt idx="4">
                  <c:v>-92.796052322438072</c:v>
                </c:pt>
                <c:pt idx="5">
                  <c:v>132.76620507748316</c:v>
                </c:pt>
                <c:pt idx="6">
                  <c:v>357.76446953717868</c:v>
                </c:pt>
                <c:pt idx="7">
                  <c:v>582.16925579223812</c:v>
                </c:pt>
                <c:pt idx="8">
                  <c:v>805.94980116789884</c:v>
                </c:pt>
                <c:pt idx="9">
                  <c:v>1029.0740951347348</c:v>
                </c:pt>
                <c:pt idx="10">
                  <c:v>1251.5089285370486</c:v>
                </c:pt>
                <c:pt idx="11">
                  <c:v>1473.219965469598</c:v>
                </c:pt>
                <c:pt idx="12">
                  <c:v>1694.1718408184031</c:v>
                </c:pt>
                <c:pt idx="13">
                  <c:v>1914.3282864062946</c:v>
                </c:pt>
                <c:pt idx="14">
                  <c:v>2133.6522884612332</c:v>
                </c:pt>
                <c:pt idx="15">
                  <c:v>2352.1062787224855</c:v>
                </c:pt>
                <c:pt idx="16">
                  <c:v>2569.6523608860898</c:v>
                </c:pt>
                <c:pt idx="17">
                  <c:v>2786.2525732422018</c:v>
                </c:pt>
                <c:pt idx="18">
                  <c:v>3001.8691872597833</c:v>
                </c:pt>
                <c:pt idx="19">
                  <c:v>3216.465040531225</c:v>
                </c:pt>
                <c:pt idx="20">
                  <c:v>3430.0039009254892</c:v>
                </c:pt>
                <c:pt idx="21">
                  <c:v>3642.450857063453</c:v>
                </c:pt>
                <c:pt idx="22">
                  <c:v>3853.7727284028883</c:v>
                </c:pt>
                <c:pt idx="23">
                  <c:v>4063.9384864106732</c:v>
                </c:pt>
                <c:pt idx="24">
                  <c:v>4272.9196766391733</c:v>
                </c:pt>
                <c:pt idx="25">
                  <c:v>4480.6908301606181</c:v>
                </c:pt>
                <c:pt idx="26">
                  <c:v>4687.2298518987309</c:v>
                </c:pt>
                <c:pt idx="27">
                  <c:v>4892.518373067368</c:v>
                </c:pt>
                <c:pt idx="28">
                  <c:v>5096.5420552850819</c:v>
                </c:pt>
                <c:pt idx="29">
                  <c:v>5299.2908350348762</c:v>
                </c:pt>
                <c:pt idx="30">
                  <c:v>5500.7590989683422</c:v>
                </c:pt>
                <c:pt idx="31">
                  <c:v>5700.9457830308456</c:v>
                </c:pt>
                <c:pt idx="32">
                  <c:v>5899.8543913601388</c:v>
                </c:pt>
                <c:pt idx="33">
                  <c:v>6097.4929341804109</c:v>
                </c:pt>
                <c:pt idx="34">
                  <c:v>6293.8737872408146</c:v>
                </c:pt>
                <c:pt idx="35">
                  <c:v>6489.0134784878446</c:v>
                </c:pt>
                <c:pt idx="36">
                  <c:v>6682.9324103926319</c:v>
                </c:pt>
                <c:pt idx="37">
                  <c:v>6875.6545284997828</c:v>
                </c:pt>
                <c:pt idx="38">
                  <c:v>7067.2069482101142</c:v>
                </c:pt>
                <c:pt idx="39">
                  <c:v>7257.6195525105122</c:v>
                </c:pt>
                <c:pt idx="40">
                  <c:v>7446.9245733451025</c:v>
                </c:pt>
                <c:pt idx="41">
                  <c:v>7635.1561686640862</c:v>
                </c:pt>
                <c:pt idx="42">
                  <c:v>7822.3500060138222</c:v>
                </c:pt>
                <c:pt idx="43">
                  <c:v>8008.5428619905788</c:v>
                </c:pt>
                <c:pt idx="44">
                  <c:v>8193.772245122258</c:v>
                </c:pt>
                <c:pt idx="45">
                  <c:v>8378.0760479086348</c:v>
                </c:pt>
                <c:pt idx="46">
                  <c:v>8561.492231961678</c:v>
                </c:pt>
                <c:pt idx="47">
                  <c:v>8744.0585485359461</c:v>
                </c:pt>
                <c:pt idx="48">
                  <c:v>8925.8122952887752</c:v>
                </c:pt>
                <c:pt idx="49">
                  <c:v>9106.7901088969902</c:v>
                </c:pt>
                <c:pt idx="50">
                  <c:v>9287.0277921932866</c:v>
                </c:pt>
                <c:pt idx="51">
                  <c:v>9466.5601737648285</c:v>
                </c:pt>
                <c:pt idx="52">
                  <c:v>9645.4209974591449</c:v>
                </c:pt>
                <c:pt idx="53">
                  <c:v>9823.642838939888</c:v>
                </c:pt>
                <c:pt idx="54">
                  <c:v>10001.257046295408</c:v>
                </c:pt>
                <c:pt idx="55">
                  <c:v>10178.293701693441</c:v>
                </c:pt>
                <c:pt idx="56">
                  <c:v>10354.781601164617</c:v>
                </c:pt>
                <c:pt idx="57">
                  <c:v>10530.748249757835</c:v>
                </c:pt>
                <c:pt idx="58">
                  <c:v>10706.219869517985</c:v>
                </c:pt>
                <c:pt idx="59">
                  <c:v>10881.221417971512</c:v>
                </c:pt>
                <c:pt idx="60">
                  <c:v>11055.77661505208</c:v>
                </c:pt>
                <c:pt idx="61">
                  <c:v>11229.907976645543</c:v>
                </c:pt>
                <c:pt idx="62">
                  <c:v>11403.636853172051</c:v>
                </c:pt>
                <c:pt idx="63">
                  <c:v>11576.983471847392</c:v>
                </c:pt>
                <c:pt idx="64">
                  <c:v>11749.966981472215</c:v>
                </c:pt>
                <c:pt idx="65">
                  <c:v>11922.605498784709</c:v>
                </c:pt>
                <c:pt idx="66">
                  <c:v>12094.916155578661</c:v>
                </c:pt>
                <c:pt idx="67">
                  <c:v>12266.9151459355</c:v>
                </c:pt>
                <c:pt idx="68">
                  <c:v>12438.617773046126</c:v>
                </c:pt>
                <c:pt idx="69">
                  <c:v>12610.038495208095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inventories'!xdata8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inventories'!ydata8</c:f>
              <c:numCache>
                <c:formatCode>General</c:formatCode>
                <c:ptCount val="70"/>
                <c:pt idx="0">
                  <c:v>2082.8396189138157</c:v>
                </c:pt>
                <c:pt idx="1">
                  <c:v>2257.6306094277356</c:v>
                </c:pt>
                <c:pt idx="2">
                  <c:v>2432.8804826344067</c:v>
                </c:pt>
                <c:pt idx="3">
                  <c:v>2608.6136164338109</c:v>
                </c:pt>
                <c:pt idx="4">
                  <c:v>2784.8556416498377</c:v>
                </c:pt>
                <c:pt idx="5">
                  <c:v>2961.6334646850019</c:v>
                </c:pt>
                <c:pt idx="6">
                  <c:v>3138.9752806603942</c:v>
                </c:pt>
                <c:pt idx="7">
                  <c:v>3316.9105748404227</c:v>
                </c:pt>
                <c:pt idx="8">
                  <c:v>3495.4701098998494</c:v>
                </c:pt>
                <c:pt idx="9">
                  <c:v>3674.6858963681011</c:v>
                </c:pt>
                <c:pt idx="10">
                  <c:v>3854.5911434008749</c:v>
                </c:pt>
                <c:pt idx="11">
                  <c:v>4035.2201869034134</c:v>
                </c:pt>
                <c:pt idx="12">
                  <c:v>4216.6083919896955</c:v>
                </c:pt>
                <c:pt idx="13">
                  <c:v>4398.7920268368898</c:v>
                </c:pt>
                <c:pt idx="14">
                  <c:v>4581.808105217041</c:v>
                </c:pt>
                <c:pt idx="15">
                  <c:v>4765.6941953908745</c:v>
                </c:pt>
                <c:pt idx="16">
                  <c:v>4950.4881936623578</c:v>
                </c:pt>
                <c:pt idx="17">
                  <c:v>5136.2280617413335</c:v>
                </c:pt>
                <c:pt idx="18">
                  <c:v>5322.951528158841</c:v>
                </c:pt>
                <c:pt idx="19">
                  <c:v>5510.6957553224847</c:v>
                </c:pt>
                <c:pt idx="20">
                  <c:v>5699.4969753633104</c:v>
                </c:pt>
                <c:pt idx="21">
                  <c:v>5889.3900996604352</c:v>
                </c:pt>
                <c:pt idx="22">
                  <c:v>6080.4083087560866</c:v>
                </c:pt>
                <c:pt idx="23">
                  <c:v>6272.5826311833871</c:v>
                </c:pt>
                <c:pt idx="24">
                  <c:v>6465.9415213899765</c:v>
                </c:pt>
                <c:pt idx="25">
                  <c:v>6660.5104483036175</c:v>
                </c:pt>
                <c:pt idx="26">
                  <c:v>6856.3115070005906</c:v>
                </c:pt>
                <c:pt idx="27">
                  <c:v>7053.363066267043</c:v>
                </c:pt>
                <c:pt idx="28">
                  <c:v>7251.6794644844185</c:v>
                </c:pt>
                <c:pt idx="29">
                  <c:v>7451.2707651697065</c:v>
                </c:pt>
                <c:pt idx="30">
                  <c:v>7652.1425816713299</c:v>
                </c:pt>
                <c:pt idx="31">
                  <c:v>7854.295978043916</c:v>
                </c:pt>
                <c:pt idx="32">
                  <c:v>8057.7274501497086</c:v>
                </c:pt>
                <c:pt idx="33">
                  <c:v>8262.4289877645224</c:v>
                </c:pt>
                <c:pt idx="34">
                  <c:v>8468.3882151392081</c:v>
                </c:pt>
                <c:pt idx="35">
                  <c:v>8675.588604327264</c:v>
                </c:pt>
                <c:pt idx="36">
                  <c:v>8884.0097528575698</c:v>
                </c:pt>
                <c:pt idx="37">
                  <c:v>9093.6277151855011</c:v>
                </c:pt>
                <c:pt idx="38">
                  <c:v>9304.4153759102555</c:v>
                </c:pt>
                <c:pt idx="39">
                  <c:v>9516.3428520449506</c:v>
                </c:pt>
                <c:pt idx="40">
                  <c:v>9729.3779116454461</c:v>
                </c:pt>
                <c:pt idx="41">
                  <c:v>9943.4863967615493</c:v>
                </c:pt>
                <c:pt idx="42">
                  <c:v>10158.632639846903</c:v>
                </c:pt>
                <c:pt idx="43">
                  <c:v>10374.77986430523</c:v>
                </c:pt>
                <c:pt idx="44">
                  <c:v>10591.890561608641</c:v>
                </c:pt>
                <c:pt idx="45">
                  <c:v>10809.926839257354</c:v>
                </c:pt>
                <c:pt idx="46">
                  <c:v>11028.850735639393</c:v>
                </c:pt>
                <c:pt idx="47">
                  <c:v>11248.624499500214</c:v>
                </c:pt>
                <c:pt idx="48">
                  <c:v>11469.210833182475</c:v>
                </c:pt>
                <c:pt idx="49">
                  <c:v>11690.573100009346</c:v>
                </c:pt>
                <c:pt idx="50">
                  <c:v>11912.675497148135</c:v>
                </c:pt>
                <c:pt idx="51">
                  <c:v>12135.483196011683</c:v>
                </c:pt>
                <c:pt idx="52">
                  <c:v>12358.962452752456</c:v>
                </c:pt>
                <c:pt idx="53">
                  <c:v>12583.080691706798</c:v>
                </c:pt>
                <c:pt idx="54">
                  <c:v>12807.806564786364</c:v>
                </c:pt>
                <c:pt idx="55">
                  <c:v>13033.109989823421</c:v>
                </c:pt>
                <c:pt idx="56">
                  <c:v>13258.96217078733</c:v>
                </c:pt>
                <c:pt idx="57">
                  <c:v>13485.335602629202</c:v>
                </c:pt>
                <c:pt idx="58">
                  <c:v>13712.204063304138</c:v>
                </c:pt>
                <c:pt idx="59">
                  <c:v>13939.542595285697</c:v>
                </c:pt>
                <c:pt idx="60">
                  <c:v>14167.327478640218</c:v>
                </c:pt>
                <c:pt idx="61">
                  <c:v>14395.536197481844</c:v>
                </c:pt>
                <c:pt idx="62">
                  <c:v>14624.147401390423</c:v>
                </c:pt>
                <c:pt idx="63">
                  <c:v>14853.140863150171</c:v>
                </c:pt>
                <c:pt idx="64">
                  <c:v>15082.49743396043</c:v>
                </c:pt>
                <c:pt idx="65">
                  <c:v>15312.198997083025</c:v>
                </c:pt>
                <c:pt idx="66">
                  <c:v>15542.228420724163</c:v>
                </c:pt>
                <c:pt idx="67">
                  <c:v>15772.569510802414</c:v>
                </c:pt>
                <c:pt idx="68">
                  <c:v>16003.206964126877</c:v>
                </c:pt>
                <c:pt idx="69">
                  <c:v>16234.12632239999</c:v>
                </c:pt>
              </c:numCache>
            </c:numRef>
          </c:yVal>
          <c:smooth val="0"/>
        </c:ser>
        <c:ser>
          <c:idx val="4"/>
          <c:order val="4"/>
          <c:tx>
            <c:v>Conf. interval (Obs. 95%)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inventories'!xdata9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inventories'!ydata9</c:f>
              <c:numCache>
                <c:formatCode>General</c:formatCode>
                <c:ptCount val="100"/>
                <c:pt idx="0">
                  <c:v>-1876.7557828427653</c:v>
                </c:pt>
                <c:pt idx="1">
                  <c:v>-1724.8377751808671</c:v>
                </c:pt>
                <c:pt idx="2">
                  <c:v>-1573.1422647257159</c:v>
                </c:pt>
                <c:pt idx="3">
                  <c:v>-1421.6724679192389</c:v>
                </c:pt>
                <c:pt idx="4">
                  <c:v>-1270.4315984532641</c:v>
                </c:pt>
                <c:pt idx="5">
                  <c:v>-1119.422864110863</c:v>
                </c:pt>
                <c:pt idx="6">
                  <c:v>-968.64946348267813</c:v>
                </c:pt>
                <c:pt idx="7">
                  <c:v>-818.11458256125843</c:v>
                </c:pt>
                <c:pt idx="8">
                  <c:v>-667.82139121714636</c:v>
                </c:pt>
                <c:pt idx="9">
                  <c:v>-517.77303956120022</c:v>
                </c:pt>
                <c:pt idx="10">
                  <c:v>-367.9726541983805</c:v>
                </c:pt>
                <c:pt idx="11">
                  <c:v>-218.42333437902835</c:v>
                </c:pt>
                <c:pt idx="12">
                  <c:v>-69.128148054466237</c:v>
                </c:pt>
                <c:pt idx="13">
                  <c:v>79.909872155466928</c:v>
                </c:pt>
                <c:pt idx="14">
                  <c:v>228.68773307449737</c:v>
                </c:pt>
                <c:pt idx="15">
                  <c:v>377.20248515234971</c:v>
                </c:pt>
                <c:pt idx="16">
                  <c:v>525.4512267074947</c:v>
                </c:pt>
                <c:pt idx="17">
                  <c:v>673.43110821936034</c:v>
                </c:pt>
                <c:pt idx="18">
                  <c:v>821.13933665838749</c:v>
                </c:pt>
                <c:pt idx="19">
                  <c:v>968.57317984161273</c:v>
                </c:pt>
                <c:pt idx="20">
                  <c:v>1115.7299708007263</c:v>
                </c:pt>
                <c:pt idx="21">
                  <c:v>1262.6071121489404</c:v>
                </c:pt>
                <c:pt idx="22">
                  <c:v>1409.2020804323824</c:v>
                </c:pt>
                <c:pt idx="23">
                  <c:v>1555.5124304512451</c:v>
                </c:pt>
                <c:pt idx="24">
                  <c:v>1701.5357995354298</c:v>
                </c:pt>
                <c:pt idx="25">
                  <c:v>1847.2699117590669</c:v>
                </c:pt>
                <c:pt idx="26">
                  <c:v>1992.7125820780166</c:v>
                </c:pt>
                <c:pt idx="27">
                  <c:v>2137.8617203742629</c:v>
                </c:pt>
                <c:pt idx="28">
                  <c:v>2282.7153353909857</c:v>
                </c:pt>
                <c:pt idx="29">
                  <c:v>2427.2715385421966</c:v>
                </c:pt>
                <c:pt idx="30">
                  <c:v>2571.5285475808437</c:v>
                </c:pt>
                <c:pt idx="31">
                  <c:v>2715.4846901096053</c:v>
                </c:pt>
                <c:pt idx="32">
                  <c:v>2859.1384069189389</c:v>
                </c:pt>
                <c:pt idx="33">
                  <c:v>3002.4882551373721</c:v>
                </c:pt>
                <c:pt idx="34">
                  <c:v>3145.532911179665</c:v>
                </c:pt>
                <c:pt idx="35">
                  <c:v>3288.271173479166</c:v>
                </c:pt>
                <c:pt idx="36">
                  <c:v>3430.7019649914387</c:v>
                </c:pt>
                <c:pt idx="37">
                  <c:v>3572.8243354572578</c:v>
                </c:pt>
                <c:pt idx="38">
                  <c:v>3714.6374634139925</c:v>
                </c:pt>
                <c:pt idx="39">
                  <c:v>3856.1406579455456</c:v>
                </c:pt>
                <c:pt idx="40">
                  <c:v>3997.3333601622744</c:v>
                </c:pt>
                <c:pt idx="41">
                  <c:v>4138.2151444034826</c:v>
                </c:pt>
                <c:pt idx="42">
                  <c:v>4278.7857191565035</c:v>
                </c:pt>
                <c:pt idx="43">
                  <c:v>4419.0449276877371</c:v>
                </c:pt>
                <c:pt idx="44">
                  <c:v>4558.9927483824886</c:v>
                </c:pt>
                <c:pt idx="45">
                  <c:v>4698.6292947918591</c:v>
                </c:pt>
                <c:pt idx="46">
                  <c:v>4837.9548153864735</c:v>
                </c:pt>
                <c:pt idx="47">
                  <c:v>4976.9696930182663</c:v>
                </c:pt>
                <c:pt idx="48">
                  <c:v>5115.674444093077</c:v>
                </c:pt>
                <c:pt idx="49">
                  <c:v>5254.0697174581892</c:v>
                </c:pt>
                <c:pt idx="50">
                  <c:v>5392.1562930103964</c:v>
                </c:pt>
                <c:pt idx="51">
                  <c:v>5529.9350800315078</c:v>
                </c:pt>
                <c:pt idx="52">
                  <c:v>5667.4071152595516</c:v>
                </c:pt>
                <c:pt idx="53">
                  <c:v>5804.5735607051138</c:v>
                </c:pt>
                <c:pt idx="54">
                  <c:v>5941.4357012233831</c:v>
                </c:pt>
                <c:pt idx="55">
                  <c:v>6077.9949418535789</c:v>
                </c:pt>
                <c:pt idx="56">
                  <c:v>6214.2528049383527</c:v>
                </c:pt>
                <c:pt idx="57">
                  <c:v>6350.2109270365818</c:v>
                </c:pt>
                <c:pt idx="58">
                  <c:v>6485.8710556437636</c:v>
                </c:pt>
                <c:pt idx="59">
                  <c:v>6621.2350457347939</c:v>
                </c:pt>
                <c:pt idx="60">
                  <c:v>6756.3048561444575</c:v>
                </c:pt>
                <c:pt idx="61">
                  <c:v>6891.0825458013187</c:v>
                </c:pt>
                <c:pt idx="62">
                  <c:v>7025.5702698310106</c:v>
                </c:pt>
                <c:pt idx="63">
                  <c:v>7159.7702755450136</c:v>
                </c:pt>
                <c:pt idx="64">
                  <c:v>7293.6848983311884</c:v>
                </c:pt>
                <c:pt idx="65">
                  <c:v>7427.3165574621371</c:v>
                </c:pt>
                <c:pt idx="66">
                  <c:v>7560.6677518373926</c:v>
                </c:pt>
                <c:pt idx="67">
                  <c:v>7693.7410556751402</c:v>
                </c:pt>
                <c:pt idx="68">
                  <c:v>7826.539114168856</c:v>
                </c:pt>
                <c:pt idx="69">
                  <c:v>7959.0646391238297</c:v>
                </c:pt>
                <c:pt idx="70">
                  <c:v>8091.3204045879447</c:v>
                </c:pt>
                <c:pt idx="71">
                  <c:v>8223.3092424906717</c:v>
                </c:pt>
                <c:pt idx="72">
                  <c:v>8355.0340383034709</c:v>
                </c:pt>
                <c:pt idx="73">
                  <c:v>8486.4977267341837</c:v>
                </c:pt>
                <c:pt idx="74">
                  <c:v>8617.7032874672477</c:v>
                </c:pt>
                <c:pt idx="75">
                  <c:v>8748.65374096085</c:v>
                </c:pt>
                <c:pt idx="76">
                  <c:v>8879.3521443113023</c:v>
                </c:pt>
                <c:pt idx="77">
                  <c:v>9009.8015871941643</c:v>
                </c:pt>
                <c:pt idx="78">
                  <c:v>9140.0051878908125</c:v>
                </c:pt>
                <c:pt idx="79">
                  <c:v>9269.9660894083427</c:v>
                </c:pt>
                <c:pt idx="80">
                  <c:v>9399.6874556998882</c:v>
                </c:pt>
                <c:pt idx="81">
                  <c:v>9529.1724679916369</c:v>
                </c:pt>
                <c:pt idx="82">
                  <c:v>9658.4243212220099</c:v>
                </c:pt>
                <c:pt idx="83">
                  <c:v>9787.4462205977416</c:v>
                </c:pt>
                <c:pt idx="84">
                  <c:v>9916.241378270839</c:v>
                </c:pt>
                <c:pt idx="85">
                  <c:v>10044.813010139669</c:v>
                </c:pt>
                <c:pt idx="86">
                  <c:v>10173.164332776729</c:v>
                </c:pt>
                <c:pt idx="87">
                  <c:v>10301.298560485018</c:v>
                </c:pt>
                <c:pt idx="88">
                  <c:v>10429.218902484303</c:v>
                </c:pt>
                <c:pt idx="89">
                  <c:v>10556.928560227985</c:v>
                </c:pt>
                <c:pt idx="90">
                  <c:v>10684.430724850707</c:v>
                </c:pt>
                <c:pt idx="91">
                  <c:v>10811.728574746357</c:v>
                </c:pt>
                <c:pt idx="92">
                  <c:v>10938.825273275659</c:v>
                </c:pt>
                <c:pt idx="93">
                  <c:v>11065.723966602091</c:v>
                </c:pt>
                <c:pt idx="94">
                  <c:v>11192.427781654456</c:v>
                </c:pt>
                <c:pt idx="95">
                  <c:v>11318.939824214161</c:v>
                </c:pt>
                <c:pt idx="96">
                  <c:v>11445.263177124827</c:v>
                </c:pt>
                <c:pt idx="97">
                  <c:v>11571.400898621683</c:v>
                </c:pt>
                <c:pt idx="98">
                  <c:v>11697.356020777826</c:v>
                </c:pt>
                <c:pt idx="99">
                  <c:v>11823.131548064348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inventories'!xdata10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inventories'!ydata10</c:f>
              <c:numCache>
                <c:formatCode>General</c:formatCode>
                <c:ptCount val="100"/>
                <c:pt idx="0">
                  <c:v>2959.4550504298131</c:v>
                </c:pt>
                <c:pt idx="1">
                  <c:v>3087.9558867075225</c:v>
                </c:pt>
                <c:pt idx="2">
                  <c:v>3216.6792201919779</c:v>
                </c:pt>
                <c:pt idx="3">
                  <c:v>3345.6282673251085</c:v>
                </c:pt>
                <c:pt idx="4">
                  <c:v>3474.8062417987394</c:v>
                </c:pt>
                <c:pt idx="5">
                  <c:v>3604.2163513959458</c:v>
                </c:pt>
                <c:pt idx="6">
                  <c:v>3733.8617947073685</c:v>
                </c:pt>
                <c:pt idx="7">
                  <c:v>3863.7457577255545</c:v>
                </c:pt>
                <c:pt idx="8">
                  <c:v>3993.87141032105</c:v>
                </c:pt>
                <c:pt idx="9">
                  <c:v>4124.2419026047119</c:v>
                </c:pt>
                <c:pt idx="10">
                  <c:v>4254.8603611814979</c:v>
                </c:pt>
                <c:pt idx="11">
                  <c:v>4385.7298853017528</c:v>
                </c:pt>
                <c:pt idx="12">
                  <c:v>4516.8535429167987</c:v>
                </c:pt>
                <c:pt idx="13">
                  <c:v>4648.2343666464712</c:v>
                </c:pt>
                <c:pt idx="14">
                  <c:v>4779.8753496670479</c:v>
                </c:pt>
                <c:pt idx="15">
                  <c:v>4911.7794415288026</c:v>
                </c:pt>
                <c:pt idx="16">
                  <c:v>5043.9495439132643</c:v>
                </c:pt>
                <c:pt idx="17">
                  <c:v>5176.3885063410053</c:v>
                </c:pt>
                <c:pt idx="18">
                  <c:v>5309.0991218415857</c:v>
                </c:pt>
                <c:pt idx="19">
                  <c:v>5442.0841225979684</c:v>
                </c:pt>
                <c:pt idx="20">
                  <c:v>5575.346175578461</c:v>
                </c:pt>
                <c:pt idx="21">
                  <c:v>5708.887878169854</c:v>
                </c:pt>
                <c:pt idx="22">
                  <c:v>5842.711753826019</c:v>
                </c:pt>
                <c:pt idx="23">
                  <c:v>5976.8202477467621</c:v>
                </c:pt>
                <c:pt idx="24">
                  <c:v>6111.2157226021855</c:v>
                </c:pt>
                <c:pt idx="25">
                  <c:v>6245.9004543181563</c:v>
                </c:pt>
                <c:pt idx="26">
                  <c:v>6380.876627938811</c:v>
                </c:pt>
                <c:pt idx="27">
                  <c:v>6516.1463335821736</c:v>
                </c:pt>
                <c:pt idx="28">
                  <c:v>6651.7115625050574</c:v>
                </c:pt>
                <c:pt idx="29">
                  <c:v>6787.5742032934522</c:v>
                </c:pt>
                <c:pt idx="30">
                  <c:v>6923.7360381944145</c:v>
                </c:pt>
                <c:pt idx="31">
                  <c:v>7060.1987396052582</c:v>
                </c:pt>
                <c:pt idx="32">
                  <c:v>7196.9638667355302</c:v>
                </c:pt>
                <c:pt idx="33">
                  <c:v>7334.0328624567064</c:v>
                </c:pt>
                <c:pt idx="34">
                  <c:v>7471.4070503540188</c:v>
                </c:pt>
                <c:pt idx="35">
                  <c:v>7609.0876319941272</c:v>
                </c:pt>
                <c:pt idx="36">
                  <c:v>7747.0756844214611</c:v>
                </c:pt>
                <c:pt idx="37">
                  <c:v>7885.3721578952436</c:v>
                </c:pt>
                <c:pt idx="38">
                  <c:v>8023.9778738781188</c:v>
                </c:pt>
                <c:pt idx="39">
                  <c:v>8162.893523286175</c:v>
                </c:pt>
                <c:pt idx="40">
                  <c:v>8302.1196650090515</c:v>
                </c:pt>
                <c:pt idx="41">
                  <c:v>8441.656724707449</c:v>
                </c:pt>
                <c:pt idx="42">
                  <c:v>8581.5049938940374</c:v>
                </c:pt>
                <c:pt idx="43">
                  <c:v>8721.6646293024096</c:v>
                </c:pt>
                <c:pt idx="44">
                  <c:v>8862.1356525472638</c:v>
                </c:pt>
                <c:pt idx="45">
                  <c:v>9002.917950077499</c:v>
                </c:pt>
                <c:pt idx="46">
                  <c:v>9144.0112734224931</c:v>
                </c:pt>
                <c:pt idx="47">
                  <c:v>9285.4152397303114</c:v>
                </c:pt>
                <c:pt idx="48">
                  <c:v>9427.1293325951046</c:v>
                </c:pt>
                <c:pt idx="49">
                  <c:v>9569.1529031695954</c:v>
                </c:pt>
                <c:pt idx="50">
                  <c:v>9711.4851715569966</c:v>
                </c:pt>
                <c:pt idx="51">
                  <c:v>9854.1252284754955</c:v>
                </c:pt>
                <c:pt idx="52">
                  <c:v>9997.0720371870575</c:v>
                </c:pt>
                <c:pt idx="53">
                  <c:v>10140.324435681101</c:v>
                </c:pt>
                <c:pt idx="54">
                  <c:v>10283.881139102441</c:v>
                </c:pt>
                <c:pt idx="55">
                  <c:v>10427.74074241185</c:v>
                </c:pt>
                <c:pt idx="56">
                  <c:v>10571.901723266683</c:v>
                </c:pt>
                <c:pt idx="57">
                  <c:v>10716.36244510806</c:v>
                </c:pt>
                <c:pt idx="58">
                  <c:v>10861.121160440487</c:v>
                </c:pt>
                <c:pt idx="59">
                  <c:v>11006.176014289067</c:v>
                </c:pt>
                <c:pt idx="60">
                  <c:v>11151.525047819008</c:v>
                </c:pt>
                <c:pt idx="61">
                  <c:v>11297.166202101749</c:v>
                </c:pt>
                <c:pt idx="62">
                  <c:v>11443.097322011667</c:v>
                </c:pt>
                <c:pt idx="63">
                  <c:v>11589.316160237273</c:v>
                </c:pt>
                <c:pt idx="64">
                  <c:v>11735.820381390704</c:v>
                </c:pt>
                <c:pt idx="65">
                  <c:v>11882.60756619936</c:v>
                </c:pt>
                <c:pt idx="66">
                  <c:v>12029.675215763715</c:v>
                </c:pt>
                <c:pt idx="67">
                  <c:v>12177.020755865577</c:v>
                </c:pt>
                <c:pt idx="68">
                  <c:v>12324.641541311463</c:v>
                </c:pt>
                <c:pt idx="69">
                  <c:v>12472.534860296095</c:v>
                </c:pt>
                <c:pt idx="70">
                  <c:v>12620.697938771589</c:v>
                </c:pt>
                <c:pt idx="71">
                  <c:v>12769.127944808472</c:v>
                </c:pt>
                <c:pt idx="72">
                  <c:v>12917.821992935278</c:v>
                </c:pt>
                <c:pt idx="73">
                  <c:v>13066.777148444171</c:v>
                </c:pt>
                <c:pt idx="74">
                  <c:v>13215.990431650713</c:v>
                </c:pt>
                <c:pt idx="75">
                  <c:v>13365.45882209672</c:v>
                </c:pt>
                <c:pt idx="76">
                  <c:v>13515.179262685873</c:v>
                </c:pt>
                <c:pt idx="77">
                  <c:v>13665.148663742617</c:v>
                </c:pt>
                <c:pt idx="78">
                  <c:v>13815.363906985578</c:v>
                </c:pt>
                <c:pt idx="79">
                  <c:v>13965.821849407657</c:v>
                </c:pt>
                <c:pt idx="80">
                  <c:v>14116.519327055714</c:v>
                </c:pt>
                <c:pt idx="81">
                  <c:v>14267.453158703571</c:v>
                </c:pt>
                <c:pt idx="82">
                  <c:v>14418.620149412807</c:v>
                </c:pt>
                <c:pt idx="83">
                  <c:v>14570.017093976685</c:v>
                </c:pt>
                <c:pt idx="84">
                  <c:v>14721.640780243193</c:v>
                </c:pt>
                <c:pt idx="85">
                  <c:v>14873.487992313969</c:v>
                </c:pt>
                <c:pt idx="86">
                  <c:v>15025.555513616515</c:v>
                </c:pt>
                <c:pt idx="87">
                  <c:v>15177.840129847835</c:v>
                </c:pt>
                <c:pt idx="88">
                  <c:v>15330.338631788156</c:v>
                </c:pt>
                <c:pt idx="89">
                  <c:v>15483.047817984079</c:v>
                </c:pt>
                <c:pt idx="90">
                  <c:v>15635.964497300967</c:v>
                </c:pt>
                <c:pt idx="91">
                  <c:v>15789.085491344926</c:v>
                </c:pt>
                <c:pt idx="92">
                  <c:v>15942.407636755226</c:v>
                </c:pt>
                <c:pt idx="93">
                  <c:v>16095.927787368404</c:v>
                </c:pt>
                <c:pt idx="94">
                  <c:v>16249.642816255648</c:v>
                </c:pt>
                <c:pt idx="95">
                  <c:v>16403.549617635552</c:v>
                </c:pt>
                <c:pt idx="96">
                  <c:v>16557.645108664488</c:v>
                </c:pt>
                <c:pt idx="97">
                  <c:v>16711.926231107234</c:v>
                </c:pt>
                <c:pt idx="98">
                  <c:v>16866.389952890699</c:v>
                </c:pt>
                <c:pt idx="99">
                  <c:v>17021.03326954379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321064"/>
        <c:axId val="516321456"/>
      </c:scatterChart>
      <c:valAx>
        <c:axId val="516321064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Eucalypt biomass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21456"/>
        <c:crosses val="autoZero"/>
        <c:crossBetween val="midCat"/>
      </c:valAx>
      <c:valAx>
        <c:axId val="516321456"/>
        <c:scaling>
          <c:orientation val="minMax"/>
          <c:max val="20000"/>
          <c:min val="-5000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321064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Standardized residuals / Eucalypt biomass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18368"/>
        <c:axId val="519023072"/>
      </c:scatterChart>
      <c:valAx>
        <c:axId val="519018368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Eucalypt biomass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3072"/>
        <c:crosses val="autoZero"/>
        <c:crossBetween val="midCat"/>
      </c:valAx>
      <c:valAx>
        <c:axId val="519023072"/>
        <c:scaling>
          <c:orientation val="minMax"/>
          <c:max val="0.8"/>
          <c:min val="-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8368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Incendios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459</c:v>
                </c:pt>
                <c:pt idx="1">
                  <c:v>4721</c:v>
                </c:pt>
                <c:pt idx="2">
                  <c:v>14388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-0.56162645888328655</c:v>
                </c:pt>
                <c:pt idx="1">
                  <c:v>0.79406929663560877</c:v>
                </c:pt>
                <c:pt idx="2">
                  <c:v>-0.23244283775230898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19936"/>
        <c:axId val="519023464"/>
      </c:scatterChart>
      <c:valAx>
        <c:axId val="519019936"/>
        <c:scaling>
          <c:orientation val="minMax"/>
          <c:max val="16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3464"/>
        <c:crosses val="autoZero"/>
        <c:crossBetween val="midCat"/>
      </c:valAx>
      <c:valAx>
        <c:axId val="519023464"/>
        <c:scaling>
          <c:orientation val="minMax"/>
          <c:max val="0.8"/>
          <c:min val="-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9936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Pred(Incendios)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22288"/>
        <c:axId val="519025424"/>
      </c:scatterChart>
      <c:valAx>
        <c:axId val="519022288"/>
        <c:scaling>
          <c:orientation val="minMax"/>
          <c:max val="16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Pred(Incendios)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5424"/>
        <c:crosses val="autoZero"/>
        <c:crossBetween val="midCat"/>
      </c:valAx>
      <c:valAx>
        <c:axId val="519025424"/>
        <c:scaling>
          <c:orientation val="minMax"/>
          <c:max val="0.8"/>
          <c:min val="-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2288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769753352204934"/>
          <c:y val="2.937576121900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Decades!$D$2</c:f>
              <c:strCache>
                <c:ptCount val="1"/>
                <c:pt idx="0">
                  <c:v>1991-2000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0.1009656959962299"/>
                  <c:y val="-0.253744124526498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Decades!$L$3:$L$23</c:f>
              <c:numCache>
                <c:formatCode>0.000</c:formatCode>
                <c:ptCount val="21"/>
                <c:pt idx="0">
                  <c:v>0.47726862559536543</c:v>
                </c:pt>
                <c:pt idx="1">
                  <c:v>0.34684461845850079</c:v>
                </c:pt>
                <c:pt idx="2">
                  <c:v>1.5013215854412072E-2</c:v>
                </c:pt>
                <c:pt idx="3">
                  <c:v>0.50237532445083255</c:v>
                </c:pt>
                <c:pt idx="4">
                  <c:v>0.52522190692699966</c:v>
                </c:pt>
                <c:pt idx="5">
                  <c:v>0.826560256564426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9.9622433992605495E-4</c:v>
                </c:pt>
                <c:pt idx="13">
                  <c:v>5.5625979025731048E-2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2.0394272876447007E-2</c:v>
                </c:pt>
              </c:numCache>
            </c:numRef>
          </c:xVal>
          <c:yVal>
            <c:numRef>
              <c:f>Decades!$D$3:$D$23</c:f>
              <c:numCache>
                <c:formatCode>0</c:formatCode>
                <c:ptCount val="21"/>
                <c:pt idx="0">
                  <c:v>2398.1999999999998</c:v>
                </c:pt>
                <c:pt idx="1">
                  <c:v>1581.5</c:v>
                </c:pt>
                <c:pt idx="2">
                  <c:v>3324.8</c:v>
                </c:pt>
                <c:pt idx="3">
                  <c:v>2884.5</c:v>
                </c:pt>
                <c:pt idx="4">
                  <c:v>1023.5</c:v>
                </c:pt>
                <c:pt idx="5">
                  <c:v>294.3</c:v>
                </c:pt>
                <c:pt idx="6">
                  <c:v>168</c:v>
                </c:pt>
                <c:pt idx="7">
                  <c:v>600.9</c:v>
                </c:pt>
                <c:pt idx="8">
                  <c:v>69.8</c:v>
                </c:pt>
                <c:pt idx="9">
                  <c:v>86.3</c:v>
                </c:pt>
                <c:pt idx="10">
                  <c:v>59.1</c:v>
                </c:pt>
                <c:pt idx="11">
                  <c:v>462.1</c:v>
                </c:pt>
                <c:pt idx="12">
                  <c:v>302.5</c:v>
                </c:pt>
                <c:pt idx="13">
                  <c:v>177.2</c:v>
                </c:pt>
                <c:pt idx="14">
                  <c:v>100.9</c:v>
                </c:pt>
                <c:pt idx="15">
                  <c:v>149.5</c:v>
                </c:pt>
                <c:pt idx="16">
                  <c:v>263.11111111111109</c:v>
                </c:pt>
                <c:pt idx="17">
                  <c:v>108.3</c:v>
                </c:pt>
                <c:pt idx="18">
                  <c:v>103.9</c:v>
                </c:pt>
                <c:pt idx="19">
                  <c:v>111.3</c:v>
                </c:pt>
                <c:pt idx="20">
                  <c:v>169.22222222222223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33832"/>
        <c:axId val="512937360"/>
      </c:scatterChart>
      <c:valAx>
        <c:axId val="512933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eucalypt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7360"/>
        <c:crosses val="autoZero"/>
        <c:crossBetween val="midCat"/>
      </c:valAx>
      <c:valAx>
        <c:axId val="512937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3832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Pred(Incendios) / Incendios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16000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16000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inventories'!xdata11</c:f>
              <c:numCache>
                <c:formatCode>General</c:formatCode>
                <c:ptCount val="70"/>
                <c:pt idx="0">
                  <c:v>0</c:v>
                </c:pt>
                <c:pt idx="1">
                  <c:v>231.88405797101399</c:v>
                </c:pt>
                <c:pt idx="2">
                  <c:v>463.76811594202798</c:v>
                </c:pt>
                <c:pt idx="3">
                  <c:v>695.65217391304191</c:v>
                </c:pt>
                <c:pt idx="4">
                  <c:v>927.53623188405595</c:v>
                </c:pt>
                <c:pt idx="5">
                  <c:v>1159.42028985507</c:v>
                </c:pt>
                <c:pt idx="6">
                  <c:v>1391.3043478260838</c:v>
                </c:pt>
                <c:pt idx="7">
                  <c:v>1623.1884057970979</c:v>
                </c:pt>
                <c:pt idx="8">
                  <c:v>1855.0724637681119</c:v>
                </c:pt>
                <c:pt idx="9">
                  <c:v>2086.9565217391259</c:v>
                </c:pt>
                <c:pt idx="10">
                  <c:v>2318.84057971014</c:v>
                </c:pt>
                <c:pt idx="11">
                  <c:v>2550.724637681154</c:v>
                </c:pt>
                <c:pt idx="12">
                  <c:v>2782.6086956521676</c:v>
                </c:pt>
                <c:pt idx="13">
                  <c:v>3014.4927536231817</c:v>
                </c:pt>
                <c:pt idx="14">
                  <c:v>3246.3768115941957</c:v>
                </c:pt>
                <c:pt idx="15">
                  <c:v>3478.2608695652098</c:v>
                </c:pt>
                <c:pt idx="16">
                  <c:v>3710.1449275362238</c:v>
                </c:pt>
                <c:pt idx="17">
                  <c:v>3942.0289855072378</c:v>
                </c:pt>
                <c:pt idx="18">
                  <c:v>4173.9130434782519</c:v>
                </c:pt>
                <c:pt idx="19">
                  <c:v>4405.7971014492659</c:v>
                </c:pt>
                <c:pt idx="20">
                  <c:v>4637.68115942028</c:v>
                </c:pt>
                <c:pt idx="21">
                  <c:v>4869.565217391294</c:v>
                </c:pt>
                <c:pt idx="22">
                  <c:v>5101.4492753623081</c:v>
                </c:pt>
                <c:pt idx="23">
                  <c:v>5333.3333333333221</c:v>
                </c:pt>
                <c:pt idx="24">
                  <c:v>5565.2173913043353</c:v>
                </c:pt>
                <c:pt idx="25">
                  <c:v>5797.1014492753493</c:v>
                </c:pt>
                <c:pt idx="26">
                  <c:v>6028.9855072463633</c:v>
                </c:pt>
                <c:pt idx="27">
                  <c:v>6260.8695652173774</c:v>
                </c:pt>
                <c:pt idx="28">
                  <c:v>6492.7536231883914</c:v>
                </c:pt>
                <c:pt idx="29">
                  <c:v>6724.6376811594055</c:v>
                </c:pt>
                <c:pt idx="30">
                  <c:v>6956.5217391304195</c:v>
                </c:pt>
                <c:pt idx="31">
                  <c:v>7188.4057971014336</c:v>
                </c:pt>
                <c:pt idx="32">
                  <c:v>7420.2898550724476</c:v>
                </c:pt>
                <c:pt idx="33">
                  <c:v>7652.1739130434617</c:v>
                </c:pt>
                <c:pt idx="34">
                  <c:v>7884.0579710144757</c:v>
                </c:pt>
                <c:pt idx="35">
                  <c:v>8115.9420289854897</c:v>
                </c:pt>
                <c:pt idx="36">
                  <c:v>8347.8260869565038</c:v>
                </c:pt>
                <c:pt idx="37">
                  <c:v>8579.7101449275178</c:v>
                </c:pt>
                <c:pt idx="38">
                  <c:v>8811.5942028985319</c:v>
                </c:pt>
                <c:pt idx="39">
                  <c:v>9043.4782608695459</c:v>
                </c:pt>
                <c:pt idx="40">
                  <c:v>9275.36231884056</c:v>
                </c:pt>
                <c:pt idx="41">
                  <c:v>9507.246376811574</c:v>
                </c:pt>
                <c:pt idx="42">
                  <c:v>9739.1304347825881</c:v>
                </c:pt>
                <c:pt idx="43">
                  <c:v>9971.0144927536021</c:v>
                </c:pt>
                <c:pt idx="44">
                  <c:v>10202.898550724616</c:v>
                </c:pt>
                <c:pt idx="45">
                  <c:v>10434.78260869563</c:v>
                </c:pt>
                <c:pt idx="46">
                  <c:v>10666.666666666644</c:v>
                </c:pt>
                <c:pt idx="47">
                  <c:v>10898.550724637658</c:v>
                </c:pt>
                <c:pt idx="48">
                  <c:v>11130.434782608671</c:v>
                </c:pt>
                <c:pt idx="49">
                  <c:v>11362.318840579685</c:v>
                </c:pt>
                <c:pt idx="50">
                  <c:v>11594.202898550699</c:v>
                </c:pt>
                <c:pt idx="51">
                  <c:v>11826.086956521713</c:v>
                </c:pt>
                <c:pt idx="52">
                  <c:v>12057.971014492727</c:v>
                </c:pt>
                <c:pt idx="53">
                  <c:v>12289.855072463741</c:v>
                </c:pt>
                <c:pt idx="54">
                  <c:v>12521.739130434755</c:v>
                </c:pt>
                <c:pt idx="55">
                  <c:v>12753.623188405769</c:v>
                </c:pt>
                <c:pt idx="56">
                  <c:v>12985.507246376783</c:v>
                </c:pt>
                <c:pt idx="57">
                  <c:v>13217.391304347797</c:v>
                </c:pt>
                <c:pt idx="58">
                  <c:v>13449.275362318811</c:v>
                </c:pt>
                <c:pt idx="59">
                  <c:v>13681.159420289825</c:v>
                </c:pt>
                <c:pt idx="60">
                  <c:v>13913.043478260839</c:v>
                </c:pt>
                <c:pt idx="61">
                  <c:v>14144.927536231853</c:v>
                </c:pt>
                <c:pt idx="62">
                  <c:v>14376.811594202867</c:v>
                </c:pt>
                <c:pt idx="63">
                  <c:v>14608.695652173881</c:v>
                </c:pt>
                <c:pt idx="64">
                  <c:v>14840.579710144895</c:v>
                </c:pt>
                <c:pt idx="65">
                  <c:v>15072.463768115909</c:v>
                </c:pt>
                <c:pt idx="66">
                  <c:v>15304.347826086923</c:v>
                </c:pt>
                <c:pt idx="67">
                  <c:v>15536.231884057937</c:v>
                </c:pt>
                <c:pt idx="68">
                  <c:v>15768.115942028951</c:v>
                </c:pt>
                <c:pt idx="69">
                  <c:v>15999.999999999965</c:v>
                </c:pt>
              </c:numCache>
            </c:numRef>
          </c:xVal>
          <c:yVal>
            <c:numRef>
              <c:f>'Forest inventories'!ydata11</c:f>
              <c:numCache>
                <c:formatCode>General</c:formatCode>
                <c:ptCount val="70"/>
                <c:pt idx="0">
                  <c:v>-2465.3414022932734</c:v>
                </c:pt>
                <c:pt idx="1">
                  <c:v>-2212.8357023542658</c:v>
                </c:pt>
                <c:pt idx="2">
                  <c:v>-1960.910406761087</c:v>
                </c:pt>
                <c:pt idx="3">
                  <c:v>-1709.5800239547568</c:v>
                </c:pt>
                <c:pt idx="4">
                  <c:v>-1458.8590975053351</c:v>
                </c:pt>
                <c:pt idx="5">
                  <c:v>-1208.7621705715694</c:v>
                </c:pt>
                <c:pt idx="6">
                  <c:v>-959.30374772761388</c:v>
                </c:pt>
                <c:pt idx="7">
                  <c:v>-710.49825422436379</c:v>
                </c:pt>
                <c:pt idx="8">
                  <c:v>-462.35999279043972</c:v>
                </c:pt>
                <c:pt idx="9">
                  <c:v>-214.9030981180922</c:v>
                </c:pt>
                <c:pt idx="10">
                  <c:v>31.858510778079562</c:v>
                </c:pt>
                <c:pt idx="11">
                  <c:v>277.9111800974365</c:v>
                </c:pt>
                <c:pt idx="12">
                  <c:v>523.24157240728118</c:v>
                </c:pt>
                <c:pt idx="13">
                  <c:v>767.83671909198711</c:v>
                </c:pt>
                <c:pt idx="14">
                  <c:v>1011.6840737305934</c:v>
                </c:pt>
                <c:pt idx="15">
                  <c:v>1254.7715659942323</c:v>
                </c:pt>
                <c:pt idx="16">
                  <c:v>1497.0876556161966</c:v>
                </c:pt>
                <c:pt idx="17">
                  <c:v>1738.6213859535351</c:v>
                </c:pt>
                <c:pt idx="18">
                  <c:v>1979.362436631091</c:v>
                </c:pt>
                <c:pt idx="19">
                  <c:v>2219.3011747380333</c:v>
                </c:pt>
                <c:pt idx="20">
                  <c:v>2458.4287040343243</c:v>
                </c:pt>
                <c:pt idx="21">
                  <c:v>2696.7369116211498</c:v>
                </c:pt>
                <c:pt idx="22">
                  <c:v>2934.2185115359152</c:v>
                </c:pt>
                <c:pt idx="23">
                  <c:v>3170.8670847494413</c:v>
                </c:pt>
                <c:pt idx="24">
                  <c:v>3406.6771150707209</c:v>
                </c:pt>
                <c:pt idx="25">
                  <c:v>3641.6440205029157</c:v>
                </c:pt>
                <c:pt idx="26">
                  <c:v>3875.764179642722</c:v>
                </c:pt>
                <c:pt idx="27">
                  <c:v>4109.0349527730477</c:v>
                </c:pt>
                <c:pt idx="28">
                  <c:v>4341.4546973649649</c:v>
                </c:pt>
                <c:pt idx="29">
                  <c:v>4573.0227777777727</c:v>
                </c:pt>
                <c:pt idx="30">
                  <c:v>4803.7395690239755</c:v>
                </c:pt>
                <c:pt idx="31">
                  <c:v>5033.6064545472818</c:v>
                </c:pt>
                <c:pt idx="32">
                  <c:v>5262.6258180442701</c:v>
                </c:pt>
                <c:pt idx="33">
                  <c:v>5490.801029442162</c:v>
                </c:pt>
                <c:pt idx="34">
                  <c:v>5718.1364252241865</c:v>
                </c:pt>
                <c:pt idx="35">
                  <c:v>5944.6372833683454</c:v>
                </c:pt>
                <c:pt idx="36">
                  <c:v>6170.309793233354</c:v>
                </c:pt>
                <c:pt idx="37">
                  <c:v>6395.1610207855565</c:v>
                </c:pt>
                <c:pt idx="38">
                  <c:v>6619.1988696115914</c:v>
                </c:pt>
                <c:pt idx="39">
                  <c:v>6842.4320382025544</c:v>
                </c:pt>
                <c:pt idx="40">
                  <c:v>7064.8699740258935</c:v>
                </c:pt>
                <c:pt idx="41">
                  <c:v>7286.5228249210668</c:v>
                </c:pt>
                <c:pt idx="42">
                  <c:v>7507.401388364211</c:v>
                </c:pt>
                <c:pt idx="43">
                  <c:v>7727.5170591461792</c:v>
                </c:pt>
                <c:pt idx="44">
                  <c:v>7946.8817759979629</c:v>
                </c:pt>
                <c:pt idx="45">
                  <c:v>8165.5079676787391</c:v>
                </c:pt>
                <c:pt idx="46">
                  <c:v>8383.4084990154333</c:v>
                </c:pt>
                <c:pt idx="47">
                  <c:v>8600.596617350282</c:v>
                </c:pt>
                <c:pt idx="48">
                  <c:v>8817.0858998153235</c:v>
                </c:pt>
                <c:pt idx="49">
                  <c:v>9032.8902018116169</c:v>
                </c:pt>
                <c:pt idx="50">
                  <c:v>9248.0236070271749</c:v>
                </c:pt>
                <c:pt idx="51">
                  <c:v>9462.5003792827647</c:v>
                </c:pt>
                <c:pt idx="52">
                  <c:v>9676.3349164492502</c:v>
                </c:pt>
                <c:pt idx="53">
                  <c:v>9889.5417066357004</c:v>
                </c:pt>
                <c:pt idx="54">
                  <c:v>10102.135286804347</c:v>
                </c:pt>
                <c:pt idx="55">
                  <c:v>10314.1302039275</c:v>
                </c:pt>
                <c:pt idx="56">
                  <c:v>10525.540978763411</c:v>
                </c:pt>
                <c:pt idx="57">
                  <c:v>10736.382072292829</c:v>
                </c:pt>
                <c:pt idx="58">
                  <c:v>10946.667854826348</c:v>
                </c:pt>
                <c:pt idx="59">
                  <c:v>11156.412577764298</c:v>
                </c:pt>
                <c:pt idx="60">
                  <c:v>11365.630347966315</c:v>
                </c:pt>
                <c:pt idx="61">
                  <c:v>11574.335104666592</c:v>
                </c:pt>
                <c:pt idx="62">
                  <c:v>11782.540598853</c:v>
                </c:pt>
                <c:pt idx="63">
                  <c:v>11990.26037501389</c:v>
                </c:pt>
                <c:pt idx="64">
                  <c:v>12197.507755144885</c:v>
                </c:pt>
                <c:pt idx="65">
                  <c:v>12404.295824899331</c:v>
                </c:pt>
                <c:pt idx="66">
                  <c:v>12610.637421760039</c:v>
                </c:pt>
                <c:pt idx="67">
                  <c:v>12816.545125105982</c:v>
                </c:pt>
                <c:pt idx="68">
                  <c:v>13022.031248045972</c:v>
                </c:pt>
                <c:pt idx="69">
                  <c:v>13227.107830890982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inventories'!xdata12</c:f>
              <c:numCache>
                <c:formatCode>General</c:formatCode>
                <c:ptCount val="70"/>
                <c:pt idx="0">
                  <c:v>0</c:v>
                </c:pt>
                <c:pt idx="1">
                  <c:v>231.88405797101399</c:v>
                </c:pt>
                <c:pt idx="2">
                  <c:v>463.76811594202798</c:v>
                </c:pt>
                <c:pt idx="3">
                  <c:v>695.65217391304191</c:v>
                </c:pt>
                <c:pt idx="4">
                  <c:v>927.53623188405595</c:v>
                </c:pt>
                <c:pt idx="5">
                  <c:v>1159.42028985507</c:v>
                </c:pt>
                <c:pt idx="6">
                  <c:v>1391.3043478260838</c:v>
                </c:pt>
                <c:pt idx="7">
                  <c:v>1623.1884057970979</c:v>
                </c:pt>
                <c:pt idx="8">
                  <c:v>1855.0724637681119</c:v>
                </c:pt>
                <c:pt idx="9">
                  <c:v>2086.9565217391259</c:v>
                </c:pt>
                <c:pt idx="10">
                  <c:v>2318.84057971014</c:v>
                </c:pt>
                <c:pt idx="11">
                  <c:v>2550.724637681154</c:v>
                </c:pt>
                <c:pt idx="12">
                  <c:v>2782.6086956521676</c:v>
                </c:pt>
                <c:pt idx="13">
                  <c:v>3014.4927536231817</c:v>
                </c:pt>
                <c:pt idx="14">
                  <c:v>3246.3768115941957</c:v>
                </c:pt>
                <c:pt idx="15">
                  <c:v>3478.2608695652098</c:v>
                </c:pt>
                <c:pt idx="16">
                  <c:v>3710.1449275362238</c:v>
                </c:pt>
                <c:pt idx="17">
                  <c:v>3942.0289855072378</c:v>
                </c:pt>
                <c:pt idx="18">
                  <c:v>4173.9130434782519</c:v>
                </c:pt>
                <c:pt idx="19">
                  <c:v>4405.7971014492659</c:v>
                </c:pt>
                <c:pt idx="20">
                  <c:v>4637.68115942028</c:v>
                </c:pt>
                <c:pt idx="21">
                  <c:v>4869.565217391294</c:v>
                </c:pt>
                <c:pt idx="22">
                  <c:v>5101.4492753623081</c:v>
                </c:pt>
                <c:pt idx="23">
                  <c:v>5333.3333333333221</c:v>
                </c:pt>
                <c:pt idx="24">
                  <c:v>5565.2173913043353</c:v>
                </c:pt>
                <c:pt idx="25">
                  <c:v>5797.1014492753493</c:v>
                </c:pt>
                <c:pt idx="26">
                  <c:v>6028.9855072463633</c:v>
                </c:pt>
                <c:pt idx="27">
                  <c:v>6260.8695652173774</c:v>
                </c:pt>
                <c:pt idx="28">
                  <c:v>6492.7536231883914</c:v>
                </c:pt>
                <c:pt idx="29">
                  <c:v>6724.6376811594055</c:v>
                </c:pt>
                <c:pt idx="30">
                  <c:v>6956.5217391304195</c:v>
                </c:pt>
                <c:pt idx="31">
                  <c:v>7188.4057971014336</c:v>
                </c:pt>
                <c:pt idx="32">
                  <c:v>7420.2898550724476</c:v>
                </c:pt>
                <c:pt idx="33">
                  <c:v>7652.1739130434617</c:v>
                </c:pt>
                <c:pt idx="34">
                  <c:v>7884.0579710144757</c:v>
                </c:pt>
                <c:pt idx="35">
                  <c:v>8115.9420289854897</c:v>
                </c:pt>
                <c:pt idx="36">
                  <c:v>8347.8260869565038</c:v>
                </c:pt>
                <c:pt idx="37">
                  <c:v>8579.7101449275178</c:v>
                </c:pt>
                <c:pt idx="38">
                  <c:v>8811.5942028985319</c:v>
                </c:pt>
                <c:pt idx="39">
                  <c:v>9043.4782608695459</c:v>
                </c:pt>
                <c:pt idx="40">
                  <c:v>9275.36231884056</c:v>
                </c:pt>
                <c:pt idx="41">
                  <c:v>9507.246376811574</c:v>
                </c:pt>
                <c:pt idx="42">
                  <c:v>9739.1304347825881</c:v>
                </c:pt>
                <c:pt idx="43">
                  <c:v>9971.0144927536021</c:v>
                </c:pt>
                <c:pt idx="44">
                  <c:v>10202.898550724616</c:v>
                </c:pt>
                <c:pt idx="45">
                  <c:v>10434.78260869563</c:v>
                </c:pt>
                <c:pt idx="46">
                  <c:v>10666.666666666644</c:v>
                </c:pt>
                <c:pt idx="47">
                  <c:v>10898.550724637658</c:v>
                </c:pt>
                <c:pt idx="48">
                  <c:v>11130.434782608671</c:v>
                </c:pt>
                <c:pt idx="49">
                  <c:v>11362.318840579685</c:v>
                </c:pt>
                <c:pt idx="50">
                  <c:v>11594.202898550699</c:v>
                </c:pt>
                <c:pt idx="51">
                  <c:v>11826.086956521713</c:v>
                </c:pt>
                <c:pt idx="52">
                  <c:v>12057.971014492727</c:v>
                </c:pt>
                <c:pt idx="53">
                  <c:v>12289.855072463741</c:v>
                </c:pt>
                <c:pt idx="54">
                  <c:v>12521.739130434755</c:v>
                </c:pt>
                <c:pt idx="55">
                  <c:v>12753.623188405769</c:v>
                </c:pt>
                <c:pt idx="56">
                  <c:v>12985.507246376783</c:v>
                </c:pt>
                <c:pt idx="57">
                  <c:v>13217.391304347797</c:v>
                </c:pt>
                <c:pt idx="58">
                  <c:v>13449.275362318811</c:v>
                </c:pt>
                <c:pt idx="59">
                  <c:v>13681.159420289825</c:v>
                </c:pt>
                <c:pt idx="60">
                  <c:v>13913.043478260839</c:v>
                </c:pt>
                <c:pt idx="61">
                  <c:v>14144.927536231853</c:v>
                </c:pt>
                <c:pt idx="62">
                  <c:v>14376.811594202867</c:v>
                </c:pt>
                <c:pt idx="63">
                  <c:v>14608.695652173881</c:v>
                </c:pt>
                <c:pt idx="64">
                  <c:v>14840.579710144895</c:v>
                </c:pt>
                <c:pt idx="65">
                  <c:v>15072.463768115909</c:v>
                </c:pt>
                <c:pt idx="66">
                  <c:v>15304.347826086923</c:v>
                </c:pt>
                <c:pt idx="67">
                  <c:v>15536.231884057937</c:v>
                </c:pt>
                <c:pt idx="68">
                  <c:v>15768.115942028951</c:v>
                </c:pt>
                <c:pt idx="69">
                  <c:v>15999.999999999965</c:v>
                </c:pt>
              </c:numCache>
            </c:numRef>
          </c:xVal>
          <c:yVal>
            <c:numRef>
              <c:f>'Forest inventories'!ydata12</c:f>
              <c:numCache>
                <c:formatCode>General</c:formatCode>
                <c:ptCount val="70"/>
                <c:pt idx="0">
                  <c:v>2465.3414022932734</c:v>
                </c:pt>
                <c:pt idx="1">
                  <c:v>2676.6038182962939</c:v>
                </c:pt>
                <c:pt idx="2">
                  <c:v>2888.4466386451431</c:v>
                </c:pt>
                <c:pt idx="3">
                  <c:v>3100.8843717808404</c:v>
                </c:pt>
                <c:pt idx="4">
                  <c:v>3313.9315612734472</c:v>
                </c:pt>
                <c:pt idx="5">
                  <c:v>3527.6027502817096</c:v>
                </c:pt>
                <c:pt idx="6">
                  <c:v>3741.9124433797815</c:v>
                </c:pt>
                <c:pt idx="7">
                  <c:v>3956.8750658185595</c:v>
                </c:pt>
                <c:pt idx="8">
                  <c:v>4172.5049203266635</c:v>
                </c:pt>
                <c:pt idx="9">
                  <c:v>4388.8161415963441</c:v>
                </c:pt>
                <c:pt idx="10">
                  <c:v>4605.8226486422009</c:v>
                </c:pt>
                <c:pt idx="11">
                  <c:v>4823.538095264872</c:v>
                </c:pt>
                <c:pt idx="12">
                  <c:v>5041.9758188970536</c:v>
                </c:pt>
                <c:pt idx="13">
                  <c:v>5261.1487881543762</c:v>
                </c:pt>
                <c:pt idx="14">
                  <c:v>5481.0695494577976</c:v>
                </c:pt>
                <c:pt idx="15">
                  <c:v>5701.7501731361872</c:v>
                </c:pt>
                <c:pt idx="16">
                  <c:v>5923.202199456251</c:v>
                </c:pt>
                <c:pt idx="17">
                  <c:v>6145.4365850609411</c:v>
                </c:pt>
                <c:pt idx="18">
                  <c:v>6368.4636503254133</c:v>
                </c:pt>
                <c:pt idx="19">
                  <c:v>6592.2930281604986</c:v>
                </c:pt>
                <c:pt idx="20">
                  <c:v>6816.9336148062357</c:v>
                </c:pt>
                <c:pt idx="21">
                  <c:v>7042.3935231614378</c:v>
                </c:pt>
                <c:pt idx="22">
                  <c:v>7268.6800391887009</c:v>
                </c:pt>
                <c:pt idx="23">
                  <c:v>7495.7995819172029</c:v>
                </c:pt>
                <c:pt idx="24">
                  <c:v>7723.7576675379496</c:v>
                </c:pt>
                <c:pt idx="25">
                  <c:v>7952.5588780477829</c:v>
                </c:pt>
                <c:pt idx="26">
                  <c:v>8182.2068348500052</c:v>
                </c:pt>
                <c:pt idx="27">
                  <c:v>8412.7041776617079</c:v>
                </c:pt>
                <c:pt idx="28">
                  <c:v>8644.052549011818</c:v>
                </c:pt>
                <c:pt idx="29">
                  <c:v>8876.2525845410382</c:v>
                </c:pt>
                <c:pt idx="30">
                  <c:v>9109.3039092368635</c:v>
                </c:pt>
                <c:pt idx="31">
                  <c:v>9343.2051396555853</c:v>
                </c:pt>
                <c:pt idx="32">
                  <c:v>9577.9538921006242</c:v>
                </c:pt>
                <c:pt idx="33">
                  <c:v>9813.5467966447613</c:v>
                </c:pt>
                <c:pt idx="34">
                  <c:v>10049.979516804764</c:v>
                </c:pt>
                <c:pt idx="35">
                  <c:v>10287.246774602634</c:v>
                </c:pt>
                <c:pt idx="36">
                  <c:v>10525.342380679653</c:v>
                </c:pt>
                <c:pt idx="37">
                  <c:v>10764.25926906948</c:v>
                </c:pt>
                <c:pt idx="38">
                  <c:v>11003.989536185472</c:v>
                </c:pt>
                <c:pt idx="39">
                  <c:v>11244.524483536537</c:v>
                </c:pt>
                <c:pt idx="40">
                  <c:v>11485.854663655227</c:v>
                </c:pt>
                <c:pt idx="41">
                  <c:v>11727.969928702081</c:v>
                </c:pt>
                <c:pt idx="42">
                  <c:v>11970.859481200965</c:v>
                </c:pt>
                <c:pt idx="43">
                  <c:v>12214.511926361025</c:v>
                </c:pt>
                <c:pt idx="44">
                  <c:v>12458.915325451269</c:v>
                </c:pt>
                <c:pt idx="45">
                  <c:v>12704.057249712521</c:v>
                </c:pt>
                <c:pt idx="46">
                  <c:v>12949.924834317855</c:v>
                </c:pt>
                <c:pt idx="47">
                  <c:v>13196.504831925035</c:v>
                </c:pt>
                <c:pt idx="48">
                  <c:v>13443.783665402018</c:v>
                </c:pt>
                <c:pt idx="49">
                  <c:v>13691.747479347752</c:v>
                </c:pt>
                <c:pt idx="50">
                  <c:v>13940.382190074222</c:v>
                </c:pt>
                <c:pt idx="51">
                  <c:v>14189.673533760661</c:v>
                </c:pt>
                <c:pt idx="52">
                  <c:v>14439.607112536203</c:v>
                </c:pt>
                <c:pt idx="53">
                  <c:v>14690.168438291781</c:v>
                </c:pt>
                <c:pt idx="54">
                  <c:v>14941.342974065163</c:v>
                </c:pt>
                <c:pt idx="55">
                  <c:v>15193.116172884038</c:v>
                </c:pt>
                <c:pt idx="56">
                  <c:v>15445.473513990155</c:v>
                </c:pt>
                <c:pt idx="57">
                  <c:v>15698.400536402765</c:v>
                </c:pt>
                <c:pt idx="58">
                  <c:v>15951.882869811274</c:v>
                </c:pt>
                <c:pt idx="59">
                  <c:v>16205.906262815352</c:v>
                </c:pt>
                <c:pt idx="60">
                  <c:v>16460.456608555363</c:v>
                </c:pt>
                <c:pt idx="61">
                  <c:v>16715.519967797114</c:v>
                </c:pt>
                <c:pt idx="62">
                  <c:v>16971.082589552734</c:v>
                </c:pt>
                <c:pt idx="63">
                  <c:v>17227.130929333871</c:v>
                </c:pt>
                <c:pt idx="64">
                  <c:v>17483.651665144906</c:v>
                </c:pt>
                <c:pt idx="65">
                  <c:v>17740.631711332488</c:v>
                </c:pt>
                <c:pt idx="66">
                  <c:v>17998.058230413808</c:v>
                </c:pt>
                <c:pt idx="67">
                  <c:v>18255.918643009893</c:v>
                </c:pt>
                <c:pt idx="68">
                  <c:v>18514.20063601193</c:v>
                </c:pt>
                <c:pt idx="69">
                  <c:v>18772.892169108949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20328"/>
        <c:axId val="519017192"/>
      </c:scatterChart>
      <c:valAx>
        <c:axId val="519020328"/>
        <c:scaling>
          <c:orientation val="minMax"/>
          <c:max val="16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Pred(Incendios)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7192"/>
        <c:crosses val="autoZero"/>
        <c:crossBetween val="midCat"/>
        <c:majorUnit val="2000"/>
      </c:valAx>
      <c:valAx>
        <c:axId val="519017192"/>
        <c:scaling>
          <c:orientation val="minMax"/>
          <c:max val="16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0328"/>
        <c:crosses val="autoZero"/>
        <c:crossBetween val="midCat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Fires-trans / Standardized coefficients
(95% conf. interval)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invertIfNegative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30"/>
        <c:axId val="519021112"/>
        <c:axId val="519016408"/>
      </c:barChart>
      <c:barChart>
        <c:barDir val="col"/>
        <c:grouping val="clustered"/>
        <c:varyColors val="0"/>
        <c:ser>
          <c:idx val="0"/>
          <c:order val="0"/>
          <c:spPr>
            <a:solidFill>
              <a:srgbClr val="32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0.30496837146962452</c:v>
                </c:pt>
              </c:numLit>
            </c:plus>
            <c:minus>
              <c:numLit>
                <c:formatCode>General</c:formatCode>
                <c:ptCount val="1"/>
                <c:pt idx="0">
                  <c:v>0.30496837146962447</c:v>
                </c:pt>
              </c:numLit>
            </c:minus>
          </c:errBars>
          <c:val>
            <c:numRef>
              <c:f>'Forest inventories'!#REF!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'Forest inventories'!#REF!</c15:sqref>
                        </c15:formulaRef>
                      </c:ext>
                    </c:extLst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016800"/>
        <c:axId val="519015624"/>
      </c:barChart>
      <c:catAx>
        <c:axId val="519021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Variable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6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016408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Standardized coefficients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1112"/>
        <c:crosses val="autoZero"/>
        <c:crossBetween val="between"/>
      </c:valAx>
      <c:valAx>
        <c:axId val="5190156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19016800"/>
        <c:crosses val="max"/>
        <c:crossBetween val="between"/>
      </c:valAx>
      <c:catAx>
        <c:axId val="51901680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519015624"/>
        <c:crosses val="autoZero"/>
        <c:auto val="1"/>
        <c:lblAlgn val="ctr"/>
        <c:lblOffset val="100"/>
        <c:noMultiLvlLbl val="0"/>
      </c:catAx>
      <c:spPr>
        <a:ln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Incendios / Standardized coefficients
(95% conf. interval)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invertIfNegative val="0"/>
        </c:ser>
        <c:ser>
          <c:idx val="4"/>
          <c:order val="4"/>
          <c:invertIfNegative val="0"/>
          <c:cat>
            <c:numRef>
              <c:f>'Forest inventories'!xdata125</c:f>
              <c:numCache>
                <c:formatCode>General</c:formatCode>
                <c:ptCount val="70"/>
                <c:pt idx="0">
                  <c:v>3640708.59</c:v>
                </c:pt>
                <c:pt idx="1">
                  <c:v>4343640.3134782612</c:v>
                </c:pt>
                <c:pt idx="2">
                  <c:v>5046572.0369565217</c:v>
                </c:pt>
                <c:pt idx="3">
                  <c:v>5749503.7604347831</c:v>
                </c:pt>
                <c:pt idx="4">
                  <c:v>6452435.4839130435</c:v>
                </c:pt>
                <c:pt idx="5">
                  <c:v>7155367.2073913049</c:v>
                </c:pt>
                <c:pt idx="6">
                  <c:v>7858298.9308695663</c:v>
                </c:pt>
                <c:pt idx="7">
                  <c:v>8561230.6543478258</c:v>
                </c:pt>
                <c:pt idx="8">
                  <c:v>9264162.3778260872</c:v>
                </c:pt>
                <c:pt idx="9">
                  <c:v>9967094.1013043486</c:v>
                </c:pt>
                <c:pt idx="10">
                  <c:v>10670025.82478261</c:v>
                </c:pt>
                <c:pt idx="11">
                  <c:v>11372957.548260871</c:v>
                </c:pt>
                <c:pt idx="12">
                  <c:v>12075889.271739133</c:v>
                </c:pt>
                <c:pt idx="13">
                  <c:v>12778820.995217394</c:v>
                </c:pt>
                <c:pt idx="14">
                  <c:v>13481752.718695654</c:v>
                </c:pt>
                <c:pt idx="15">
                  <c:v>14184684.442173915</c:v>
                </c:pt>
                <c:pt idx="16">
                  <c:v>14887616.165652176</c:v>
                </c:pt>
                <c:pt idx="17">
                  <c:v>15590547.889130438</c:v>
                </c:pt>
                <c:pt idx="18">
                  <c:v>16293479.612608699</c:v>
                </c:pt>
                <c:pt idx="19">
                  <c:v>16996411.336086959</c:v>
                </c:pt>
                <c:pt idx="20">
                  <c:v>17699343.05956522</c:v>
                </c:pt>
                <c:pt idx="21">
                  <c:v>18402274.783043481</c:v>
                </c:pt>
                <c:pt idx="22">
                  <c:v>19105206.506521743</c:v>
                </c:pt>
                <c:pt idx="23">
                  <c:v>19808138.230000004</c:v>
                </c:pt>
                <c:pt idx="24">
                  <c:v>20511069.953478266</c:v>
                </c:pt>
                <c:pt idx="25">
                  <c:v>21214001.676956527</c:v>
                </c:pt>
                <c:pt idx="26">
                  <c:v>21916933.400434788</c:v>
                </c:pt>
                <c:pt idx="27">
                  <c:v>22619865.123913046</c:v>
                </c:pt>
                <c:pt idx="28">
                  <c:v>23322796.847391307</c:v>
                </c:pt>
                <c:pt idx="29">
                  <c:v>24025728.570869569</c:v>
                </c:pt>
                <c:pt idx="30">
                  <c:v>24728660.29434783</c:v>
                </c:pt>
                <c:pt idx="31">
                  <c:v>25431592.017826091</c:v>
                </c:pt>
                <c:pt idx="32">
                  <c:v>26134523.741304353</c:v>
                </c:pt>
                <c:pt idx="33">
                  <c:v>26837455.464782614</c:v>
                </c:pt>
                <c:pt idx="34">
                  <c:v>27540387.188260876</c:v>
                </c:pt>
                <c:pt idx="35">
                  <c:v>28243318.911739137</c:v>
                </c:pt>
                <c:pt idx="36">
                  <c:v>28946250.635217398</c:v>
                </c:pt>
                <c:pt idx="37">
                  <c:v>29649182.35869566</c:v>
                </c:pt>
                <c:pt idx="38">
                  <c:v>30352114.082173917</c:v>
                </c:pt>
                <c:pt idx="39">
                  <c:v>31055045.805652179</c:v>
                </c:pt>
                <c:pt idx="40">
                  <c:v>31757977.52913044</c:v>
                </c:pt>
                <c:pt idx="41">
                  <c:v>32460909.252608702</c:v>
                </c:pt>
                <c:pt idx="42">
                  <c:v>33163840.976086963</c:v>
                </c:pt>
                <c:pt idx="43">
                  <c:v>33866772.699565224</c:v>
                </c:pt>
                <c:pt idx="44">
                  <c:v>34569704.423043489</c:v>
                </c:pt>
                <c:pt idx="45">
                  <c:v>35272636.146521747</c:v>
                </c:pt>
                <c:pt idx="46">
                  <c:v>35975567.870000005</c:v>
                </c:pt>
                <c:pt idx="47">
                  <c:v>36678499.59347827</c:v>
                </c:pt>
                <c:pt idx="48">
                  <c:v>37381431.316956535</c:v>
                </c:pt>
                <c:pt idx="49">
                  <c:v>38084363.040434793</c:v>
                </c:pt>
                <c:pt idx="50">
                  <c:v>38787294.76391305</c:v>
                </c:pt>
                <c:pt idx="51">
                  <c:v>39490226.487391308</c:v>
                </c:pt>
                <c:pt idx="52">
                  <c:v>40193158.210869581</c:v>
                </c:pt>
                <c:pt idx="53">
                  <c:v>40896089.934347838</c:v>
                </c:pt>
                <c:pt idx="54">
                  <c:v>41599021.657826096</c:v>
                </c:pt>
                <c:pt idx="55">
                  <c:v>42301953.381304353</c:v>
                </c:pt>
                <c:pt idx="56">
                  <c:v>43004885.104782611</c:v>
                </c:pt>
                <c:pt idx="57">
                  <c:v>43707816.828260884</c:v>
                </c:pt>
                <c:pt idx="58">
                  <c:v>44410748.551739141</c:v>
                </c:pt>
                <c:pt idx="59">
                  <c:v>45113680.275217399</c:v>
                </c:pt>
                <c:pt idx="60">
                  <c:v>45816611.998695657</c:v>
                </c:pt>
                <c:pt idx="61">
                  <c:v>46519543.722173929</c:v>
                </c:pt>
                <c:pt idx="62">
                  <c:v>47222475.445652187</c:v>
                </c:pt>
                <c:pt idx="63">
                  <c:v>47925407.169130445</c:v>
                </c:pt>
                <c:pt idx="64">
                  <c:v>48628338.892608702</c:v>
                </c:pt>
                <c:pt idx="65">
                  <c:v>49331270.61608696</c:v>
                </c:pt>
                <c:pt idx="66">
                  <c:v>50034202.339565232</c:v>
                </c:pt>
                <c:pt idx="67">
                  <c:v>50737134.06304349</c:v>
                </c:pt>
                <c:pt idx="68">
                  <c:v>51440065.786521748</c:v>
                </c:pt>
                <c:pt idx="69">
                  <c:v>52142997.510000005</c:v>
                </c:pt>
              </c:numCache>
            </c:numRef>
          </c:cat>
          <c:val>
            <c:numRef>
              <c:f>'Forest inventories'!ydata126</c:f>
              <c:numCache>
                <c:formatCode>General</c:formatCode>
                <c:ptCount val="70"/>
                <c:pt idx="0">
                  <c:v>12.527214232771843</c:v>
                </c:pt>
                <c:pt idx="1">
                  <c:v>12.832416612652109</c:v>
                </c:pt>
                <c:pt idx="2">
                  <c:v>13.136786076639765</c:v>
                </c:pt>
                <c:pt idx="3">
                  <c:v>13.440268314472664</c:v>
                </c:pt>
                <c:pt idx="4">
                  <c:v>13.742804898196503</c:v>
                </c:pt>
                <c:pt idx="5">
                  <c:v>14.044332977755026</c:v>
                </c:pt>
                <c:pt idx="6">
                  <c:v>14.344784964882978</c:v>
                </c:pt>
                <c:pt idx="7">
                  <c:v>14.644088208497099</c:v>
                </c:pt>
                <c:pt idx="8">
                  <c:v>14.942164666069459</c:v>
                </c:pt>
                <c:pt idx="9">
                  <c:v>15.238930577053122</c:v>
                </c:pt>
                <c:pt idx="10">
                  <c:v>15.53429614635084</c:v>
                </c:pt>
                <c:pt idx="11">
                  <c:v>15.828165248101731</c:v>
                </c:pt>
                <c:pt idx="12">
                  <c:v>16.120435162724732</c:v>
                </c:pt>
                <c:pt idx="13">
                  <c:v>16.410996363189948</c:v>
                </c:pt>
                <c:pt idx="14">
                  <c:v>16.699732369841175</c:v>
                </c:pt>
                <c:pt idx="15">
                  <c:v>16.986519696660519</c:v>
                </c:pt>
                <c:pt idx="16">
                  <c:v>17.271227915468877</c:v>
                </c:pt>
                <c:pt idx="17">
                  <c:v>17.553719867918311</c:v>
                </c:pt>
                <c:pt idx="18">
                  <c:v>17.833852057862913</c:v>
                </c:pt>
                <c:pt idx="19">
                  <c:v>18.111475258274282</c:v>
                </c:pt>
                <c:pt idx="20">
                  <c:v>18.386435366653238</c:v>
                </c:pt>
                <c:pt idx="21">
                  <c:v>18.65857454013894</c:v>
                </c:pt>
                <c:pt idx="22">
                  <c:v>18.927732635451566</c:v>
                </c:pt>
                <c:pt idx="23">
                  <c:v>19.193748968714729</c:v>
                </c:pt>
                <c:pt idx="24">
                  <c:v>19.456464395599973</c:v>
                </c:pt>
                <c:pt idx="25">
                  <c:v>19.715723693040747</c:v>
                </c:pt>
                <c:pt idx="26">
                  <c:v>19.971378200518721</c:v>
                </c:pt>
                <c:pt idx="27">
                  <c:v>20.223288652966087</c:v>
                </c:pt>
                <c:pt idx="28">
                  <c:v>20.47132811086367</c:v>
                </c:pt>
                <c:pt idx="29">
                  <c:v>20.715384869148998</c:v>
                </c:pt>
                <c:pt idx="30">
                  <c:v>20.955365208584436</c:v>
                </c:pt>
                <c:pt idx="31">
                  <c:v>21.191195844756578</c:v>
                </c:pt>
                <c:pt idx="32">
                  <c:v>21.422825933676933</c:v>
                </c:pt>
                <c:pt idx="33">
                  <c:v>21.65022851042993</c:v>
                </c:pt>
                <c:pt idx="34">
                  <c:v>21.873401267946242</c:v>
                </c:pt>
                <c:pt idx="35">
                  <c:v>22.092366624143342</c:v>
                </c:pt>
                <c:pt idx="36">
                  <c:v>22.307171072923708</c:v>
                </c:pt>
                <c:pt idx="37">
                  <c:v>22.517883862307087</c:v>
                </c:pt>
                <c:pt idx="38">
                  <c:v>22.724595085650147</c:v>
                </c:pt>
                <c:pt idx="39">
                  <c:v>22.927413304756804</c:v>
                </c:pt>
                <c:pt idx="40">
                  <c:v>23.126462843707618</c:v>
                </c:pt>
                <c:pt idx="41">
                  <c:v>23.321880898524391</c:v>
                </c:pt>
                <c:pt idx="42">
                  <c:v>23.513814601411816</c:v>
                </c:pt>
                <c:pt idx="43">
                  <c:v>23.702418161864642</c:v>
                </c:pt>
                <c:pt idx="44">
                  <c:v>23.887850183806609</c:v>
                </c:pt>
                <c:pt idx="45">
                  <c:v>24.070271231680405</c:v>
                </c:pt>
                <c:pt idx="46">
                  <c:v>24.249841692161507</c:v>
                </c:pt>
                <c:pt idx="47">
                  <c:v>24.4267199542927</c:v>
                </c:pt>
                <c:pt idx="48">
                  <c:v>24.601060910825318</c:v>
                </c:pt>
                <c:pt idx="49">
                  <c:v>24.773014768085826</c:v>
                </c:pt>
                <c:pt idx="50">
                  <c:v>24.942726140784401</c:v>
                </c:pt>
                <c:pt idx="51">
                  <c:v>25.110333401418487</c:v>
                </c:pt>
                <c:pt idx="52">
                  <c:v>25.275968250615744</c:v>
                </c:pt>
                <c:pt idx="53">
                  <c:v>25.439755474133307</c:v>
                </c:pt>
                <c:pt idx="54">
                  <c:v>25.601812853528351</c:v>
                </c:pt>
                <c:pt idx="55">
                  <c:v>25.762251200074591</c:v>
                </c:pt>
                <c:pt idx="56">
                  <c:v>25.921174484777399</c:v>
                </c:pt>
                <c:pt idx="57">
                  <c:v>26.07868004092267</c:v>
                </c:pt>
                <c:pt idx="58">
                  <c:v>26.234858819184698</c:v>
                </c:pt>
                <c:pt idx="59">
                  <c:v>26.389795678720656</c:v>
                </c:pt>
                <c:pt idx="60">
                  <c:v>26.543569700776001</c:v>
                </c:pt>
                <c:pt idx="61">
                  <c:v>26.696254514059348</c:v>
                </c:pt>
                <c:pt idx="62">
                  <c:v>26.847918623499673</c:v>
                </c:pt>
                <c:pt idx="63">
                  <c:v>26.99862573598498</c:v>
                </c:pt>
                <c:pt idx="64">
                  <c:v>27.148435078326894</c:v>
                </c:pt>
                <c:pt idx="65">
                  <c:v>27.297401704037043</c:v>
                </c:pt>
                <c:pt idx="66">
                  <c:v>27.445576786577131</c:v>
                </c:pt>
                <c:pt idx="67">
                  <c:v>27.593007897595641</c:v>
                </c:pt>
                <c:pt idx="68">
                  <c:v>27.739739269326098</c:v>
                </c:pt>
                <c:pt idx="69">
                  <c:v>27.885812040828341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519013272"/>
        <c:axId val="519024640"/>
      </c:barChart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2.4130173788797284</c:v>
                </c:pt>
              </c:numLit>
            </c:plus>
            <c:minus>
              <c:numLit>
                <c:formatCode>General</c:formatCode>
                <c:ptCount val="1"/>
                <c:pt idx="0">
                  <c:v>2.4130173788797284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'Forest inventories'!#REF!</c:f>
            </c:numRef>
          </c:xVal>
          <c:yVal>
            <c:numRef>
              <c:f>'Forest inventories'!#REF!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Eucalypt biomass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28575">
              <a:noFill/>
            </a:ln>
            <a:effectLst/>
          </c:spPr>
          <c:marker>
            <c:symbol val="circle"/>
            <c:size val="3"/>
            <c:spPr>
              <a:solidFill>
                <a:srgbClr val="3266FF"/>
              </a:solidFill>
              <a:ln>
                <a:solidFill>
                  <a:srgbClr val="3266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7682566</c:v>
              </c:pt>
            </c:numLit>
          </c:xVal>
          <c:yVal>
            <c:numLit>
              <c:formatCode>General</c:formatCode>
              <c:ptCount val="1"/>
              <c:pt idx="0">
                <c:v>12.457049425727195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3640708.59</c:v>
              </c:pt>
              <c:pt idx="1">
                <c:v>52142997.510000005</c:v>
              </c:pt>
            </c:numLit>
          </c:xVal>
          <c:yVal>
            <c:numLit>
              <c:formatCode>General</c:formatCode>
              <c:ptCount val="2"/>
              <c:pt idx="0">
                <c:v>16.318525871872666</c:v>
              </c:pt>
              <c:pt idx="1">
                <c:v>31.98214887154964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19544"/>
        <c:axId val="519023856"/>
      </c:scatterChart>
      <c:catAx>
        <c:axId val="51901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Variable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9024640"/>
        <c:crosses val="autoZero"/>
        <c:auto val="1"/>
        <c:lblAlgn val="ctr"/>
        <c:lblOffset val="100"/>
        <c:tickMarkSkip val="1"/>
        <c:noMultiLvlLbl val="0"/>
      </c:catAx>
      <c:valAx>
        <c:axId val="51902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coefficients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3272"/>
        <c:crosses val="autoZero"/>
        <c:crossBetween val="between"/>
      </c:valAx>
      <c:valAx>
        <c:axId val="519023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19019544"/>
        <c:crosses val="max"/>
        <c:crossBetween val="midCat"/>
      </c:valAx>
      <c:valAx>
        <c:axId val="519019544"/>
        <c:scaling>
          <c:orientation val="minMax"/>
        </c:scaling>
        <c:delete val="0"/>
        <c:axPos val="t"/>
        <c:numFmt formatCode="0.000" sourceLinked="1"/>
        <c:majorTickMark val="out"/>
        <c:minorTickMark val="none"/>
        <c:tickLblPos val="nextTo"/>
        <c:crossAx val="519023856"/>
        <c:crosses val="max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Regression of Incendios by Eucalypt biomass (R²=0.964)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7682566</c:v>
                </c:pt>
                <c:pt idx="1">
                  <c:v>15620749</c:v>
                </c:pt>
                <c:pt idx="2">
                  <c:v>34800921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1104</c:v>
                </c:pt>
                <c:pt idx="1">
                  <c:v>2370</c:v>
                </c:pt>
                <c:pt idx="2">
                  <c:v>12934</c:v>
                </c:pt>
              </c:numCache>
            </c:numRef>
          </c:yVal>
          <c:smooth val="0"/>
        </c:ser>
        <c:ser>
          <c:idx val="1"/>
          <c:order val="1"/>
          <c:tx>
            <c:v>Model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"/>
              <c:pt idx="0">
                <c:v>7682566</c:v>
              </c:pt>
              <c:pt idx="1">
                <c:v>34800921</c:v>
              </c:pt>
            </c:numLit>
          </c:xVal>
          <c:yVal>
            <c:numLit>
              <c:formatCode>General</c:formatCode>
              <c:ptCount val="2"/>
              <c:pt idx="0">
                <c:v>124.238688026833</c:v>
              </c:pt>
              <c:pt idx="1">
                <c:v>12528.501832894801</c:v>
              </c:pt>
            </c:numLit>
          </c:yVal>
          <c:smooth val="0"/>
        </c:ser>
        <c:ser>
          <c:idx val="2"/>
          <c:order val="2"/>
          <c:tx>
            <c:v>Conf. interval (Mean 95%)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inventories'!xdata13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inventories'!ydata13</c:f>
              <c:numCache>
                <c:formatCode>General</c:formatCode>
                <c:ptCount val="70"/>
                <c:pt idx="0">
                  <c:v>-18215.760904459836</c:v>
                </c:pt>
                <c:pt idx="1">
                  <c:v>-17722.142134763733</c:v>
                </c:pt>
                <c:pt idx="2">
                  <c:v>-17233.982958369765</c:v>
                </c:pt>
                <c:pt idx="3">
                  <c:v>-16751.573413280148</c:v>
                </c:pt>
                <c:pt idx="4">
                  <c:v>-16275.218444258842</c:v>
                </c:pt>
                <c:pt idx="5">
                  <c:v>-15805.238172367935</c:v>
                </c:pt>
                <c:pt idx="6">
                  <c:v>-15341.968051301075</c:v>
                </c:pt>
                <c:pt idx="7">
                  <c:v>-14885.758884334628</c:v>
                </c:pt>
                <c:pt idx="8">
                  <c:v>-14436.976672836132</c:v>
                </c:pt>
                <c:pt idx="9">
                  <c:v>-13996.002264623157</c:v>
                </c:pt>
                <c:pt idx="10">
                  <c:v>-13563.230768264573</c:v>
                </c:pt>
                <c:pt idx="11">
                  <c:v>-13139.070697921505</c:v>
                </c:pt>
                <c:pt idx="12">
                  <c:v>-12723.942812847819</c:v>
                </c:pt>
                <c:pt idx="13">
                  <c:v>-12318.278616563424</c:v>
                </c:pt>
                <c:pt idx="14">
                  <c:v>-11922.518483362492</c:v>
                </c:pt>
                <c:pt idx="15">
                  <c:v>-11537.109384612424</c:v>
                </c:pt>
                <c:pt idx="16">
                  <c:v>-11162.502194601057</c:v>
                </c:pt>
                <c:pt idx="17">
                  <c:v>-10799.148565787878</c:v>
                </c:pt>
                <c:pt idx="18">
                  <c:v>-10447.497376369029</c:v>
                </c:pt>
                <c:pt idx="19">
                  <c:v>-10107.990769042124</c:v>
                </c:pt>
                <c:pt idx="20">
                  <c:v>-9781.0598184654118</c:v>
                </c:pt>
                <c:pt idx="21">
                  <c:v>-9467.1198855462153</c:v>
                </c:pt>
                <c:pt idx="22">
                  <c:v>-9166.5657384223668</c:v>
                </c:pt>
                <c:pt idx="23">
                  <c:v>-8879.76654153239</c:v>
                </c:pt>
                <c:pt idx="24">
                  <c:v>-8607.0608339281625</c:v>
                </c:pt>
                <c:pt idx="25">
                  <c:v>-8348.7516342016861</c:v>
                </c:pt>
                <c:pt idx="26">
                  <c:v>-8105.1018202787573</c:v>
                </c:pt>
                <c:pt idx="27">
                  <c:v>-7876.3299362522403</c:v>
                </c:pt>
                <c:pt idx="28">
                  <c:v>-7662.6065741547654</c:v>
                </c:pt>
                <c:pt idx="29">
                  <c:v>-7464.0514654794633</c:v>
                </c:pt>
                <c:pt idx="30">
                  <c:v>-7280.731395485177</c:v>
                </c:pt>
                <c:pt idx="31">
                  <c:v>-7112.6590238464114</c:v>
                </c:pt>
                <c:pt idx="32">
                  <c:v>-6959.7926598058157</c:v>
                </c:pt>
                <c:pt idx="33">
                  <c:v>-6822.0370010845463</c:v>
                </c:pt>
                <c:pt idx="34">
                  <c:v>-6699.2448062236826</c:v>
                </c:pt>
                <c:pt idx="35">
                  <c:v>-6591.2194326663312</c:v>
                </c:pt>
                <c:pt idx="36">
                  <c:v>-6497.7181403910135</c:v>
                </c:pt>
                <c:pt idx="37">
                  <c:v>-6418.4560353778406</c:v>
                </c:pt>
                <c:pt idx="38">
                  <c:v>-6353.1105099909446</c:v>
                </c:pt>
                <c:pt idx="39">
                  <c:v>-6301.326029019202</c:v>
                </c:pt>
                <c:pt idx="40">
                  <c:v>-6262.7191103460109</c:v>
                </c:pt>
                <c:pt idx="41">
                  <c:v>-6236.8833570445104</c:v>
                </c:pt>
                <c:pt idx="42">
                  <c:v>-6223.3944116476041</c:v>
                </c:pt>
                <c:pt idx="43">
                  <c:v>-6221.8147216786956</c:v>
                </c:pt>
                <c:pt idx="44">
                  <c:v>-6231.6980264464955</c:v>
                </c:pt>
                <c:pt idx="45">
                  <c:v>-6252.5934969237824</c:v>
                </c:pt>
                <c:pt idx="46">
                  <c:v>-6284.0494818155112</c:v>
                </c:pt>
                <c:pt idx="47">
                  <c:v>-6325.6168325707113</c:v>
                </c:pt>
                <c:pt idx="48">
                  <c:v>-6376.8517973473627</c:v>
                </c:pt>
                <c:pt idx="49">
                  <c:v>-6437.3184883715821</c:v>
                </c:pt>
                <c:pt idx="50">
                  <c:v>-6506.590938596315</c:v>
                </c:pt>
                <c:pt idx="51">
                  <c:v>-6584.2547721381361</c:v>
                </c:pt>
                <c:pt idx="52">
                  <c:v>-6669.9085188896115</c:v>
                </c:pt>
                <c:pt idx="53">
                  <c:v>-6763.1646073037664</c:v>
                </c:pt>
                <c:pt idx="54">
                  <c:v>-6863.6500710084329</c:v>
                </c:pt>
                <c:pt idx="55">
                  <c:v>-6971.0070050224895</c:v>
                </c:pt>
                <c:pt idx="56">
                  <c:v>-7084.8928062831874</c:v>
                </c:pt>
                <c:pt idx="57">
                  <c:v>-7204.98023128563</c:v>
                </c:pt>
                <c:pt idx="58">
                  <c:v>-7330.9573011669636</c:v>
                </c:pt>
                <c:pt idx="59">
                  <c:v>-7462.5270817730379</c:v>
                </c:pt>
                <c:pt idx="60">
                  <c:v>-7599.407363308248</c:v>
                </c:pt>
                <c:pt idx="61">
                  <c:v>-7741.3302612313855</c:v>
                </c:pt>
                <c:pt idx="62">
                  <c:v>-7888.0417572220576</c:v>
                </c:pt>
                <c:pt idx="63">
                  <c:v>-8039.3011963731406</c:v>
                </c:pt>
                <c:pt idx="64">
                  <c:v>-8194.8807543071925</c:v>
                </c:pt>
                <c:pt idx="65">
                  <c:v>-8354.5648856920488</c:v>
                </c:pt>
                <c:pt idx="66">
                  <c:v>-8518.1497636496752</c:v>
                </c:pt>
                <c:pt idx="67">
                  <c:v>-8685.4427178094447</c:v>
                </c:pt>
                <c:pt idx="68">
                  <c:v>-8856.2616772415422</c:v>
                </c:pt>
                <c:pt idx="69">
                  <c:v>-9030.434623201807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inventories'!xdata14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inventories'!ydata14</c:f>
              <c:numCache>
                <c:formatCode>General</c:formatCode>
                <c:ptCount val="70"/>
                <c:pt idx="0">
                  <c:v>18464.238280513506</c:v>
                </c:pt>
                <c:pt idx="1">
                  <c:v>18330.163370088932</c:v>
                </c:pt>
                <c:pt idx="2">
                  <c:v>18201.5480529665</c:v>
                </c:pt>
                <c:pt idx="3">
                  <c:v>18078.68236714842</c:v>
                </c:pt>
                <c:pt idx="4">
                  <c:v>17961.871257398649</c:v>
                </c:pt>
                <c:pt idx="5">
                  <c:v>17851.434844779273</c:v>
                </c:pt>
                <c:pt idx="6">
                  <c:v>17747.708582983949</c:v>
                </c:pt>
                <c:pt idx="7">
                  <c:v>17651.043275289034</c:v>
                </c:pt>
                <c:pt idx="8">
                  <c:v>17561.804923062075</c:v>
                </c:pt>
                <c:pt idx="9">
                  <c:v>17480.374374120634</c:v>
                </c:pt>
                <c:pt idx="10">
                  <c:v>17407.146737033581</c:v>
                </c:pt>
                <c:pt idx="11">
                  <c:v>17342.530525962051</c:v>
                </c:pt>
                <c:pt idx="12">
                  <c:v>17286.946500159895</c:v>
                </c:pt>
                <c:pt idx="13">
                  <c:v>17240.826163147034</c:v>
                </c:pt>
                <c:pt idx="14">
                  <c:v>17204.609889217638</c:v>
                </c:pt>
                <c:pt idx="15">
                  <c:v>17178.744649739103</c:v>
                </c:pt>
                <c:pt idx="16">
                  <c:v>17163.681318999272</c:v>
                </c:pt>
                <c:pt idx="17">
                  <c:v>17159.871549457624</c:v>
                </c:pt>
                <c:pt idx="18">
                  <c:v>17167.764219310313</c:v>
                </c:pt>
                <c:pt idx="19">
                  <c:v>17187.801471254941</c:v>
                </c:pt>
                <c:pt idx="20">
                  <c:v>17220.414379949761</c:v>
                </c:pt>
                <c:pt idx="21">
                  <c:v>17266.018306302103</c:v>
                </c:pt>
                <c:pt idx="22">
                  <c:v>17325.008018449786</c:v>
                </c:pt>
                <c:pt idx="23">
                  <c:v>17397.752680831341</c:v>
                </c:pt>
                <c:pt idx="24">
                  <c:v>17484.590832498652</c:v>
                </c:pt>
                <c:pt idx="25">
                  <c:v>17585.825492043707</c:v>
                </c:pt>
                <c:pt idx="26">
                  <c:v>17701.719537392313</c:v>
                </c:pt>
                <c:pt idx="27">
                  <c:v>17832.491512637331</c:v>
                </c:pt>
                <c:pt idx="28">
                  <c:v>17978.31200981139</c:v>
                </c:pt>
                <c:pt idx="29">
                  <c:v>18139.300760407619</c:v>
                </c:pt>
                <c:pt idx="30">
                  <c:v>18315.524549684869</c:v>
                </c:pt>
                <c:pt idx="31">
                  <c:v>18506.996037317636</c:v>
                </c:pt>
                <c:pt idx="32">
                  <c:v>18713.673532548575</c:v>
                </c:pt>
                <c:pt idx="33">
                  <c:v>18935.46173309884</c:v>
                </c:pt>
                <c:pt idx="34">
                  <c:v>19172.213397509509</c:v>
                </c:pt>
                <c:pt idx="35">
                  <c:v>19423.731883223692</c:v>
                </c:pt>
                <c:pt idx="36">
                  <c:v>19689.774450219913</c:v>
                </c:pt>
                <c:pt idx="37">
                  <c:v>19970.056204478275</c:v>
                </c:pt>
                <c:pt idx="38">
                  <c:v>20264.254538362908</c:v>
                </c:pt>
                <c:pt idx="39">
                  <c:v>20572.013916662705</c:v>
                </c:pt>
                <c:pt idx="40">
                  <c:v>20892.950857261047</c:v>
                </c:pt>
                <c:pt idx="41">
                  <c:v>21226.658963231079</c:v>
                </c:pt>
                <c:pt idx="42">
                  <c:v>21572.713877105707</c:v>
                </c:pt>
                <c:pt idx="43">
                  <c:v>21930.678046408331</c:v>
                </c:pt>
                <c:pt idx="44">
                  <c:v>22300.105210447666</c:v>
                </c:pt>
                <c:pt idx="45">
                  <c:v>22680.544540196486</c:v>
                </c:pt>
                <c:pt idx="46">
                  <c:v>23071.544384359753</c:v>
                </c:pt>
                <c:pt idx="47">
                  <c:v>23472.655594386488</c:v>
                </c:pt>
                <c:pt idx="48">
                  <c:v>23883.43441843467</c:v>
                </c:pt>
                <c:pt idx="49">
                  <c:v>24303.444968730422</c:v>
                </c:pt>
                <c:pt idx="50">
                  <c:v>24732.261278226695</c:v>
                </c:pt>
                <c:pt idx="51">
                  <c:v>25169.468971040042</c:v>
                </c:pt>
                <c:pt idx="52">
                  <c:v>25614.666577063057</c:v>
                </c:pt>
                <c:pt idx="53">
                  <c:v>26067.466524748746</c:v>
                </c:pt>
                <c:pt idx="54">
                  <c:v>26527.495847724942</c:v>
                </c:pt>
                <c:pt idx="55">
                  <c:v>26994.396641010535</c:v>
                </c:pt>
                <c:pt idx="56">
                  <c:v>27467.826301542769</c:v>
                </c:pt>
                <c:pt idx="57">
                  <c:v>27947.457585816741</c:v>
                </c:pt>
                <c:pt idx="58">
                  <c:v>28432.978514969611</c:v>
                </c:pt>
                <c:pt idx="59">
                  <c:v>28924.092154847222</c:v>
                </c:pt>
                <c:pt idx="60">
                  <c:v>29420.516295653968</c:v>
                </c:pt>
                <c:pt idx="61">
                  <c:v>29921.983052848635</c:v>
                </c:pt>
                <c:pt idx="62">
                  <c:v>30428.238408110843</c:v>
                </c:pt>
                <c:pt idx="63">
                  <c:v>30939.041706533462</c:v>
                </c:pt>
                <c:pt idx="64">
                  <c:v>31454.165123739043</c:v>
                </c:pt>
                <c:pt idx="65">
                  <c:v>31973.393114395436</c:v>
                </c:pt>
                <c:pt idx="66">
                  <c:v>32496.521851624599</c:v>
                </c:pt>
                <c:pt idx="67">
                  <c:v>33023.358665055901</c:v>
                </c:pt>
                <c:pt idx="68">
                  <c:v>33553.721483759531</c:v>
                </c:pt>
                <c:pt idx="69">
                  <c:v>34087.438288991332</c:v>
                </c:pt>
              </c:numCache>
            </c:numRef>
          </c:yVal>
          <c:smooth val="0"/>
        </c:ser>
        <c:ser>
          <c:idx val="4"/>
          <c:order val="4"/>
          <c:tx>
            <c:v>Conf. interval (Obs. 95%)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inventories'!xdata15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inventories'!ydata15</c:f>
              <c:numCache>
                <c:formatCode>General</c:formatCode>
                <c:ptCount val="100"/>
                <c:pt idx="0">
                  <c:v>-28645.362661175965</c:v>
                </c:pt>
                <c:pt idx="1">
                  <c:v>-28380.763245159491</c:v>
                </c:pt>
                <c:pt idx="2">
                  <c:v>-28118.811007341021</c:v>
                </c:pt>
                <c:pt idx="3">
                  <c:v>-27859.544215593993</c:v>
                </c:pt>
                <c:pt idx="4">
                  <c:v>-27603.001105072301</c:v>
                </c:pt>
                <c:pt idx="5">
                  <c:v>-27349.219840629954</c:v>
                </c:pt>
                <c:pt idx="6">
                  <c:v>-27098.238477753286</c:v>
                </c:pt>
                <c:pt idx="7">
                  <c:v>-26850.094922041826</c:v>
                </c:pt>
                <c:pt idx="8">
                  <c:v>-26604.826887282255</c:v>
                </c:pt>
                <c:pt idx="9">
                  <c:v>-26362.471852168826</c:v>
                </c:pt>
                <c:pt idx="10">
                  <c:v>-26123.067015732504</c:v>
                </c:pt>
                <c:pt idx="11">
                  <c:v>-25886.649251550516</c:v>
                </c:pt>
                <c:pt idx="12">
                  <c:v>-25653.255060817522</c:v>
                </c:pt>
                <c:pt idx="13">
                  <c:v>-25422.920524369019</c:v>
                </c:pt>
                <c:pt idx="14">
                  <c:v>-25195.681253757604</c:v>
                </c:pt>
                <c:pt idx="15">
                  <c:v>-24971.572341492054</c:v>
                </c:pt>
                <c:pt idx="16">
                  <c:v>-24750.628310558932</c:v>
                </c:pt>
                <c:pt idx="17">
                  <c:v>-24532.883063355701</c:v>
                </c:pt>
                <c:pt idx="18">
                  <c:v>-24318.369830173484</c:v>
                </c:pt>
                <c:pt idx="19">
                  <c:v>-24107.121117376191</c:v>
                </c:pt>
                <c:pt idx="20">
                  <c:v>-23899.168655431218</c:v>
                </c:pt>
                <c:pt idx="21">
                  <c:v>-23694.543346954299</c:v>
                </c:pt>
                <c:pt idx="22">
                  <c:v>-23493.275214938378</c:v>
                </c:pt>
                <c:pt idx="23">
                  <c:v>-23295.393351342478</c:v>
                </c:pt>
                <c:pt idx="24">
                  <c:v>-23100.925866221867</c:v>
                </c:pt>
                <c:pt idx="25">
                  <c:v>-22909.899837585413</c:v>
                </c:pt>
                <c:pt idx="26">
                  <c:v>-22722.341262169401</c:v>
                </c:pt>
                <c:pt idx="27">
                  <c:v>-22538.275007319055</c:v>
                </c:pt>
                <c:pt idx="28">
                  <c:v>-22357.724764170576</c:v>
                </c:pt>
                <c:pt idx="29">
                  <c:v>-22180.713002325861</c:v>
                </c:pt>
                <c:pt idx="30">
                  <c:v>-22007.260926210864</c:v>
                </c:pt>
                <c:pt idx="31">
                  <c:v>-21837.388433305561</c:v>
                </c:pt>
                <c:pt idx="32">
                  <c:v>-21671.114074429424</c:v>
                </c:pt>
                <c:pt idx="33">
                  <c:v>-21508.455016260461</c:v>
                </c:pt>
                <c:pt idx="34">
                  <c:v>-21349.427006259204</c:v>
                </c:pt>
                <c:pt idx="35">
                  <c:v>-21194.044340160421</c:v>
                </c:pt>
                <c:pt idx="36">
                  <c:v>-21042.319832185829</c:v>
                </c:pt>
                <c:pt idx="37">
                  <c:v>-20894.26478812009</c:v>
                </c:pt>
                <c:pt idx="38">
                  <c:v>-20749.88898138018</c:v>
                </c:pt>
                <c:pt idx="39">
                  <c:v>-20609.200632195225</c:v>
                </c:pt>
                <c:pt idx="40">
                  <c:v>-20472.206389999152</c:v>
                </c:pt>
                <c:pt idx="41">
                  <c:v>-20338.911319123927</c:v>
                </c:pt>
                <c:pt idx="42">
                  <c:v>-20209.318887864698</c:v>
                </c:pt>
                <c:pt idx="43">
                  <c:v>-20083.430960971902</c:v>
                </c:pt>
                <c:pt idx="44">
                  <c:v>-19961.247795608077</c:v>
                </c:pt>
                <c:pt idx="45">
                  <c:v>-19842.768040789979</c:v>
                </c:pt>
                <c:pt idx="46">
                  <c:v>-19727.98874031864</c:v>
                </c:pt>
                <c:pt idx="47">
                  <c:v>-19616.905339182718</c:v>
                </c:pt>
                <c:pt idx="48">
                  <c:v>-19509.511693402677</c:v>
                </c:pt>
                <c:pt idx="49">
                  <c:v>-19405.800083266407</c:v>
                </c:pt>
                <c:pt idx="50">
                  <c:v>-19305.761229889878</c:v>
                </c:pt>
                <c:pt idx="51">
                  <c:v>-19209.384315020492</c:v>
                </c:pt>
                <c:pt idx="52">
                  <c:v>-19116.657003985132</c:v>
                </c:pt>
                <c:pt idx="53">
                  <c:v>-19027.565471670561</c:v>
                </c:pt>
                <c:pt idx="54">
                  <c:v>-18942.09443141006</c:v>
                </c:pt>
                <c:pt idx="55">
                  <c:v>-18860.227166637829</c:v>
                </c:pt>
                <c:pt idx="56">
                  <c:v>-18781.945565161226</c:v>
                </c:pt>
                <c:pt idx="57">
                  <c:v>-18707.230155890968</c:v>
                </c:pt>
                <c:pt idx="58">
                  <c:v>-18636.060147860524</c:v>
                </c:pt>
                <c:pt idx="59">
                  <c:v>-18568.413471358639</c:v>
                </c:pt>
                <c:pt idx="60">
                  <c:v>-18504.266820992794</c:v>
                </c:pt>
                <c:pt idx="61">
                  <c:v>-18443.595700496753</c:v>
                </c:pt>
                <c:pt idx="62">
                  <c:v>-18386.374469092138</c:v>
                </c:pt>
                <c:pt idx="63">
                  <c:v>-18332.576389211965</c:v>
                </c:pt>
                <c:pt idx="64">
                  <c:v>-18282.173675393569</c:v>
                </c:pt>
                <c:pt idx="65">
                  <c:v>-18235.137544148933</c:v>
                </c:pt>
                <c:pt idx="66">
                  <c:v>-18191.438264622302</c:v>
                </c:pt>
                <c:pt idx="67">
                  <c:v>-18151.045209848264</c:v>
                </c:pt>
                <c:pt idx="68">
                  <c:v>-18113.926908427162</c:v>
                </c:pt>
                <c:pt idx="69">
                  <c:v>-18080.051096440158</c:v>
                </c:pt>
                <c:pt idx="70">
                  <c:v>-18049.384769432101</c:v>
                </c:pt>
                <c:pt idx="71">
                  <c:v>-18021.894234297044</c:v>
                </c:pt>
                <c:pt idx="72">
                  <c:v>-17997.545160909001</c:v>
                </c:pt>
                <c:pt idx="73">
                  <c:v>-17976.302633348252</c:v>
                </c:pt>
                <c:pt idx="74">
                  <c:v>-17958.131200582389</c:v>
                </c:pt>
                <c:pt idx="75">
                  <c:v>-17942.994926470114</c:v>
                </c:pt>
                <c:pt idx="76">
                  <c:v>-17930.85743896514</c:v>
                </c:pt>
                <c:pt idx="77">
                  <c:v>-17921.681978406967</c:v>
                </c:pt>
                <c:pt idx="78">
                  <c:v>-17915.431444795144</c:v>
                </c:pt>
                <c:pt idx="79">
                  <c:v>-17912.068443952976</c:v>
                </c:pt>
                <c:pt idx="80">
                  <c:v>-17911.55533249658</c:v>
                </c:pt>
                <c:pt idx="81">
                  <c:v>-17913.854261534641</c:v>
                </c:pt>
                <c:pt idx="82">
                  <c:v>-17918.927219033441</c:v>
                </c:pt>
                <c:pt idx="83">
                  <c:v>-17926.736070791136</c:v>
                </c:pt>
                <c:pt idx="84">
                  <c:v>-17937.242599973928</c:v>
                </c:pt>
                <c:pt idx="85">
                  <c:v>-17950.408545175458</c:v>
                </c:pt>
                <c:pt idx="86">
                  <c:v>-17966.195636968871</c:v>
                </c:pt>
                <c:pt idx="87">
                  <c:v>-17984.565632928792</c:v>
                </c:pt>
                <c:pt idx="88">
                  <c:v>-18005.480351108003</c:v>
                </c:pt>
                <c:pt idx="89">
                  <c:v>-18028.901701960269</c:v>
                </c:pt>
                <c:pt idx="90">
                  <c:v>-18054.791718707624</c:v>
                </c:pt>
                <c:pt idx="91">
                  <c:v>-18083.112586156192</c:v>
                </c:pt>
                <c:pt idx="92">
                  <c:v>-18113.826667970348</c:v>
                </c:pt>
                <c:pt idx="93">
                  <c:v>-18146.896532420174</c:v>
                </c:pt>
                <c:pt idx="94">
                  <c:v>-18182.284976621704</c:v>
                </c:pt>
                <c:pt idx="95">
                  <c:v>-18219.955049293862</c:v>
                </c:pt>
                <c:pt idx="96">
                  <c:v>-18259.870072059635</c:v>
                </c:pt>
                <c:pt idx="97">
                  <c:v>-18301.993659322445</c:v>
                </c:pt>
                <c:pt idx="98">
                  <c:v>-18346.28973675166</c:v>
                </c:pt>
                <c:pt idx="99">
                  <c:v>-18392.722558413723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inventories'!xdata16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inventories'!ydata16</c:f>
              <c:numCache>
                <c:formatCode>General</c:formatCode>
                <c:ptCount val="100"/>
                <c:pt idx="0">
                  <c:v>28893.840037229635</c:v>
                </c:pt>
                <c:pt idx="1">
                  <c:v>28879.831795856953</c:v>
                </c:pt>
                <c:pt idx="2">
                  <c:v>28868.470732682283</c:v>
                </c:pt>
                <c:pt idx="3">
                  <c:v>28859.795115579054</c:v>
                </c:pt>
                <c:pt idx="4">
                  <c:v>28853.843179701154</c:v>
                </c:pt>
                <c:pt idx="5">
                  <c:v>28850.653089902607</c:v>
                </c:pt>
                <c:pt idx="6">
                  <c:v>28850.262901669739</c:v>
                </c:pt>
                <c:pt idx="7">
                  <c:v>28852.710520602071</c:v>
                </c:pt>
                <c:pt idx="8">
                  <c:v>28858.033660486301</c:v>
                </c:pt>
                <c:pt idx="9">
                  <c:v>28866.269800016664</c:v>
                </c:pt>
                <c:pt idx="10">
                  <c:v>28877.456138224141</c:v>
                </c:pt>
                <c:pt idx="11">
                  <c:v>28891.629548685953</c:v>
                </c:pt>
                <c:pt idx="12">
                  <c:v>28908.826532596751</c:v>
                </c:pt>
                <c:pt idx="13">
                  <c:v>28929.083170792048</c:v>
                </c:pt>
                <c:pt idx="14">
                  <c:v>28952.435074824432</c:v>
                </c:pt>
                <c:pt idx="15">
                  <c:v>28978.917337202674</c:v>
                </c:pt>
                <c:pt idx="16">
                  <c:v>29008.564480913352</c:v>
                </c:pt>
                <c:pt idx="17">
                  <c:v>29041.410408353921</c:v>
                </c:pt>
                <c:pt idx="18">
                  <c:v>29077.488349815496</c:v>
                </c:pt>
                <c:pt idx="19">
                  <c:v>29116.830811662003</c:v>
                </c:pt>
                <c:pt idx="20">
                  <c:v>29159.469524360829</c:v>
                </c:pt>
                <c:pt idx="21">
                  <c:v>29205.435390527702</c:v>
                </c:pt>
                <c:pt idx="22">
                  <c:v>29254.758433155581</c:v>
                </c:pt>
                <c:pt idx="23">
                  <c:v>29307.467744203481</c:v>
                </c:pt>
                <c:pt idx="24">
                  <c:v>29363.591433726662</c:v>
                </c:pt>
                <c:pt idx="25">
                  <c:v>29423.156579734008</c:v>
                </c:pt>
                <c:pt idx="26">
                  <c:v>29486.189178961788</c:v>
                </c:pt>
                <c:pt idx="27">
                  <c:v>29552.714098755241</c:v>
                </c:pt>
                <c:pt idx="28">
                  <c:v>29622.755030250555</c:v>
                </c:pt>
                <c:pt idx="29">
                  <c:v>29696.33444304964</c:v>
                </c:pt>
                <c:pt idx="30">
                  <c:v>29773.473541578442</c:v>
                </c:pt>
                <c:pt idx="31">
                  <c:v>29854.192223316939</c:v>
                </c:pt>
                <c:pt idx="32">
                  <c:v>29938.509039084594</c:v>
                </c:pt>
                <c:pt idx="33">
                  <c:v>30026.441155559431</c:v>
                </c:pt>
                <c:pt idx="34">
                  <c:v>30118.004320201966</c:v>
                </c:pt>
                <c:pt idx="35">
                  <c:v>30213.212828746982</c:v>
                </c:pt>
                <c:pt idx="36">
                  <c:v>30312.07949541619</c:v>
                </c:pt>
                <c:pt idx="37">
                  <c:v>30414.615625994244</c:v>
                </c:pt>
                <c:pt idx="38">
                  <c:v>30520.830993898133</c:v>
                </c:pt>
                <c:pt idx="39">
                  <c:v>30630.733819356978</c:v>
                </c:pt>
                <c:pt idx="40">
                  <c:v>30744.330751804697</c:v>
                </c:pt>
                <c:pt idx="41">
                  <c:v>30861.626855573271</c:v>
                </c:pt>
                <c:pt idx="42">
                  <c:v>30982.625598957842</c:v>
                </c:pt>
                <c:pt idx="43">
                  <c:v>31107.328846708839</c:v>
                </c:pt>
                <c:pt idx="44">
                  <c:v>31235.736855988813</c:v>
                </c:pt>
                <c:pt idx="45">
                  <c:v>31367.848275814507</c:v>
                </c:pt>
                <c:pt idx="46">
                  <c:v>31503.660149986968</c:v>
                </c:pt>
                <c:pt idx="47">
                  <c:v>31643.167923494846</c:v>
                </c:pt>
                <c:pt idx="48">
                  <c:v>31786.365452358597</c:v>
                </c:pt>
                <c:pt idx="49">
                  <c:v>31933.245016866127</c:v>
                </c:pt>
                <c:pt idx="50">
                  <c:v>32083.797338133398</c:v>
                </c:pt>
                <c:pt idx="51">
                  <c:v>32238.011597907811</c:v>
                </c:pt>
                <c:pt idx="52">
                  <c:v>32395.875461516243</c:v>
                </c:pt>
                <c:pt idx="53">
                  <c:v>32557.375103845465</c:v>
                </c:pt>
                <c:pt idx="54">
                  <c:v>32722.495238228763</c:v>
                </c:pt>
                <c:pt idx="55">
                  <c:v>32891.219148100332</c:v>
                </c:pt>
                <c:pt idx="56">
                  <c:v>33063.528721267525</c:v>
                </c:pt>
                <c:pt idx="57">
                  <c:v>33239.404486641062</c:v>
                </c:pt>
                <c:pt idx="58">
                  <c:v>33418.825653254418</c:v>
                </c:pt>
                <c:pt idx="59">
                  <c:v>33601.770151396333</c:v>
                </c:pt>
                <c:pt idx="60">
                  <c:v>33788.21467567428</c:v>
                </c:pt>
                <c:pt idx="61">
                  <c:v>33978.134729822035</c:v>
                </c:pt>
                <c:pt idx="62">
                  <c:v>34171.504673061216</c:v>
                </c:pt>
                <c:pt idx="63">
                  <c:v>34368.297767824843</c:v>
                </c:pt>
                <c:pt idx="64">
                  <c:v>34568.486228650247</c:v>
                </c:pt>
                <c:pt idx="65">
                  <c:v>34772.041272049406</c:v>
                </c:pt>
                <c:pt idx="66">
                  <c:v>34978.933167166571</c:v>
                </c:pt>
                <c:pt idx="67">
                  <c:v>35189.131287036333</c:v>
                </c:pt>
                <c:pt idx="68">
                  <c:v>35402.604160259027</c:v>
                </c:pt>
                <c:pt idx="69">
                  <c:v>35619.319522915815</c:v>
                </c:pt>
                <c:pt idx="70">
                  <c:v>35839.244370551554</c:v>
                </c:pt>
                <c:pt idx="71">
                  <c:v>36062.345010060293</c:v>
                </c:pt>
                <c:pt idx="72">
                  <c:v>36288.587111316054</c:v>
                </c:pt>
                <c:pt idx="73">
                  <c:v>36517.935758399093</c:v>
                </c:pt>
                <c:pt idx="74">
                  <c:v>36750.35550027703</c:v>
                </c:pt>
                <c:pt idx="75">
                  <c:v>36985.810400808557</c:v>
                </c:pt>
                <c:pt idx="76">
                  <c:v>37224.264087947377</c:v>
                </c:pt>
                <c:pt idx="77">
                  <c:v>37465.679802033002</c:v>
                </c:pt>
                <c:pt idx="78">
                  <c:v>37710.020443064976</c:v>
                </c:pt>
                <c:pt idx="79">
                  <c:v>37957.248616866607</c:v>
                </c:pt>
                <c:pt idx="80">
                  <c:v>38207.326680054008</c:v>
                </c:pt>
                <c:pt idx="81">
                  <c:v>38460.216783735857</c:v>
                </c:pt>
                <c:pt idx="82">
                  <c:v>38715.880915878457</c:v>
                </c:pt>
                <c:pt idx="83">
                  <c:v>38974.280942279955</c:v>
                </c:pt>
                <c:pt idx="84">
                  <c:v>39235.378646106539</c:v>
                </c:pt>
                <c:pt idx="85">
                  <c:v>39499.135765951869</c:v>
                </c:pt>
                <c:pt idx="86">
                  <c:v>39765.514032389081</c:v>
                </c:pt>
                <c:pt idx="87">
                  <c:v>40034.475202992806</c:v>
                </c:pt>
                <c:pt idx="88">
                  <c:v>40305.981095815805</c:v>
                </c:pt>
                <c:pt idx="89">
                  <c:v>40579.993621311864</c:v>
                </c:pt>
                <c:pt idx="90">
                  <c:v>40856.474812703018</c:v>
                </c:pt>
                <c:pt idx="91">
                  <c:v>41135.38685479539</c:v>
                </c:pt>
                <c:pt idx="92">
                  <c:v>41416.692111253346</c:v>
                </c:pt>
                <c:pt idx="93">
                  <c:v>41700.353150346957</c:v>
                </c:pt>
                <c:pt idx="94">
                  <c:v>41986.33276919229</c:v>
                </c:pt>
                <c:pt idx="95">
                  <c:v>42274.594016508243</c:v>
                </c:pt>
                <c:pt idx="96">
                  <c:v>42565.100213917816</c:v>
                </c:pt>
                <c:pt idx="97">
                  <c:v>42857.814975824411</c:v>
                </c:pt>
                <c:pt idx="98">
                  <c:v>43152.702227897433</c:v>
                </c:pt>
                <c:pt idx="99">
                  <c:v>43449.726224203288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14448"/>
        <c:axId val="519024248"/>
      </c:scatterChart>
      <c:valAx>
        <c:axId val="519014448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Eucalypt biomass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4248"/>
        <c:crosses val="autoZero"/>
        <c:crossBetween val="midCat"/>
      </c:valAx>
      <c:valAx>
        <c:axId val="519024248"/>
        <c:scaling>
          <c:orientation val="minMax"/>
          <c:max val="50000"/>
          <c:min val="-30000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4448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Standardized residuals / Eucalypt biomass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7682566</c:v>
                </c:pt>
                <c:pt idx="1">
                  <c:v>15620749</c:v>
                </c:pt>
                <c:pt idx="2">
                  <c:v>34800921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0.56162645888342844</c:v>
                </c:pt>
                <c:pt idx="1">
                  <c:v>-0.79406929663580172</c:v>
                </c:pt>
                <c:pt idx="2">
                  <c:v>0.23244283775237515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14056"/>
        <c:axId val="519014840"/>
      </c:scatterChart>
      <c:valAx>
        <c:axId val="519014056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Eucalypt biomass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4840"/>
        <c:crosses val="autoZero"/>
        <c:crossBetween val="midCat"/>
      </c:valAx>
      <c:valAx>
        <c:axId val="519014840"/>
        <c:scaling>
          <c:orientation val="minMax"/>
          <c:max val="0.60000000000000009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4056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Incendios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1104</c:v>
                </c:pt>
                <c:pt idx="1">
                  <c:v>2370</c:v>
                </c:pt>
                <c:pt idx="2">
                  <c:v>12934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0.56162645888342844</c:v>
                </c:pt>
                <c:pt idx="1">
                  <c:v>-0.79406929663580172</c:v>
                </c:pt>
                <c:pt idx="2">
                  <c:v>0.23244283775237515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22680"/>
        <c:axId val="519019152"/>
      </c:scatterChart>
      <c:valAx>
        <c:axId val="519022680"/>
        <c:scaling>
          <c:orientation val="minMax"/>
          <c:max val="14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9152"/>
        <c:crosses val="autoZero"/>
        <c:crossBetween val="midCat"/>
      </c:valAx>
      <c:valAx>
        <c:axId val="519019152"/>
        <c:scaling>
          <c:orientation val="minMax"/>
          <c:max val="0.60000000000000009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2680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Pred(Incendios)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124.23868802683262</c:v>
                </c:pt>
                <c:pt idx="1">
                  <c:v>3755.2594790783978</c:v>
                </c:pt>
                <c:pt idx="2">
                  <c:v>12528.501832894766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0.56162645888342844</c:v>
                </c:pt>
                <c:pt idx="1">
                  <c:v>-0.79406929663580172</c:v>
                </c:pt>
                <c:pt idx="2">
                  <c:v>0.23244283775237515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28168"/>
        <c:axId val="519036400"/>
      </c:scatterChart>
      <c:valAx>
        <c:axId val="519028168"/>
        <c:scaling>
          <c:orientation val="minMax"/>
          <c:max val="14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Pred(Incendios)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6400"/>
        <c:crosses val="autoZero"/>
        <c:crossBetween val="midCat"/>
      </c:valAx>
      <c:valAx>
        <c:axId val="519036400"/>
        <c:scaling>
          <c:orientation val="minMax"/>
          <c:max val="0.60000000000000009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8168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Pred(Incendios) / Incendios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124.23868802683262</c:v>
                </c:pt>
                <c:pt idx="1">
                  <c:v>3755.2594790783978</c:v>
                </c:pt>
                <c:pt idx="2">
                  <c:v>12528.501832894766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1104</c:v>
                </c:pt>
                <c:pt idx="1">
                  <c:v>2370</c:v>
                </c:pt>
                <c:pt idx="2">
                  <c:v>12934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14000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14000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inventories'!xdata17</c:f>
              <c:numCache>
                <c:formatCode>General</c:formatCode>
                <c:ptCount val="70"/>
                <c:pt idx="0">
                  <c:v>0</c:v>
                </c:pt>
                <c:pt idx="1">
                  <c:v>202.898550724638</c:v>
                </c:pt>
                <c:pt idx="2">
                  <c:v>405.797101449276</c:v>
                </c:pt>
                <c:pt idx="3">
                  <c:v>608.69565217391403</c:v>
                </c:pt>
                <c:pt idx="4">
                  <c:v>811.594202898552</c:v>
                </c:pt>
                <c:pt idx="5">
                  <c:v>1014.49275362319</c:v>
                </c:pt>
                <c:pt idx="6">
                  <c:v>1217.3913043478281</c:v>
                </c:pt>
                <c:pt idx="7">
                  <c:v>1420.289855072466</c:v>
                </c:pt>
                <c:pt idx="8">
                  <c:v>1623.188405797104</c:v>
                </c:pt>
                <c:pt idx="9">
                  <c:v>1826.086956521742</c:v>
                </c:pt>
                <c:pt idx="10">
                  <c:v>2028.9855072463799</c:v>
                </c:pt>
                <c:pt idx="11">
                  <c:v>2231.8840579710181</c:v>
                </c:pt>
                <c:pt idx="12">
                  <c:v>2434.7826086956561</c:v>
                </c:pt>
                <c:pt idx="13">
                  <c:v>2637.6811594202941</c:v>
                </c:pt>
                <c:pt idx="14">
                  <c:v>2840.5797101449321</c:v>
                </c:pt>
                <c:pt idx="15">
                  <c:v>3043.47826086957</c:v>
                </c:pt>
                <c:pt idx="16">
                  <c:v>3246.376811594208</c:v>
                </c:pt>
                <c:pt idx="17">
                  <c:v>3449.275362318846</c:v>
                </c:pt>
                <c:pt idx="18">
                  <c:v>3652.1739130434839</c:v>
                </c:pt>
                <c:pt idx="19">
                  <c:v>3855.0724637681219</c:v>
                </c:pt>
                <c:pt idx="20">
                  <c:v>4057.9710144927599</c:v>
                </c:pt>
                <c:pt idx="21">
                  <c:v>4260.8695652173983</c:v>
                </c:pt>
                <c:pt idx="22">
                  <c:v>4463.7681159420363</c:v>
                </c:pt>
                <c:pt idx="23">
                  <c:v>4666.6666666666742</c:v>
                </c:pt>
                <c:pt idx="24">
                  <c:v>4869.5652173913122</c:v>
                </c:pt>
                <c:pt idx="25">
                  <c:v>5072.4637681159502</c:v>
                </c:pt>
                <c:pt idx="26">
                  <c:v>5275.3623188405882</c:v>
                </c:pt>
                <c:pt idx="27">
                  <c:v>5478.2608695652261</c:v>
                </c:pt>
                <c:pt idx="28">
                  <c:v>5681.1594202898641</c:v>
                </c:pt>
                <c:pt idx="29">
                  <c:v>5884.0579710145021</c:v>
                </c:pt>
                <c:pt idx="30">
                  <c:v>6086.95652173914</c:v>
                </c:pt>
                <c:pt idx="31">
                  <c:v>6289.855072463778</c:v>
                </c:pt>
                <c:pt idx="32">
                  <c:v>6492.753623188416</c:v>
                </c:pt>
                <c:pt idx="33">
                  <c:v>6695.652173913054</c:v>
                </c:pt>
                <c:pt idx="34">
                  <c:v>6898.5507246376919</c:v>
                </c:pt>
                <c:pt idx="35">
                  <c:v>7101.4492753623299</c:v>
                </c:pt>
                <c:pt idx="36">
                  <c:v>7304.3478260869679</c:v>
                </c:pt>
                <c:pt idx="37">
                  <c:v>7507.2463768116058</c:v>
                </c:pt>
                <c:pt idx="38">
                  <c:v>7710.1449275362438</c:v>
                </c:pt>
                <c:pt idx="39">
                  <c:v>7913.0434782608818</c:v>
                </c:pt>
                <c:pt idx="40">
                  <c:v>8115.9420289855198</c:v>
                </c:pt>
                <c:pt idx="41">
                  <c:v>8318.8405797101586</c:v>
                </c:pt>
                <c:pt idx="42">
                  <c:v>8521.7391304347966</c:v>
                </c:pt>
                <c:pt idx="43">
                  <c:v>8724.6376811594346</c:v>
                </c:pt>
                <c:pt idx="44">
                  <c:v>8927.5362318840725</c:v>
                </c:pt>
                <c:pt idx="45">
                  <c:v>9130.4347826087105</c:v>
                </c:pt>
                <c:pt idx="46">
                  <c:v>9333.3333333333485</c:v>
                </c:pt>
                <c:pt idx="47">
                  <c:v>9536.2318840579865</c:v>
                </c:pt>
                <c:pt idx="48">
                  <c:v>9739.1304347826244</c:v>
                </c:pt>
                <c:pt idx="49">
                  <c:v>9942.0289855072624</c:v>
                </c:pt>
                <c:pt idx="50">
                  <c:v>10144.9275362319</c:v>
                </c:pt>
                <c:pt idx="51">
                  <c:v>10347.826086956538</c:v>
                </c:pt>
                <c:pt idx="52">
                  <c:v>10550.724637681176</c:v>
                </c:pt>
                <c:pt idx="53">
                  <c:v>10753.623188405814</c:v>
                </c:pt>
                <c:pt idx="54">
                  <c:v>10956.521739130452</c:v>
                </c:pt>
                <c:pt idx="55">
                  <c:v>11159.42028985509</c:v>
                </c:pt>
                <c:pt idx="56">
                  <c:v>11362.318840579728</c:v>
                </c:pt>
                <c:pt idx="57">
                  <c:v>11565.217391304366</c:v>
                </c:pt>
                <c:pt idx="58">
                  <c:v>11768.115942029004</c:v>
                </c:pt>
                <c:pt idx="59">
                  <c:v>11971.014492753642</c:v>
                </c:pt>
                <c:pt idx="60">
                  <c:v>12173.91304347828</c:v>
                </c:pt>
                <c:pt idx="61">
                  <c:v>12376.811594202918</c:v>
                </c:pt>
                <c:pt idx="62">
                  <c:v>12579.710144927556</c:v>
                </c:pt>
                <c:pt idx="63">
                  <c:v>12782.608695652194</c:v>
                </c:pt>
                <c:pt idx="64">
                  <c:v>12985.507246376832</c:v>
                </c:pt>
                <c:pt idx="65">
                  <c:v>13188.40579710147</c:v>
                </c:pt>
                <c:pt idx="66">
                  <c:v>13391.304347826108</c:v>
                </c:pt>
                <c:pt idx="67">
                  <c:v>13594.202898550746</c:v>
                </c:pt>
                <c:pt idx="68">
                  <c:v>13797.101449275384</c:v>
                </c:pt>
                <c:pt idx="69">
                  <c:v>14000.000000000022</c:v>
                </c:pt>
              </c:numCache>
            </c:numRef>
          </c:xVal>
          <c:yVal>
            <c:numRef>
              <c:f>'Forest inventories'!ydata17</c:f>
              <c:numCache>
                <c:formatCode>General</c:formatCode>
                <c:ptCount val="70"/>
                <c:pt idx="0">
                  <c:v>-28910.306218024361</c:v>
                </c:pt>
                <c:pt idx="1">
                  <c:v>-28478.941404979218</c:v>
                </c:pt>
                <c:pt idx="2">
                  <c:v>-28054.481002684395</c:v>
                </c:pt>
                <c:pt idx="3">
                  <c:v>-27637.087487615267</c:v>
                </c:pt>
                <c:pt idx="4">
                  <c:v>-27226.923045535172</c:v>
                </c:pt>
                <c:pt idx="5">
                  <c:v>-26824.149143868501</c:v>
                </c:pt>
                <c:pt idx="6">
                  <c:v>-26428.926077867698</c:v>
                </c:pt>
                <c:pt idx="7">
                  <c:v>-26041.412491922572</c:v>
                </c:pt>
                <c:pt idx="8">
                  <c:v>-25661.764877781399</c:v>
                </c:pt>
                <c:pt idx="9">
                  <c:v>-25290.137051892812</c:v>
                </c:pt>
                <c:pt idx="10">
                  <c:v>-24926.679614529465</c:v>
                </c:pt>
                <c:pt idx="11">
                  <c:v>-24571.539393809824</c:v>
                </c:pt>
                <c:pt idx="12">
                  <c:v>-24224.858878184397</c:v>
                </c:pt>
                <c:pt idx="13">
                  <c:v>-23886.775641385728</c:v>
                </c:pt>
                <c:pt idx="14">
                  <c:v>-23557.421764247436</c:v>
                </c:pt>
                <c:pt idx="15">
                  <c:v>-23236.92325816294</c:v>
                </c:pt>
                <c:pt idx="16">
                  <c:v>-22925.399495268484</c:v>
                </c:pt>
                <c:pt idx="17">
                  <c:v>-22622.962650684563</c:v>
                </c:pt>
                <c:pt idx="18">
                  <c:v>-22329.717162324552</c:v>
                </c:pt>
                <c:pt idx="19">
                  <c:v>-22045.759213867754</c:v>
                </c:pt>
                <c:pt idx="20">
                  <c:v>-21771.176246489573</c:v>
                </c:pt>
                <c:pt idx="21">
                  <c:v>-21506.04650483538</c:v>
                </c:pt>
                <c:pt idx="22">
                  <c:v>-21250.438622515314</c:v>
                </c:pt>
                <c:pt idx="23">
                  <c:v>-21004.41125208178</c:v>
                </c:pt>
                <c:pt idx="24">
                  <c:v>-20768.012744033433</c:v>
                </c:pt>
                <c:pt idx="25">
                  <c:v>-20541.280878873036</c:v>
                </c:pt>
                <c:pt idx="26">
                  <c:v>-20324.242655641545</c:v>
                </c:pt>
                <c:pt idx="27">
                  <c:v>-20116.9141396675</c:v>
                </c:pt>
                <c:pt idx="28">
                  <c:v>-19919.300371524834</c:v>
                </c:pt>
                <c:pt idx="29">
                  <c:v>-19731.395338398906</c:v>
                </c:pt>
                <c:pt idx="30">
                  <c:v>-19553.182008239666</c:v>
                </c:pt>
                <c:pt idx="31">
                  <c:v>-19384.63242625014</c:v>
                </c:pt>
                <c:pt idx="32">
                  <c:v>-19225.707872439172</c:v>
                </c:pt>
                <c:pt idx="33">
                  <c:v>-19076.359078177622</c:v>
                </c:pt>
                <c:pt idx="34">
                  <c:v>-18936.526498955929</c:v>
                </c:pt>
                <c:pt idx="35">
                  <c:v>-18806.140639864283</c:v>
                </c:pt>
                <c:pt idx="36">
                  <c:v>-18685.12242971866</c:v>
                </c:pt>
                <c:pt idx="37">
                  <c:v>-18573.383639248339</c:v>
                </c:pt>
                <c:pt idx="38">
                  <c:v>-18470.827338350999</c:v>
                </c:pt>
                <c:pt idx="39">
                  <c:v>-18377.34838711561</c:v>
                </c:pt>
                <c:pt idx="40">
                  <c:v>-18292.833955113034</c:v>
                </c:pt>
                <c:pt idx="41">
                  <c:v>-18217.164063357235</c:v>
                </c:pt>
                <c:pt idx="42">
                  <c:v>-18150.212143344106</c:v>
                </c:pt>
                <c:pt idx="43">
                  <c:v>-18091.845607671075</c:v>
                </c:pt>
                <c:pt idx="44">
                  <c:v>-18041.926426922539</c:v>
                </c:pt>
                <c:pt idx="45">
                  <c:v>-18000.311707761775</c:v>
                </c:pt>
                <c:pt idx="46">
                  <c:v>-17966.854267488816</c:v>
                </c:pt>
                <c:pt idx="47">
                  <c:v>-17941.403200693509</c:v>
                </c:pt>
                <c:pt idx="48">
                  <c:v>-17923.80443404134</c:v>
                </c:pt>
                <c:pt idx="49">
                  <c:v>-17913.901265665016</c:v>
                </c:pt>
                <c:pt idx="50">
                  <c:v>-17911.53488608537</c:v>
                </c:pt>
                <c:pt idx="51">
                  <c:v>-17916.544878040637</c:v>
                </c:pt>
                <c:pt idx="52">
                  <c:v>-17928.769693054361</c:v>
                </c:pt>
                <c:pt idx="53">
                  <c:v>-17948.047103010467</c:v>
                </c:pt>
                <c:pt idx="54">
                  <c:v>-17974.214625422843</c:v>
                </c:pt>
                <c:pt idx="55">
                  <c:v>-18007.109921480518</c:v>
                </c:pt>
                <c:pt idx="56">
                  <c:v>-18046.571166313894</c:v>
                </c:pt>
                <c:pt idx="57">
                  <c:v>-18092.437391259442</c:v>
                </c:pt>
                <c:pt idx="58">
                  <c:v>-18144.548798198346</c:v>
                </c:pt>
                <c:pt idx="59">
                  <c:v>-18202.747046307064</c:v>
                </c:pt>
                <c:pt idx="60">
                  <c:v>-18266.875511785947</c:v>
                </c:pt>
                <c:pt idx="61">
                  <c:v>-18336.77952132541</c:v>
                </c:pt>
                <c:pt idx="62">
                  <c:v>-18412.306560229968</c:v>
                </c:pt>
                <c:pt idx="63">
                  <c:v>-18493.306456250459</c:v>
                </c:pt>
                <c:pt idx="64">
                  <c:v>-18579.631540275332</c:v>
                </c:pt>
                <c:pt idx="65">
                  <c:v>-18671.136785107075</c:v>
                </c:pt>
                <c:pt idx="66">
                  <c:v>-18767.67992360035</c:v>
                </c:pt>
                <c:pt idx="67">
                  <c:v>-18869.121547468294</c:v>
                </c:pt>
                <c:pt idx="68">
                  <c:v>-18975.325188074625</c:v>
                </c:pt>
                <c:pt idx="69">
                  <c:v>-19086.157380524353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inventories'!xdata18</c:f>
              <c:numCache>
                <c:formatCode>General</c:formatCode>
                <c:ptCount val="70"/>
                <c:pt idx="0">
                  <c:v>0</c:v>
                </c:pt>
                <c:pt idx="1">
                  <c:v>202.898550724638</c:v>
                </c:pt>
                <c:pt idx="2">
                  <c:v>405.797101449276</c:v>
                </c:pt>
                <c:pt idx="3">
                  <c:v>608.69565217391403</c:v>
                </c:pt>
                <c:pt idx="4">
                  <c:v>811.594202898552</c:v>
                </c:pt>
                <c:pt idx="5">
                  <c:v>1014.49275362319</c:v>
                </c:pt>
                <c:pt idx="6">
                  <c:v>1217.3913043478281</c:v>
                </c:pt>
                <c:pt idx="7">
                  <c:v>1420.289855072466</c:v>
                </c:pt>
                <c:pt idx="8">
                  <c:v>1623.188405797104</c:v>
                </c:pt>
                <c:pt idx="9">
                  <c:v>1826.086956521742</c:v>
                </c:pt>
                <c:pt idx="10">
                  <c:v>2028.9855072463799</c:v>
                </c:pt>
                <c:pt idx="11">
                  <c:v>2231.8840579710181</c:v>
                </c:pt>
                <c:pt idx="12">
                  <c:v>2434.7826086956561</c:v>
                </c:pt>
                <c:pt idx="13">
                  <c:v>2637.6811594202941</c:v>
                </c:pt>
                <c:pt idx="14">
                  <c:v>2840.5797101449321</c:v>
                </c:pt>
                <c:pt idx="15">
                  <c:v>3043.47826086957</c:v>
                </c:pt>
                <c:pt idx="16">
                  <c:v>3246.376811594208</c:v>
                </c:pt>
                <c:pt idx="17">
                  <c:v>3449.275362318846</c:v>
                </c:pt>
                <c:pt idx="18">
                  <c:v>3652.1739130434839</c:v>
                </c:pt>
                <c:pt idx="19">
                  <c:v>3855.0724637681219</c:v>
                </c:pt>
                <c:pt idx="20">
                  <c:v>4057.9710144927599</c:v>
                </c:pt>
                <c:pt idx="21">
                  <c:v>4260.8695652173983</c:v>
                </c:pt>
                <c:pt idx="22">
                  <c:v>4463.7681159420363</c:v>
                </c:pt>
                <c:pt idx="23">
                  <c:v>4666.6666666666742</c:v>
                </c:pt>
                <c:pt idx="24">
                  <c:v>4869.5652173913122</c:v>
                </c:pt>
                <c:pt idx="25">
                  <c:v>5072.4637681159502</c:v>
                </c:pt>
                <c:pt idx="26">
                  <c:v>5275.3623188405882</c:v>
                </c:pt>
                <c:pt idx="27">
                  <c:v>5478.2608695652261</c:v>
                </c:pt>
                <c:pt idx="28">
                  <c:v>5681.1594202898641</c:v>
                </c:pt>
                <c:pt idx="29">
                  <c:v>5884.0579710145021</c:v>
                </c:pt>
                <c:pt idx="30">
                  <c:v>6086.95652173914</c:v>
                </c:pt>
                <c:pt idx="31">
                  <c:v>6289.855072463778</c:v>
                </c:pt>
                <c:pt idx="32">
                  <c:v>6492.753623188416</c:v>
                </c:pt>
                <c:pt idx="33">
                  <c:v>6695.652173913054</c:v>
                </c:pt>
                <c:pt idx="34">
                  <c:v>6898.5507246376919</c:v>
                </c:pt>
                <c:pt idx="35">
                  <c:v>7101.4492753623299</c:v>
                </c:pt>
                <c:pt idx="36">
                  <c:v>7304.3478260869679</c:v>
                </c:pt>
                <c:pt idx="37">
                  <c:v>7507.2463768116058</c:v>
                </c:pt>
                <c:pt idx="38">
                  <c:v>7710.1449275362438</c:v>
                </c:pt>
                <c:pt idx="39">
                  <c:v>7913.0434782608818</c:v>
                </c:pt>
                <c:pt idx="40">
                  <c:v>8115.9420289855198</c:v>
                </c:pt>
                <c:pt idx="41">
                  <c:v>8318.8405797101586</c:v>
                </c:pt>
                <c:pt idx="42">
                  <c:v>8521.7391304347966</c:v>
                </c:pt>
                <c:pt idx="43">
                  <c:v>8724.6376811594346</c:v>
                </c:pt>
                <c:pt idx="44">
                  <c:v>8927.5362318840725</c:v>
                </c:pt>
                <c:pt idx="45">
                  <c:v>9130.4347826087105</c:v>
                </c:pt>
                <c:pt idx="46">
                  <c:v>9333.3333333333485</c:v>
                </c:pt>
                <c:pt idx="47">
                  <c:v>9536.2318840579865</c:v>
                </c:pt>
                <c:pt idx="48">
                  <c:v>9739.1304347826244</c:v>
                </c:pt>
                <c:pt idx="49">
                  <c:v>9942.0289855072624</c:v>
                </c:pt>
                <c:pt idx="50">
                  <c:v>10144.9275362319</c:v>
                </c:pt>
                <c:pt idx="51">
                  <c:v>10347.826086956538</c:v>
                </c:pt>
                <c:pt idx="52">
                  <c:v>10550.724637681176</c:v>
                </c:pt>
                <c:pt idx="53">
                  <c:v>10753.623188405814</c:v>
                </c:pt>
                <c:pt idx="54">
                  <c:v>10956.521739130452</c:v>
                </c:pt>
                <c:pt idx="55">
                  <c:v>11159.42028985509</c:v>
                </c:pt>
                <c:pt idx="56">
                  <c:v>11362.318840579728</c:v>
                </c:pt>
                <c:pt idx="57">
                  <c:v>11565.217391304366</c:v>
                </c:pt>
                <c:pt idx="58">
                  <c:v>11768.115942029004</c:v>
                </c:pt>
                <c:pt idx="59">
                  <c:v>11971.014492753642</c:v>
                </c:pt>
                <c:pt idx="60">
                  <c:v>12173.91304347828</c:v>
                </c:pt>
                <c:pt idx="61">
                  <c:v>12376.811594202918</c:v>
                </c:pt>
                <c:pt idx="62">
                  <c:v>12579.710144927556</c:v>
                </c:pt>
                <c:pt idx="63">
                  <c:v>12782.608695652194</c:v>
                </c:pt>
                <c:pt idx="64">
                  <c:v>12985.507246376832</c:v>
                </c:pt>
                <c:pt idx="65">
                  <c:v>13188.40579710147</c:v>
                </c:pt>
                <c:pt idx="66">
                  <c:v>13391.304347826108</c:v>
                </c:pt>
                <c:pt idx="67">
                  <c:v>13594.202898550746</c:v>
                </c:pt>
                <c:pt idx="68">
                  <c:v>13797.101449275384</c:v>
                </c:pt>
                <c:pt idx="69">
                  <c:v>14000.000000000022</c:v>
                </c:pt>
              </c:numCache>
            </c:numRef>
          </c:xVal>
          <c:yVal>
            <c:numRef>
              <c:f>'Forest inventories'!ydata18</c:f>
              <c:numCache>
                <c:formatCode>General</c:formatCode>
                <c:ptCount val="70"/>
                <c:pt idx="0">
                  <c:v>28910.306218024361</c:v>
                </c:pt>
                <c:pt idx="1">
                  <c:v>28884.738506428497</c:v>
                </c:pt>
                <c:pt idx="2">
                  <c:v>28866.075205582947</c:v>
                </c:pt>
                <c:pt idx="3">
                  <c:v>28854.478791963098</c:v>
                </c:pt>
                <c:pt idx="4">
                  <c:v>28850.111451332275</c:v>
                </c:pt>
                <c:pt idx="5">
                  <c:v>28853.134651114884</c:v>
                </c:pt>
                <c:pt idx="6">
                  <c:v>28863.708686563354</c:v>
                </c:pt>
                <c:pt idx="7">
                  <c:v>28881.992202067508</c:v>
                </c:pt>
                <c:pt idx="8">
                  <c:v>28908.141689375607</c:v>
                </c:pt>
                <c:pt idx="9">
                  <c:v>28942.3109649363</c:v>
                </c:pt>
                <c:pt idx="10">
                  <c:v>28984.650629022224</c:v>
                </c:pt>
                <c:pt idx="11">
                  <c:v>29035.307509751863</c:v>
                </c:pt>
                <c:pt idx="12">
                  <c:v>29094.424095575709</c:v>
                </c:pt>
                <c:pt idx="13">
                  <c:v>29162.137960226319</c:v>
                </c:pt>
                <c:pt idx="14">
                  <c:v>29238.581184537299</c:v>
                </c:pt>
                <c:pt idx="15">
                  <c:v>29323.879779902083</c:v>
                </c:pt>
                <c:pt idx="16">
                  <c:v>29418.153118456899</c:v>
                </c:pt>
                <c:pt idx="17">
                  <c:v>29521.513375322258</c:v>
                </c:pt>
                <c:pt idx="18">
                  <c:v>29634.064988411519</c:v>
                </c:pt>
                <c:pt idx="19">
                  <c:v>29755.904141404</c:v>
                </c:pt>
                <c:pt idx="20">
                  <c:v>29887.118275475092</c:v>
                </c:pt>
                <c:pt idx="21">
                  <c:v>30027.785635270178</c:v>
                </c:pt>
                <c:pt idx="22">
                  <c:v>30177.974854399385</c:v>
                </c:pt>
                <c:pt idx="23">
                  <c:v>30337.74458541513</c:v>
                </c:pt>
                <c:pt idx="24">
                  <c:v>30507.143178816055</c:v>
                </c:pt>
                <c:pt idx="25">
                  <c:v>30686.208415104938</c:v>
                </c:pt>
                <c:pt idx="26">
                  <c:v>30874.967293322719</c:v>
                </c:pt>
                <c:pt idx="27">
                  <c:v>31073.435878797955</c:v>
                </c:pt>
                <c:pt idx="28">
                  <c:v>31281.619212104561</c:v>
                </c:pt>
                <c:pt idx="29">
                  <c:v>31499.511280427912</c:v>
                </c:pt>
                <c:pt idx="30">
                  <c:v>31727.095051717944</c:v>
                </c:pt>
                <c:pt idx="31">
                  <c:v>31964.342571177698</c:v>
                </c:pt>
                <c:pt idx="32">
                  <c:v>32211.215118816002</c:v>
                </c:pt>
                <c:pt idx="33">
                  <c:v>32467.663426003732</c:v>
                </c:pt>
                <c:pt idx="34">
                  <c:v>32733.627948231311</c:v>
                </c:pt>
                <c:pt idx="35">
                  <c:v>33009.039190588941</c:v>
                </c:pt>
                <c:pt idx="36">
                  <c:v>33293.818081892598</c:v>
                </c:pt>
                <c:pt idx="37">
                  <c:v>33587.876392871549</c:v>
                </c:pt>
                <c:pt idx="38">
                  <c:v>33891.117193423488</c:v>
                </c:pt>
                <c:pt idx="39">
                  <c:v>34203.435343637371</c:v>
                </c:pt>
                <c:pt idx="40">
                  <c:v>34524.718013084072</c:v>
                </c:pt>
                <c:pt idx="41">
                  <c:v>34854.845222777556</c:v>
                </c:pt>
                <c:pt idx="42">
                  <c:v>35193.690404213703</c:v>
                </c:pt>
                <c:pt idx="43">
                  <c:v>35541.120969989948</c:v>
                </c:pt>
                <c:pt idx="44">
                  <c:v>35896.998890690687</c:v>
                </c:pt>
                <c:pt idx="45">
                  <c:v>36261.1812729792</c:v>
                </c:pt>
                <c:pt idx="46">
                  <c:v>36633.520934155516</c:v>
                </c:pt>
                <c:pt idx="47">
                  <c:v>37013.866968809481</c:v>
                </c:pt>
                <c:pt idx="48">
                  <c:v>37402.065303606585</c:v>
                </c:pt>
                <c:pt idx="49">
                  <c:v>37797.95923667954</c:v>
                </c:pt>
                <c:pt idx="50">
                  <c:v>38201.389958549167</c:v>
                </c:pt>
                <c:pt idx="51">
                  <c:v>38612.197051953714</c:v>
                </c:pt>
                <c:pt idx="52">
                  <c:v>39030.218968416717</c:v>
                </c:pt>
                <c:pt idx="53">
                  <c:v>39455.293479822096</c:v>
                </c:pt>
                <c:pt idx="54">
                  <c:v>39887.258103683751</c:v>
                </c:pt>
                <c:pt idx="55">
                  <c:v>40325.950501190702</c:v>
                </c:pt>
                <c:pt idx="56">
                  <c:v>40771.208847473346</c:v>
                </c:pt>
                <c:pt idx="57">
                  <c:v>41222.872173868178</c:v>
                </c:pt>
                <c:pt idx="58">
                  <c:v>41680.780682256351</c:v>
                </c:pt>
                <c:pt idx="59">
                  <c:v>42144.776031814348</c:v>
                </c:pt>
                <c:pt idx="60">
                  <c:v>42614.701598742511</c:v>
                </c:pt>
                <c:pt idx="61">
                  <c:v>43090.40270973125</c:v>
                </c:pt>
                <c:pt idx="62">
                  <c:v>43571.726850085084</c:v>
                </c:pt>
                <c:pt idx="63">
                  <c:v>44058.523847554847</c:v>
                </c:pt>
                <c:pt idx="64">
                  <c:v>44550.646033028999</c:v>
                </c:pt>
                <c:pt idx="65">
                  <c:v>45047.948379310015</c:v>
                </c:pt>
                <c:pt idx="66">
                  <c:v>45550.288619252569</c:v>
                </c:pt>
                <c:pt idx="67">
                  <c:v>46057.527344569782</c:v>
                </c:pt>
                <c:pt idx="68">
                  <c:v>46569.528086625389</c:v>
                </c:pt>
                <c:pt idx="69">
                  <c:v>47086.157380524397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34832"/>
        <c:axId val="519034048"/>
      </c:scatterChart>
      <c:valAx>
        <c:axId val="519034832"/>
        <c:scaling>
          <c:orientation val="minMax"/>
          <c:max val="14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Pred(Incendios)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4048"/>
        <c:crosses val="autoZero"/>
        <c:crossBetween val="midCat"/>
        <c:majorUnit val="2000"/>
      </c:valAx>
      <c:valAx>
        <c:axId val="519034048"/>
        <c:scaling>
          <c:orientation val="minMax"/>
          <c:max val="14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4832"/>
        <c:crosses val="autoZero"/>
        <c:crossBetween val="midCat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Standardized residuals / Incendios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'IFN1-4'!#REF!</c:f>
              <c:numCache>
                <c:formatCode>General</c:formatCode>
                <c:ptCount val="3"/>
                <c:pt idx="0">
                  <c:v>0.56162645888342844</c:v>
                </c:pt>
                <c:pt idx="1">
                  <c:v>-0.79406929663580172</c:v>
                </c:pt>
                <c:pt idx="2">
                  <c:v>0.23244283775237515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3"/>
                      <c:pt idx="0">
                        <c:v>Obs1</c:v>
                      </c:pt>
                      <c:pt idx="1">
                        <c:v>Obs2</c:v>
                      </c:pt>
                      <c:pt idx="2">
                        <c:v>Obs3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030520"/>
        <c:axId val="519035224"/>
      </c:barChart>
      <c:catAx>
        <c:axId val="519030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Observations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5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035224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0520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Incendios / Standardized coefficients
(95% conf. interval)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0.70640691061077454</c:v>
                </c:pt>
              </c:numLit>
            </c:plus>
            <c:minus>
              <c:numLit>
                <c:formatCode>General</c:formatCode>
                <c:ptCount val="1"/>
                <c:pt idx="0">
                  <c:v>0.70640691061077454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'IFN1-4'!#REF!</c:f>
              <c:numCache>
                <c:formatCode>General</c:formatCode>
                <c:ptCount val="1"/>
                <c:pt idx="0">
                  <c:v>0.99845337808535783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Eucalypt biomass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519037184"/>
        <c:axId val="519029344"/>
      </c:barChart>
      <c:catAx>
        <c:axId val="51903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Variable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9029344"/>
        <c:crosses val="autoZero"/>
        <c:auto val="1"/>
        <c:lblAlgn val="ctr"/>
        <c:lblOffset val="100"/>
        <c:tickMarkSkip val="1"/>
        <c:noMultiLvlLbl val="0"/>
      </c:catAx>
      <c:valAx>
        <c:axId val="519029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coefficients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7184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308084022915341"/>
          <c:y val="2.2847814281451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Decades!$E$2</c:f>
              <c:strCache>
                <c:ptCount val="1"/>
                <c:pt idx="0">
                  <c:v>2001-2012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71280F7-6FD9-4FF4-814B-D820B760160C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{171280F7-6FD9-4FF4-814B-D820B760160C}</c15:txfldGUID>
                      <c15:f>Decades!$A$3</c15:f>
                      <c15:dlblFieldTableCache>
                        <c:ptCount val="1"/>
                        <c:pt idx="0">
                          <c:v>A Coruña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FFC3868-1804-49C8-9E38-203806DB52F2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{6FFC3868-1804-49C8-9E38-203806DB52F2}</c15:txfldGUID>
                      <c15:f>Decades!$A$4</c15:f>
                      <c15:dlblFieldTableCache>
                        <c:ptCount val="1"/>
                        <c:pt idx="0">
                          <c:v>Lugo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EAA7F73-8506-4FE5-B7FC-3C2A133FD5B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{5EAA7F73-8506-4FE5-B7FC-3C2A133FD5B6}</c15:txfldGUID>
                      <c15:f>Decades!$A$5</c15:f>
                      <c15:dlblFieldTableCache>
                        <c:ptCount val="1"/>
                        <c:pt idx="0">
                          <c:v>Ourense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0F93369-1708-4724-9D62-A09C33E28BA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{A0F93369-1708-4724-9D62-A09C33E28BA6}</c15:txfldGUID>
                      <c15:f>Decades!$A$6</c15:f>
                      <c15:dlblFieldTableCache>
                        <c:ptCount val="1"/>
                        <c:pt idx="0">
                          <c:v>Pontevedra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5F6B535-E36D-400F-B482-66E506350AA8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{E5F6B535-E36D-400F-B482-66E506350AA8}</c15:txfldGUID>
                      <c15:f>Decades!$A$7</c15:f>
                      <c15:dlblFieldTableCache>
                        <c:ptCount val="1"/>
                        <c:pt idx="0">
                          <c:v>Asturias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0.18054011954752874"/>
                  <c:y val="-4.7562419746219026E-2"/>
                </c:manualLayout>
              </c:layout>
              <c:tx>
                <c:rich>
                  <a:bodyPr/>
                  <a:lstStyle/>
                  <a:p>
                    <a:fld id="{38D8A534-2201-400C-B0BF-89F0FAB7F28F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{38D8A534-2201-400C-B0BF-89F0FAB7F28F}</c15:txfldGUID>
                      <c15:f>Decades!$A$8</c15:f>
                      <c15:dlblFieldTableCache>
                        <c:ptCount val="1"/>
                        <c:pt idx="0">
                          <c:v>Cantabria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7.8147222222222229E-2"/>
                  <c:y val="-0.265759090909090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Decades!$M$3:$M$23</c:f>
              <c:numCache>
                <c:formatCode>0.000</c:formatCode>
                <c:ptCount val="21"/>
                <c:pt idx="0">
                  <c:v>0.67846412930004296</c:v>
                </c:pt>
                <c:pt idx="1">
                  <c:v>0.40330844618042705</c:v>
                </c:pt>
                <c:pt idx="2">
                  <c:v>1.7611715349715926E-2</c:v>
                </c:pt>
                <c:pt idx="3">
                  <c:v>0.49789845187661269</c:v>
                </c:pt>
                <c:pt idx="4">
                  <c:v>0.73579768845576277</c:v>
                </c:pt>
                <c:pt idx="5">
                  <c:v>0.88462955749452465</c:v>
                </c:pt>
                <c:pt idx="6">
                  <c:v>1.8036820881485204E-5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1.1052223393442298E-4</c:v>
                </c:pt>
                <c:pt idx="12">
                  <c:v>2.1441829795620852E-3</c:v>
                </c:pt>
                <c:pt idx="13">
                  <c:v>9.003169097487447E-2</c:v>
                </c:pt>
                <c:pt idx="14">
                  <c:v>0</c:v>
                </c:pt>
                <c:pt idx="15">
                  <c:v>3.421962153098587E-5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0.11422745481590343</c:v>
                </c:pt>
              </c:numCache>
            </c:numRef>
          </c:xVal>
          <c:yVal>
            <c:numRef>
              <c:f>Decades!$E$3:$E$23</c:f>
              <c:numCache>
                <c:formatCode>0</c:formatCode>
                <c:ptCount val="21"/>
                <c:pt idx="0">
                  <c:v>1617.6666666666667</c:v>
                </c:pt>
                <c:pt idx="1">
                  <c:v>853.41666666666663</c:v>
                </c:pt>
                <c:pt idx="2">
                  <c:v>2460.8333333333335</c:v>
                </c:pt>
                <c:pt idx="3">
                  <c:v>1912.1666666666667</c:v>
                </c:pt>
                <c:pt idx="4">
                  <c:v>1808</c:v>
                </c:pt>
                <c:pt idx="5">
                  <c:v>497.08333333333331</c:v>
                </c:pt>
                <c:pt idx="6">
                  <c:v>187.08333333333334</c:v>
                </c:pt>
                <c:pt idx="7">
                  <c:v>580.58333333333337</c:v>
                </c:pt>
                <c:pt idx="8">
                  <c:v>84</c:v>
                </c:pt>
                <c:pt idx="9">
                  <c:v>70.25</c:v>
                </c:pt>
                <c:pt idx="10">
                  <c:v>78.25</c:v>
                </c:pt>
                <c:pt idx="11">
                  <c:v>455.83333333333331</c:v>
                </c:pt>
                <c:pt idx="12">
                  <c:v>254.08333333333334</c:v>
                </c:pt>
                <c:pt idx="13">
                  <c:v>139.25</c:v>
                </c:pt>
                <c:pt idx="14">
                  <c:v>124.58333333333333</c:v>
                </c:pt>
                <c:pt idx="15">
                  <c:v>116.75</c:v>
                </c:pt>
                <c:pt idx="16">
                  <c:v>486.41666666666669</c:v>
                </c:pt>
                <c:pt idx="17">
                  <c:v>99.5</c:v>
                </c:pt>
                <c:pt idx="18">
                  <c:v>110.25</c:v>
                </c:pt>
                <c:pt idx="19">
                  <c:v>206.08333333333334</c:v>
                </c:pt>
                <c:pt idx="20">
                  <c:v>148.41666666666666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36184"/>
        <c:axId val="512937752"/>
      </c:scatterChart>
      <c:valAx>
        <c:axId val="512936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eucalypt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7752"/>
        <c:crosses val="autoZero"/>
        <c:crossBetween val="midCat"/>
      </c:valAx>
      <c:valAx>
        <c:axId val="512937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6184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Regression of Incendios by Eucalypt biomass (R²=0.997)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7682566</c:v>
                </c:pt>
                <c:pt idx="1">
                  <c:v>15620749</c:v>
                </c:pt>
                <c:pt idx="2">
                  <c:v>34800921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1449</c:v>
                </c:pt>
                <c:pt idx="1">
                  <c:v>3900</c:v>
                </c:pt>
                <c:pt idx="2">
                  <c:v>8594</c:v>
                </c:pt>
              </c:numCache>
            </c:numRef>
          </c:yVal>
          <c:smooth val="0"/>
        </c:ser>
        <c:ser>
          <c:idx val="1"/>
          <c:order val="1"/>
          <c:tx>
            <c:v>Model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"/>
              <c:pt idx="0">
                <c:v>7682566</c:v>
              </c:pt>
              <c:pt idx="1">
                <c:v>34800921</c:v>
              </c:pt>
            </c:numLit>
          </c:xVal>
          <c:yVal>
            <c:numLit>
              <c:formatCode>General</c:formatCode>
              <c:ptCount val="2"/>
              <c:pt idx="0">
                <c:v>1609.32175995493</c:v>
              </c:pt>
              <c:pt idx="1">
                <c:v>8660.3530790758396</c:v>
              </c:pt>
            </c:numLit>
          </c:yVal>
          <c:smooth val="0"/>
        </c:ser>
        <c:ser>
          <c:idx val="2"/>
          <c:order val="2"/>
          <c:tx>
            <c:v>Conf. interval (Mean 95%)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inventories'!xdata19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inventories'!ydata19</c:f>
              <c:numCache>
                <c:formatCode>General</c:formatCode>
                <c:ptCount val="70"/>
                <c:pt idx="0">
                  <c:v>-1391.7163258606281</c:v>
                </c:pt>
                <c:pt idx="1">
                  <c:v>-1238.1716133245031</c:v>
                </c:pt>
                <c:pt idx="2">
                  <c:v>-1085.5202730782821</c:v>
                </c:pt>
                <c:pt idx="3">
                  <c:v>-933.80976505164517</c:v>
                </c:pt>
                <c:pt idx="4">
                  <c:v>-783.08998841967468</c:v>
                </c:pt>
                <c:pt idx="5">
                  <c:v>-633.41332570803979</c:v>
                </c:pt>
                <c:pt idx="6">
                  <c:v>-484.83466837437618</c:v>
                </c:pt>
                <c:pt idx="7">
                  <c:v>-337.41141958206299</c:v>
                </c:pt>
                <c:pt idx="8">
                  <c:v>-191.20346941113667</c:v>
                </c:pt>
                <c:pt idx="9">
                  <c:v>-46.273137318020872</c:v>
                </c:pt>
                <c:pt idx="10">
                  <c:v>97.314923704396278</c:v>
                </c:pt>
                <c:pt idx="11">
                  <c:v>239.49386705942106</c:v>
                </c:pt>
                <c:pt idx="12">
                  <c:v>380.19484244313389</c:v>
                </c:pt>
                <c:pt idx="13">
                  <c:v>519.34724142989853</c:v>
                </c:pt>
                <c:pt idx="14">
                  <c:v>656.87900403835283</c:v>
                </c:pt>
                <c:pt idx="15">
                  <c:v>792.7169907850357</c:v>
                </c:pt>
                <c:pt idx="16">
                  <c:v>926.78742353800908</c:v>
                </c:pt>
                <c:pt idx="17">
                  <c:v>1059.0163968303914</c:v>
                </c:pt>
                <c:pt idx="18">
                  <c:v>1189.330459157688</c:v>
                </c:pt>
                <c:pt idx="19">
                  <c:v>1317.6572611685124</c:v>
                </c:pt>
                <c:pt idx="20">
                  <c:v>1443.9262646133593</c:v>
                </c:pt>
                <c:pt idx="21">
                  <c:v>1568.0695025385776</c:v>
                </c:pt>
                <c:pt idx="22">
                  <c:v>1690.022377657197</c:v>
                </c:pt>
                <c:pt idx="23">
                  <c:v>1809.7244823048482</c:v>
                </c:pt>
                <c:pt idx="24">
                  <c:v>1927.1204201559694</c:v>
                </c:pt>
                <c:pt idx="25">
                  <c:v>2042.160607221711</c:v>
                </c:pt>
                <c:pt idx="26">
                  <c:v>2154.8020278704034</c:v>
                </c:pt>
                <c:pt idx="27">
                  <c:v>2265.0089209700609</c:v>
                </c:pt>
                <c:pt idx="28">
                  <c:v>2372.7533719515204</c:v>
                </c:pt>
                <c:pt idx="29">
                  <c:v>2478.0157887330488</c:v>
                </c:pt>
                <c:pt idx="30">
                  <c:v>2580.785243009861</c:v>
                </c:pt>
                <c:pt idx="31">
                  <c:v>2681.0596632352722</c:v>
                </c:pt>
                <c:pt idx="32">
                  <c:v>2778.8458714132839</c:v>
                </c:pt>
                <c:pt idx="33">
                  <c:v>2874.1594621881081</c:v>
                </c:pt>
                <c:pt idx="34">
                  <c:v>2967.0245291931069</c:v>
                </c:pt>
                <c:pt idx="35">
                  <c:v>3057.4732497355667</c:v>
                </c:pt>
                <c:pt idx="36">
                  <c:v>3145.5453442116491</c:v>
                </c:pt>
                <c:pt idx="37">
                  <c:v>3231.2874308232658</c:v>
                </c:pt>
                <c:pt idx="38">
                  <c:v>3314.7522989828258</c:v>
                </c:pt>
                <c:pt idx="39">
                  <c:v>3395.9981261566945</c:v>
                </c:pt>
                <c:pt idx="40">
                  <c:v>3475.0876628608303</c:v>
                </c:pt>
                <c:pt idx="41">
                  <c:v>3552.0874092415029</c:v>
                </c:pt>
                <c:pt idx="42">
                  <c:v>3627.0668043908104</c:v>
                </c:pt>
                <c:pt idx="43">
                  <c:v>3700.0974465462632</c:v>
                </c:pt>
                <c:pt idx="44">
                  <c:v>3771.2523589009124</c:v>
                </c:pt>
                <c:pt idx="45">
                  <c:v>3840.6053121805458</c:v>
                </c:pt>
                <c:pt idx="46">
                  <c:v>3908.2302116615001</c:v>
                </c:pt>
                <c:pt idx="47">
                  <c:v>3974.2005530873766</c:v>
                </c:pt>
                <c:pt idx="48">
                  <c:v>4038.5889491194689</c:v>
                </c:pt>
                <c:pt idx="49">
                  <c:v>4101.4667255941786</c:v>
                </c:pt>
                <c:pt idx="50">
                  <c:v>4162.903584984786</c:v>
                </c:pt>
                <c:pt idx="51">
                  <c:v>4222.9673330620462</c:v>
                </c:pt>
                <c:pt idx="52">
                  <c:v>4281.7236637795795</c:v>
                </c:pt>
                <c:pt idx="53">
                  <c:v>4339.235996821104</c:v>
                </c:pt>
                <c:pt idx="54">
                  <c:v>4395.5653619746499</c:v>
                </c:pt>
                <c:pt idx="55">
                  <c:v>4450.7703244803088</c:v>
                </c:pt>
                <c:pt idx="56">
                  <c:v>4504.9069456719099</c:v>
                </c:pt>
                <c:pt idx="57">
                  <c:v>4558.0287735452803</c:v>
                </c:pt>
                <c:pt idx="58">
                  <c:v>4610.1868582896295</c:v>
                </c:pt>
                <c:pt idx="59">
                  <c:v>4661.4297882760266</c:v>
                </c:pt>
                <c:pt idx="60">
                  <c:v>4711.8037424774066</c:v>
                </c:pt>
                <c:pt idx="61">
                  <c:v>4761.3525557753755</c:v>
                </c:pt>
                <c:pt idx="62">
                  <c:v>4810.1177940734724</c:v>
                </c:pt>
                <c:pt idx="63">
                  <c:v>4858.1388365733255</c:v>
                </c:pt>
                <c:pt idx="64">
                  <c:v>4905.4529629722501</c:v>
                </c:pt>
                <c:pt idx="65">
                  <c:v>4952.0954437045657</c:v>
                </c:pt>
                <c:pt idx="66">
                  <c:v>4998.0996316730816</c:v>
                </c:pt>
                <c:pt idx="67">
                  <c:v>5043.4970542023939</c:v>
                </c:pt>
                <c:pt idx="68">
                  <c:v>5088.3175041936374</c:v>
                </c:pt>
                <c:pt idx="69">
                  <c:v>5132.5891296737573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inventories'!xdata20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inventories'!ydata20</c:f>
              <c:numCache>
                <c:formatCode>General</c:formatCode>
                <c:ptCount val="70"/>
                <c:pt idx="0">
                  <c:v>4610.3598457704811</c:v>
                </c:pt>
                <c:pt idx="1">
                  <c:v>4661.1928526291649</c:v>
                </c:pt>
                <c:pt idx="2">
                  <c:v>4712.9192317777524</c:v>
                </c:pt>
                <c:pt idx="3">
                  <c:v>4765.5864431459249</c:v>
                </c:pt>
                <c:pt idx="4">
                  <c:v>4819.2443859087634</c:v>
                </c:pt>
                <c:pt idx="5">
                  <c:v>4873.9454425919375</c:v>
                </c:pt>
                <c:pt idx="6">
                  <c:v>4929.7445046530811</c:v>
                </c:pt>
                <c:pt idx="7">
                  <c:v>4986.6989752555783</c:v>
                </c:pt>
                <c:pt idx="8">
                  <c:v>5044.8687444794596</c:v>
                </c:pt>
                <c:pt idx="9">
                  <c:v>5104.3161317811537</c:v>
                </c:pt>
                <c:pt idx="10">
                  <c:v>5165.1057901535451</c:v>
                </c:pt>
                <c:pt idx="11">
                  <c:v>5227.3045661933302</c:v>
                </c:pt>
                <c:pt idx="12">
                  <c:v>5290.9813102044254</c:v>
                </c:pt>
                <c:pt idx="13">
                  <c:v>5356.2066306124689</c:v>
                </c:pt>
                <c:pt idx="14">
                  <c:v>5423.0525873988245</c:v>
                </c:pt>
                <c:pt idx="15">
                  <c:v>5491.5923200469497</c:v>
                </c:pt>
                <c:pt idx="16">
                  <c:v>5561.8996066887848</c:v>
                </c:pt>
                <c:pt idx="17">
                  <c:v>5634.048352791212</c:v>
                </c:pt>
                <c:pt idx="18">
                  <c:v>5708.1120098587253</c:v>
                </c:pt>
                <c:pt idx="19">
                  <c:v>5784.1629272427081</c:v>
                </c:pt>
                <c:pt idx="20">
                  <c:v>5862.271643192671</c:v>
                </c:pt>
                <c:pt idx="21">
                  <c:v>5942.5061246622627</c:v>
                </c:pt>
                <c:pt idx="22">
                  <c:v>6024.9309689384518</c:v>
                </c:pt>
                <c:pt idx="23">
                  <c:v>6109.6065836856087</c:v>
                </c:pt>
                <c:pt idx="24">
                  <c:v>6196.5883652292969</c:v>
                </c:pt>
                <c:pt idx="25">
                  <c:v>6285.9258975583653</c:v>
                </c:pt>
                <c:pt idx="26">
                  <c:v>6377.662196304479</c:v>
                </c:pt>
                <c:pt idx="27">
                  <c:v>6471.8330225996315</c:v>
                </c:pt>
                <c:pt idx="28">
                  <c:v>6568.4662910129819</c:v>
                </c:pt>
                <c:pt idx="29">
                  <c:v>6667.5815936262597</c:v>
                </c:pt>
                <c:pt idx="30">
                  <c:v>6769.1898587442574</c:v>
                </c:pt>
                <c:pt idx="31">
                  <c:v>6873.2931579136566</c:v>
                </c:pt>
                <c:pt idx="32">
                  <c:v>6979.8846691304525</c:v>
                </c:pt>
                <c:pt idx="33">
                  <c:v>7088.9487977504359</c:v>
                </c:pt>
                <c:pt idx="34">
                  <c:v>7200.4614501402475</c:v>
                </c:pt>
                <c:pt idx="35">
                  <c:v>7314.3904489925953</c:v>
                </c:pt>
                <c:pt idx="36">
                  <c:v>7430.6960739113256</c:v>
                </c:pt>
                <c:pt idx="37">
                  <c:v>7549.3317066945147</c:v>
                </c:pt>
                <c:pt idx="38">
                  <c:v>7670.2445579297628</c:v>
                </c:pt>
                <c:pt idx="39">
                  <c:v>7793.3764501507058</c:v>
                </c:pt>
                <c:pt idx="40">
                  <c:v>7918.6646328413781</c:v>
                </c:pt>
                <c:pt idx="41">
                  <c:v>8046.0426058555131</c:v>
                </c:pt>
                <c:pt idx="42">
                  <c:v>8175.4409301010164</c:v>
                </c:pt>
                <c:pt idx="43">
                  <c:v>8306.7880073403721</c:v>
                </c:pt>
                <c:pt idx="44">
                  <c:v>8440.0108143805301</c:v>
                </c:pt>
                <c:pt idx="45">
                  <c:v>8575.0355804957071</c:v>
                </c:pt>
                <c:pt idx="46">
                  <c:v>8711.7884004095613</c:v>
                </c:pt>
                <c:pt idx="47">
                  <c:v>8850.1957783784928</c:v>
                </c:pt>
                <c:pt idx="48">
                  <c:v>8990.18510174121</c:v>
                </c:pt>
                <c:pt idx="49">
                  <c:v>9131.685044661308</c:v>
                </c:pt>
                <c:pt idx="50">
                  <c:v>9274.6259046655105</c:v>
                </c:pt>
                <c:pt idx="51">
                  <c:v>9418.9398759830601</c:v>
                </c:pt>
                <c:pt idx="52">
                  <c:v>9564.5612646603349</c:v>
                </c:pt>
                <c:pt idx="53">
                  <c:v>9711.4266510136185</c:v>
                </c:pt>
                <c:pt idx="54">
                  <c:v>9859.4750052548825</c:v>
                </c:pt>
                <c:pt idx="55">
                  <c:v>10008.647762144034</c:v>
                </c:pt>
                <c:pt idx="56">
                  <c:v>10158.888860347239</c:v>
                </c:pt>
                <c:pt idx="57">
                  <c:v>10310.144751868678</c:v>
                </c:pt>
                <c:pt idx="58">
                  <c:v>10462.364386519139</c:v>
                </c:pt>
                <c:pt idx="59">
                  <c:v>10615.499175927547</c:v>
                </c:pt>
                <c:pt idx="60">
                  <c:v>10769.502941120978</c:v>
                </c:pt>
                <c:pt idx="61">
                  <c:v>10924.331847217818</c:v>
                </c:pt>
                <c:pt idx="62">
                  <c:v>11079.944328314532</c:v>
                </c:pt>
                <c:pt idx="63">
                  <c:v>11236.301005209487</c:v>
                </c:pt>
                <c:pt idx="64">
                  <c:v>11393.364598205371</c:v>
                </c:pt>
                <c:pt idx="65">
                  <c:v>11551.099836867863</c:v>
                </c:pt>
                <c:pt idx="66">
                  <c:v>11709.473368294155</c:v>
                </c:pt>
                <c:pt idx="67">
                  <c:v>11868.453665159654</c:v>
                </c:pt>
                <c:pt idx="68">
                  <c:v>12028.010934563219</c:v>
                </c:pt>
                <c:pt idx="69">
                  <c:v>12188.117028477907</c:v>
                </c:pt>
              </c:numCache>
            </c:numRef>
          </c:yVal>
          <c:smooth val="0"/>
        </c:ser>
        <c:ser>
          <c:idx val="4"/>
          <c:order val="4"/>
          <c:tx>
            <c:v>Conf. interval (Obs. 95%)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inventories'!xdata21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inventories'!ydata21</c:f>
              <c:numCache>
                <c:formatCode>General</c:formatCode>
                <c:ptCount val="100"/>
                <c:pt idx="0">
                  <c:v>-3098.3484298556796</c:v>
                </c:pt>
                <c:pt idx="1">
                  <c:v>-3004.33112002998</c:v>
                </c:pt>
                <c:pt idx="2">
                  <c:v>-2910.7469772036634</c:v>
                </c:pt>
                <c:pt idx="3">
                  <c:v>-2817.6022632823028</c:v>
                </c:pt>
                <c:pt idx="4">
                  <c:v>-2724.9032348174555</c:v>
                </c:pt>
                <c:pt idx="5">
                  <c:v>-2632.6561368572675</c:v>
                </c:pt>
                <c:pt idx="6">
                  <c:v>-2540.8671965536687</c:v>
                </c:pt>
                <c:pt idx="7">
                  <c:v>-2449.5426165320878</c:v>
                </c:pt>
                <c:pt idx="8">
                  <c:v>-2358.6885680309506</c:v>
                </c:pt>
                <c:pt idx="9">
                  <c:v>-2268.3111838196883</c:v>
                </c:pt>
                <c:pt idx="10">
                  <c:v>-2178.4165509054496</c:v>
                </c:pt>
                <c:pt idx="11">
                  <c:v>-2089.0107030402592</c:v>
                </c:pt>
                <c:pt idx="12">
                  <c:v>-2000.0996130418794</c:v>
                </c:pt>
                <c:pt idx="13">
                  <c:v>-1911.6891849432391</c:v>
                </c:pt>
                <c:pt idx="14">
                  <c:v>-1823.7852459868673</c:v>
                </c:pt>
                <c:pt idx="15">
                  <c:v>-1736.3935384823471</c:v>
                </c:pt>
                <c:pt idx="16">
                  <c:v>-1649.5197115463507</c:v>
                </c:pt>
                <c:pt idx="17">
                  <c:v>-1563.1693127463959</c:v>
                </c:pt>
                <c:pt idx="18">
                  <c:v>-1477.3477796708949</c:v>
                </c:pt>
                <c:pt idx="19">
                  <c:v>-1392.0604314495235</c:v>
                </c:pt>
                <c:pt idx="20">
                  <c:v>-1307.3124602493103</c:v>
                </c:pt>
                <c:pt idx="21">
                  <c:v>-1223.1089227730249</c:v>
                </c:pt>
                <c:pt idx="22">
                  <c:v>-1139.4547317876963</c:v>
                </c:pt>
                <c:pt idx="23">
                  <c:v>-1056.3546477120226</c:v>
                </c:pt>
                <c:pt idx="24">
                  <c:v>-973.81327029236763</c:v>
                </c:pt>
                <c:pt idx="25">
                  <c:v>-891.83503039774769</c:v>
                </c:pt>
                <c:pt idx="26">
                  <c:v>-810.42418196477138</c:v>
                </c:pt>
                <c:pt idx="27">
                  <c:v>-729.58479412385259</c:v>
                </c:pt>
                <c:pt idx="28">
                  <c:v>-649.32074353821781</c:v>
                </c:pt>
                <c:pt idx="29">
                  <c:v>-569.63570698718058</c:v>
                </c:pt>
                <c:pt idx="30">
                  <c:v>-490.53315422489868</c:v>
                </c:pt>
                <c:pt idx="31">
                  <c:v>-412.01634114540593</c:v>
                </c:pt>
                <c:pt idx="32">
                  <c:v>-334.08830328397744</c:v>
                </c:pt>
                <c:pt idx="33">
                  <c:v>-256.75184968400026</c:v>
                </c:pt>
                <c:pt idx="34">
                  <c:v>-180.00955715735108</c:v>
                </c:pt>
                <c:pt idx="35">
                  <c:v>-103.86376496495905</c:v>
                </c:pt>
                <c:pt idx="36">
                  <c:v>-28.31656994261175</c:v>
                </c:pt>
                <c:pt idx="37">
                  <c:v>46.630177904728043</c:v>
                </c:pt>
                <c:pt idx="38">
                  <c:v>120.97487931875639</c:v>
                </c:pt>
                <c:pt idx="39">
                  <c:v>194.71618919471985</c:v>
                </c:pt>
                <c:pt idx="40">
                  <c:v>267.85301946255549</c:v>
                </c:pt>
                <c:pt idx="41">
                  <c:v>340.38454142796309</c:v>
                </c:pt>
                <c:pt idx="42">
                  <c:v>412.31018756171852</c:v>
                </c:pt>
                <c:pt idx="43">
                  <c:v>483.62965272820202</c:v>
                </c:pt>
                <c:pt idx="44">
                  <c:v>554.34289484700912</c:v>
                </c:pt>
                <c:pt idx="45">
                  <c:v>624.45013498424305</c:v>
                </c:pt>
                <c:pt idx="46">
                  <c:v>693.95185687304547</c:v>
                </c:pt>
                <c:pt idx="47">
                  <c:v>762.84880586580857</c:v>
                </c:pt>
                <c:pt idx="48">
                  <c:v>831.14198732332716</c:v>
                </c:pt>
                <c:pt idx="49">
                  <c:v>898.83266444901165</c:v>
                </c:pt>
                <c:pt idx="50">
                  <c:v>965.92235557901404</c:v>
                </c:pt>
                <c:pt idx="51">
                  <c:v>1032.4128309417292</c:v>
                </c:pt>
                <c:pt idx="52">
                  <c:v>1098.3061089027315</c:v>
                </c:pt>
                <c:pt idx="53">
                  <c:v>1163.6044517135097</c:v>
                </c:pt>
                <c:pt idx="54">
                  <c:v>1228.3103607846415</c:v>
                </c:pt>
                <c:pt idx="55">
                  <c:v>1292.4265715060837</c:v>
                </c:pt>
                <c:pt idx="56">
                  <c:v>1355.9560476390734</c:v>
                </c:pt>
                <c:pt idx="57">
                  <c:v>1418.9019753058483</c:v>
                </c:pt>
                <c:pt idx="58">
                  <c:v>1481.2677566047623</c:v>
                </c:pt>
                <c:pt idx="59">
                  <c:v>1543.0570028796228</c:v>
                </c:pt>
                <c:pt idx="60">
                  <c:v>1604.2735276730782</c:v>
                </c:pt>
                <c:pt idx="61">
                  <c:v>1664.9213393945893</c:v>
                </c:pt>
                <c:pt idx="62">
                  <c:v>1725.0046337341364</c:v>
                </c:pt>
                <c:pt idx="63">
                  <c:v>1784.5277858530371</c:v>
                </c:pt>
                <c:pt idx="64">
                  <c:v>1843.4953423834368</c:v>
                </c:pt>
                <c:pt idx="65">
                  <c:v>1901.9120132678518</c:v>
                </c:pt>
                <c:pt idx="66">
                  <c:v>1959.7826634698804</c:v>
                </c:pt>
                <c:pt idx="67">
                  <c:v>2017.1123045866698</c:v>
                </c:pt>
                <c:pt idx="68">
                  <c:v>2073.9060863930899</c:v>
                </c:pt>
                <c:pt idx="69">
                  <c:v>2130.1692883466849</c:v>
                </c:pt>
                <c:pt idx="70">
                  <c:v>2185.9073110815416</c:v>
                </c:pt>
                <c:pt idx="71">
                  <c:v>2241.1256679180742</c:v>
                </c:pt>
                <c:pt idx="72">
                  <c:v>2295.8299764145058</c:v>
                </c:pt>
                <c:pt idx="73">
                  <c:v>2350.0259499845379</c:v>
                </c:pt>
                <c:pt idx="74">
                  <c:v>2403.7193896042218</c:v>
                </c:pt>
                <c:pt idx="75">
                  <c:v>2456.9161756296689</c:v>
                </c:pt>
                <c:pt idx="76">
                  <c:v>2509.6222597456444</c:v>
                </c:pt>
                <c:pt idx="77">
                  <c:v>2561.8436570635768</c:v>
                </c:pt>
                <c:pt idx="78">
                  <c:v>2613.5864383859134</c:v>
                </c:pt>
                <c:pt idx="79">
                  <c:v>2664.85672265218</c:v>
                </c:pt>
                <c:pt idx="80">
                  <c:v>2715.660669580544</c:v>
                </c:pt>
                <c:pt idx="81">
                  <c:v>2766.0044725170756</c:v>
                </c:pt>
                <c:pt idx="82">
                  <c:v>2815.8943515033989</c:v>
                </c:pt>
                <c:pt idx="83">
                  <c:v>2865.3365465719407</c:v>
                </c:pt>
                <c:pt idx="84">
                  <c:v>2914.3373112764757</c:v>
                </c:pt>
                <c:pt idx="85">
                  <c:v>2962.9029064643482</c:v>
                </c:pt>
                <c:pt idx="86">
                  <c:v>3011.0395942953228</c:v>
                </c:pt>
                <c:pt idx="87">
                  <c:v>3058.7536325108149</c:v>
                </c:pt>
                <c:pt idx="88">
                  <c:v>3106.0512689559901</c:v>
                </c:pt>
                <c:pt idx="89">
                  <c:v>3152.9387363561191</c:v>
                </c:pt>
                <c:pt idx="90">
                  <c:v>3199.4222473474756</c:v>
                </c:pt>
                <c:pt idx="91">
                  <c:v>3245.5079897620935</c:v>
                </c:pt>
                <c:pt idx="92">
                  <c:v>3291.2021221648101</c:v>
                </c:pt>
                <c:pt idx="93">
                  <c:v>3336.5107696401201</c:v>
                </c:pt>
                <c:pt idx="94">
                  <c:v>3381.4400198256571</c:v>
                </c:pt>
                <c:pt idx="95">
                  <c:v>3425.9959191883918</c:v>
                </c:pt>
                <c:pt idx="96">
                  <c:v>3470.1844695390546</c:v>
                </c:pt>
                <c:pt idx="97">
                  <c:v>3514.0116247796941</c:v>
                </c:pt>
                <c:pt idx="98">
                  <c:v>3557.4832878788193</c:v>
                </c:pt>
                <c:pt idx="99">
                  <c:v>3600.6053080681913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inventories'!xdata22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inventories'!ydata22</c:f>
              <c:numCache>
                <c:formatCode>General</c:formatCode>
                <c:ptCount val="100"/>
                <c:pt idx="0">
                  <c:v>6316.9919497655319</c:v>
                </c:pt>
                <c:pt idx="1">
                  <c:v>6365.4197170937914</c:v>
                </c:pt>
                <c:pt idx="2">
                  <c:v>6414.2806514214317</c:v>
                </c:pt>
                <c:pt idx="3">
                  <c:v>6463.5810146540298</c:v>
                </c:pt>
                <c:pt idx="4">
                  <c:v>6513.3270633431403</c:v>
                </c:pt>
                <c:pt idx="5">
                  <c:v>6563.5250425369104</c:v>
                </c:pt>
                <c:pt idx="6">
                  <c:v>6614.1811793872694</c:v>
                </c:pt>
                <c:pt idx="7">
                  <c:v>6665.3016765196462</c:v>
                </c:pt>
                <c:pt idx="8">
                  <c:v>6716.8927051724668</c:v>
                </c:pt>
                <c:pt idx="9">
                  <c:v>6768.9603981151622</c:v>
                </c:pt>
                <c:pt idx="10">
                  <c:v>6821.5108423548827</c:v>
                </c:pt>
                <c:pt idx="11">
                  <c:v>6874.5500716436491</c:v>
                </c:pt>
                <c:pt idx="12">
                  <c:v>6928.0840587992279</c:v>
                </c:pt>
                <c:pt idx="13">
                  <c:v>6982.1187078545445</c:v>
                </c:pt>
                <c:pt idx="14">
                  <c:v>7036.6598460521318</c:v>
                </c:pt>
                <c:pt idx="15">
                  <c:v>7091.7132157015694</c:v>
                </c:pt>
                <c:pt idx="16">
                  <c:v>7147.2844659195307</c:v>
                </c:pt>
                <c:pt idx="17">
                  <c:v>7203.3791442735337</c:v>
                </c:pt>
                <c:pt idx="18">
                  <c:v>7260.0026883519904</c:v>
                </c:pt>
                <c:pt idx="19">
                  <c:v>7317.1604172845782</c:v>
                </c:pt>
                <c:pt idx="20">
                  <c:v>7374.8575232383228</c:v>
                </c:pt>
                <c:pt idx="21">
                  <c:v>7433.0990629159951</c:v>
                </c:pt>
                <c:pt idx="22">
                  <c:v>7491.8899490846234</c:v>
                </c:pt>
                <c:pt idx="23">
                  <c:v>7551.2349421629087</c:v>
                </c:pt>
                <c:pt idx="24">
                  <c:v>7611.1386418972115</c:v>
                </c:pt>
                <c:pt idx="25">
                  <c:v>7671.6054791565493</c:v>
                </c:pt>
                <c:pt idx="26">
                  <c:v>7732.6397078775308</c:v>
                </c:pt>
                <c:pt idx="27">
                  <c:v>7794.2453971905697</c:v>
                </c:pt>
                <c:pt idx="28">
                  <c:v>7856.4264237588941</c:v>
                </c:pt>
                <c:pt idx="29">
                  <c:v>7919.1864643618137</c:v>
                </c:pt>
                <c:pt idx="30">
                  <c:v>7982.5289887534909</c:v>
                </c:pt>
                <c:pt idx="31">
                  <c:v>8046.4572528279559</c:v>
                </c:pt>
                <c:pt idx="32">
                  <c:v>8110.9742921204852</c:v>
                </c:pt>
                <c:pt idx="33">
                  <c:v>8176.0829156744658</c:v>
                </c:pt>
                <c:pt idx="34">
                  <c:v>8241.7857003017743</c:v>
                </c:pt>
                <c:pt idx="35">
                  <c:v>8308.0849852633419</c:v>
                </c:pt>
                <c:pt idx="36">
                  <c:v>8374.9828673949505</c:v>
                </c:pt>
                <c:pt idx="37">
                  <c:v>8442.4811967015685</c:v>
                </c:pt>
                <c:pt idx="38">
                  <c:v>8510.581572441497</c:v>
                </c:pt>
                <c:pt idx="39">
                  <c:v>8579.285339719494</c:v>
                </c:pt>
                <c:pt idx="40">
                  <c:v>8648.593586605617</c:v>
                </c:pt>
                <c:pt idx="41">
                  <c:v>8718.5071417941654</c:v>
                </c:pt>
                <c:pt idx="42">
                  <c:v>8789.0265728143677</c:v>
                </c:pt>
                <c:pt idx="43">
                  <c:v>8860.1521848018456</c:v>
                </c:pt>
                <c:pt idx="44">
                  <c:v>8931.8840198369944</c:v>
                </c:pt>
                <c:pt idx="45">
                  <c:v>9004.2218568537173</c:v>
                </c:pt>
                <c:pt idx="46">
                  <c:v>9077.1652121188727</c:v>
                </c:pt>
                <c:pt idx="47">
                  <c:v>9150.7133402800682</c:v>
                </c:pt>
                <c:pt idx="48">
                  <c:v>9224.8652359765074</c:v>
                </c:pt>
                <c:pt idx="49">
                  <c:v>9299.6196360047797</c:v>
                </c:pt>
                <c:pt idx="50">
                  <c:v>9374.9750220287369</c:v>
                </c:pt>
                <c:pt idx="51">
                  <c:v>9450.9296238199786</c:v>
                </c:pt>
                <c:pt idx="52">
                  <c:v>9527.4814230129341</c:v>
                </c:pt>
                <c:pt idx="53">
                  <c:v>9604.6281573561137</c:v>
                </c:pt>
                <c:pt idx="54">
                  <c:v>9682.3673254389396</c:v>
                </c:pt>
                <c:pt idx="55">
                  <c:v>9760.6961918714587</c:v>
                </c:pt>
                <c:pt idx="56">
                  <c:v>9839.611792892425</c:v>
                </c:pt>
                <c:pt idx="57">
                  <c:v>9919.1109423796079</c:v>
                </c:pt>
                <c:pt idx="58">
                  <c:v>9999.1902382346525</c:v>
                </c:pt>
                <c:pt idx="59">
                  <c:v>10079.84606911375</c:v>
                </c:pt>
                <c:pt idx="60">
                  <c:v>10161.074621474252</c:v>
                </c:pt>
                <c:pt idx="61">
                  <c:v>10242.871886906698</c:v>
                </c:pt>
                <c:pt idx="62">
                  <c:v>10325.23366972111</c:v>
                </c:pt>
                <c:pt idx="63">
                  <c:v>10408.155594756168</c:v>
                </c:pt>
                <c:pt idx="64">
                  <c:v>10491.633115379725</c:v>
                </c:pt>
                <c:pt idx="65">
                  <c:v>10575.661521649268</c:v>
                </c:pt>
                <c:pt idx="66">
                  <c:v>10660.235948601199</c:v>
                </c:pt>
                <c:pt idx="67">
                  <c:v>10745.351384638367</c:v>
                </c:pt>
                <c:pt idx="68">
                  <c:v>10831.002679985904</c:v>
                </c:pt>
                <c:pt idx="69">
                  <c:v>10917.184555186264</c:v>
                </c:pt>
                <c:pt idx="70">
                  <c:v>11003.891609605369</c:v>
                </c:pt>
                <c:pt idx="71">
                  <c:v>11091.118329922796</c:v>
                </c:pt>
                <c:pt idx="72">
                  <c:v>11178.85909858032</c:v>
                </c:pt>
                <c:pt idx="73">
                  <c:v>11267.108202164245</c:v>
                </c:pt>
                <c:pt idx="74">
                  <c:v>11355.859839698518</c:v>
                </c:pt>
                <c:pt idx="75">
                  <c:v>11445.108130827031</c:v>
                </c:pt>
                <c:pt idx="76">
                  <c:v>11534.847123865013</c:v>
                </c:pt>
                <c:pt idx="77">
                  <c:v>11625.070803701037</c:v>
                </c:pt>
                <c:pt idx="78">
                  <c:v>11715.77309953266</c:v>
                </c:pt>
                <c:pt idx="79">
                  <c:v>11806.94789242035</c:v>
                </c:pt>
                <c:pt idx="80">
                  <c:v>11898.589022645945</c:v>
                </c:pt>
                <c:pt idx="81">
                  <c:v>11990.690296863371</c:v>
                </c:pt>
                <c:pt idx="82">
                  <c:v>12083.245495031006</c:v>
                </c:pt>
                <c:pt idx="83">
                  <c:v>12176.248377116422</c:v>
                </c:pt>
                <c:pt idx="84">
                  <c:v>12269.692689565843</c:v>
                </c:pt>
                <c:pt idx="85">
                  <c:v>12363.572171531931</c:v>
                </c:pt>
                <c:pt idx="86">
                  <c:v>12457.880560854916</c:v>
                </c:pt>
                <c:pt idx="87">
                  <c:v>12552.611599793381</c:v>
                </c:pt>
                <c:pt idx="88">
                  <c:v>12647.759040502162</c:v>
                </c:pt>
                <c:pt idx="89">
                  <c:v>12743.316650255991</c:v>
                </c:pt>
                <c:pt idx="90">
                  <c:v>12839.278216418592</c:v>
                </c:pt>
                <c:pt idx="91">
                  <c:v>12935.637551157935</c:v>
                </c:pt>
                <c:pt idx="92">
                  <c:v>13032.388495909174</c:v>
                </c:pt>
                <c:pt idx="93">
                  <c:v>13129.524925587819</c:v>
                </c:pt>
                <c:pt idx="94">
                  <c:v>13227.040752556242</c:v>
                </c:pt>
                <c:pt idx="95">
                  <c:v>13324.929930347467</c:v>
                </c:pt>
                <c:pt idx="96">
                  <c:v>13423.186457150761</c:v>
                </c:pt>
                <c:pt idx="97">
                  <c:v>13521.80437906408</c:v>
                </c:pt>
                <c:pt idx="98">
                  <c:v>13620.777793118912</c:v>
                </c:pt>
                <c:pt idx="99">
                  <c:v>13720.100850083498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33264"/>
        <c:axId val="519027384"/>
      </c:scatterChart>
      <c:valAx>
        <c:axId val="519033264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Eucalypt biomass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7384"/>
        <c:crosses val="autoZero"/>
        <c:crossBetween val="midCat"/>
      </c:valAx>
      <c:valAx>
        <c:axId val="519027384"/>
        <c:scaling>
          <c:orientation val="minMax"/>
          <c:max val="14000"/>
          <c:min val="-4000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3264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Standardized residuals / Eucalypt biomass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7682566</c:v>
                </c:pt>
                <c:pt idx="1">
                  <c:v>15620749</c:v>
                </c:pt>
                <c:pt idx="2">
                  <c:v>34800921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-0.56162645888343232</c:v>
                </c:pt>
                <c:pt idx="1">
                  <c:v>0.79406929663580594</c:v>
                </c:pt>
                <c:pt idx="2">
                  <c:v>-0.23244283775237443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31696"/>
        <c:axId val="519026208"/>
      </c:scatterChart>
      <c:valAx>
        <c:axId val="519031696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Eucalypt biomass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6208"/>
        <c:crosses val="autoZero"/>
        <c:crossBetween val="midCat"/>
      </c:valAx>
      <c:valAx>
        <c:axId val="519026208"/>
        <c:scaling>
          <c:orientation val="minMax"/>
          <c:max val="0.8"/>
          <c:min val="-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1696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Incendios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1449</c:v>
                </c:pt>
                <c:pt idx="1">
                  <c:v>3900</c:v>
                </c:pt>
                <c:pt idx="2">
                  <c:v>8594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-0.56162645888343232</c:v>
                </c:pt>
                <c:pt idx="1">
                  <c:v>0.79406929663580594</c:v>
                </c:pt>
                <c:pt idx="2">
                  <c:v>-0.23244283775237443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33656"/>
        <c:axId val="519030912"/>
      </c:scatterChart>
      <c:valAx>
        <c:axId val="519033656"/>
        <c:scaling>
          <c:orientation val="minMax"/>
          <c:max val="90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0912"/>
        <c:crosses val="autoZero"/>
        <c:crossBetween val="midCat"/>
      </c:valAx>
      <c:valAx>
        <c:axId val="519030912"/>
        <c:scaling>
          <c:orientation val="minMax"/>
          <c:max val="0.8"/>
          <c:min val="-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3656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Pred(Incendios)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1609.3217599549268</c:v>
                </c:pt>
                <c:pt idx="1">
                  <c:v>3673.3251609692302</c:v>
                </c:pt>
                <c:pt idx="2">
                  <c:v>8660.3530790758432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-0.56162645888343232</c:v>
                </c:pt>
                <c:pt idx="1">
                  <c:v>0.79406929663580594</c:v>
                </c:pt>
                <c:pt idx="2">
                  <c:v>-0.23244283775237443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37576"/>
        <c:axId val="519032480"/>
      </c:scatterChart>
      <c:valAx>
        <c:axId val="519037576"/>
        <c:scaling>
          <c:orientation val="minMax"/>
          <c:max val="90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Pred(Incendios)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2480"/>
        <c:crosses val="autoZero"/>
        <c:crossBetween val="midCat"/>
      </c:valAx>
      <c:valAx>
        <c:axId val="519032480"/>
        <c:scaling>
          <c:orientation val="minMax"/>
          <c:max val="0.8"/>
          <c:min val="-0.60000000000000009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7576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Pred(Incendios) / Incendios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1609.3217599549268</c:v>
                </c:pt>
                <c:pt idx="1">
                  <c:v>3673.3251609692302</c:v>
                </c:pt>
                <c:pt idx="2">
                  <c:v>8660.3530790758432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1449</c:v>
                </c:pt>
                <c:pt idx="1">
                  <c:v>3900</c:v>
                </c:pt>
                <c:pt idx="2">
                  <c:v>8594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1000</c:v>
              </c:pt>
              <c:pt idx="1">
                <c:v>9000</c:v>
              </c:pt>
            </c:numLit>
          </c:xVal>
          <c:yVal>
            <c:numLit>
              <c:formatCode>General</c:formatCode>
              <c:ptCount val="2"/>
              <c:pt idx="0">
                <c:v>1000</c:v>
              </c:pt>
              <c:pt idx="1">
                <c:v>9000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inventories'!xdata23</c:f>
              <c:numCache>
                <c:formatCode>General</c:formatCode>
                <c:ptCount val="70"/>
                <c:pt idx="0">
                  <c:v>1000</c:v>
                </c:pt>
                <c:pt idx="1">
                  <c:v>1115.942028985507</c:v>
                </c:pt>
                <c:pt idx="2">
                  <c:v>1231.884057971014</c:v>
                </c:pt>
                <c:pt idx="3">
                  <c:v>1347.8260869565211</c:v>
                </c:pt>
                <c:pt idx="4">
                  <c:v>1463.7681159420281</c:v>
                </c:pt>
                <c:pt idx="5">
                  <c:v>1579.7101449275351</c:v>
                </c:pt>
                <c:pt idx="6">
                  <c:v>1695.6521739130419</c:v>
                </c:pt>
                <c:pt idx="7">
                  <c:v>1811.5942028985489</c:v>
                </c:pt>
                <c:pt idx="8">
                  <c:v>1927.536231884056</c:v>
                </c:pt>
                <c:pt idx="9">
                  <c:v>2043.478260869563</c:v>
                </c:pt>
                <c:pt idx="10">
                  <c:v>2159.4202898550702</c:v>
                </c:pt>
                <c:pt idx="11">
                  <c:v>2275.3623188405772</c:v>
                </c:pt>
                <c:pt idx="12">
                  <c:v>2391.3043478260838</c:v>
                </c:pt>
                <c:pt idx="13">
                  <c:v>2507.2463768115908</c:v>
                </c:pt>
                <c:pt idx="14">
                  <c:v>2623.1884057970979</c:v>
                </c:pt>
                <c:pt idx="15">
                  <c:v>2739.1304347826049</c:v>
                </c:pt>
                <c:pt idx="16">
                  <c:v>2855.0724637681119</c:v>
                </c:pt>
                <c:pt idx="17">
                  <c:v>2971.0144927536189</c:v>
                </c:pt>
                <c:pt idx="18">
                  <c:v>3086.9565217391259</c:v>
                </c:pt>
                <c:pt idx="19">
                  <c:v>3202.898550724633</c:v>
                </c:pt>
                <c:pt idx="20">
                  <c:v>3318.84057971014</c:v>
                </c:pt>
                <c:pt idx="21">
                  <c:v>3434.782608695647</c:v>
                </c:pt>
                <c:pt idx="22">
                  <c:v>3550.724637681154</c:v>
                </c:pt>
                <c:pt idx="23">
                  <c:v>3666.6666666666611</c:v>
                </c:pt>
                <c:pt idx="24">
                  <c:v>3782.6086956521676</c:v>
                </c:pt>
                <c:pt idx="25">
                  <c:v>3898.5507246376746</c:v>
                </c:pt>
                <c:pt idx="26">
                  <c:v>4014.4927536231817</c:v>
                </c:pt>
                <c:pt idx="27">
                  <c:v>4130.4347826086887</c:v>
                </c:pt>
                <c:pt idx="28">
                  <c:v>4246.3768115941957</c:v>
                </c:pt>
                <c:pt idx="29">
                  <c:v>4362.3188405797027</c:v>
                </c:pt>
                <c:pt idx="30">
                  <c:v>4478.2608695652098</c:v>
                </c:pt>
                <c:pt idx="31">
                  <c:v>4594.2028985507168</c:v>
                </c:pt>
                <c:pt idx="32">
                  <c:v>4710.1449275362238</c:v>
                </c:pt>
                <c:pt idx="33">
                  <c:v>4826.0869565217308</c:v>
                </c:pt>
                <c:pt idx="34">
                  <c:v>4942.0289855072378</c:v>
                </c:pt>
                <c:pt idx="35">
                  <c:v>5057.9710144927449</c:v>
                </c:pt>
                <c:pt idx="36">
                  <c:v>5173.9130434782519</c:v>
                </c:pt>
                <c:pt idx="37">
                  <c:v>5289.8550724637589</c:v>
                </c:pt>
                <c:pt idx="38">
                  <c:v>5405.7971014492659</c:v>
                </c:pt>
                <c:pt idx="39">
                  <c:v>5521.739130434773</c:v>
                </c:pt>
                <c:pt idx="40">
                  <c:v>5637.68115942028</c:v>
                </c:pt>
                <c:pt idx="41">
                  <c:v>5753.623188405787</c:v>
                </c:pt>
                <c:pt idx="42">
                  <c:v>5869.565217391294</c:v>
                </c:pt>
                <c:pt idx="43">
                  <c:v>5985.507246376801</c:v>
                </c:pt>
                <c:pt idx="44">
                  <c:v>6101.4492753623081</c:v>
                </c:pt>
                <c:pt idx="45">
                  <c:v>6217.3913043478151</c:v>
                </c:pt>
                <c:pt idx="46">
                  <c:v>6333.3333333333221</c:v>
                </c:pt>
                <c:pt idx="47">
                  <c:v>6449.2753623188291</c:v>
                </c:pt>
                <c:pt idx="48">
                  <c:v>6565.2173913043353</c:v>
                </c:pt>
                <c:pt idx="49">
                  <c:v>6681.1594202898423</c:v>
                </c:pt>
                <c:pt idx="50">
                  <c:v>6797.1014492753493</c:v>
                </c:pt>
                <c:pt idx="51">
                  <c:v>6913.0434782608563</c:v>
                </c:pt>
                <c:pt idx="52">
                  <c:v>7028.9855072463633</c:v>
                </c:pt>
                <c:pt idx="53">
                  <c:v>7144.9275362318704</c:v>
                </c:pt>
                <c:pt idx="54">
                  <c:v>7260.8695652173774</c:v>
                </c:pt>
                <c:pt idx="55">
                  <c:v>7376.8115942028844</c:v>
                </c:pt>
                <c:pt idx="56">
                  <c:v>7492.7536231883914</c:v>
                </c:pt>
                <c:pt idx="57">
                  <c:v>7608.6956521738985</c:v>
                </c:pt>
                <c:pt idx="58">
                  <c:v>7724.6376811594055</c:v>
                </c:pt>
                <c:pt idx="59">
                  <c:v>7840.5797101449125</c:v>
                </c:pt>
                <c:pt idx="60">
                  <c:v>7956.5217391304195</c:v>
                </c:pt>
                <c:pt idx="61">
                  <c:v>8072.4637681159265</c:v>
                </c:pt>
                <c:pt idx="62">
                  <c:v>8188.4057971014336</c:v>
                </c:pt>
                <c:pt idx="63">
                  <c:v>8304.3478260869415</c:v>
                </c:pt>
                <c:pt idx="64">
                  <c:v>8420.2898550724476</c:v>
                </c:pt>
                <c:pt idx="65">
                  <c:v>8536.2318840579537</c:v>
                </c:pt>
                <c:pt idx="66">
                  <c:v>8652.1739130434617</c:v>
                </c:pt>
                <c:pt idx="67">
                  <c:v>8768.1159420289696</c:v>
                </c:pt>
                <c:pt idx="68">
                  <c:v>8884.0579710144757</c:v>
                </c:pt>
                <c:pt idx="69">
                  <c:v>8999.9999999999818</c:v>
                </c:pt>
              </c:numCache>
            </c:numRef>
          </c:xVal>
          <c:yVal>
            <c:numRef>
              <c:f>'Forest inventories'!ydata23</c:f>
              <c:numCache>
                <c:formatCode>General</c:formatCode>
                <c:ptCount val="70"/>
                <c:pt idx="0">
                  <c:v>-3919.4915920901667</c:v>
                </c:pt>
                <c:pt idx="1">
                  <c:v>-3761.0177368049663</c:v>
                </c:pt>
                <c:pt idx="2">
                  <c:v>-3603.5614377623961</c:v>
                </c:pt>
                <c:pt idx="3">
                  <c:v>-3447.1491246430351</c:v>
                </c:pt>
                <c:pt idx="4">
                  <c:v>-3291.8074507035199</c:v>
                </c:pt>
                <c:pt idx="5">
                  <c:v>-3137.5632426210677</c:v>
                </c:pt>
                <c:pt idx="6">
                  <c:v>-2984.4434456495173</c:v>
                </c:pt>
                <c:pt idx="7">
                  <c:v>-2832.4750640481943</c:v>
                </c:pt>
                <c:pt idx="8">
                  <c:v>-2681.6850967924156</c:v>
                </c:pt>
                <c:pt idx="9">
                  <c:v>-2532.100468627852</c:v>
                </c:pt>
                <c:pt idx="10">
                  <c:v>-2383.7479565901886</c:v>
                </c:pt>
                <c:pt idx="11">
                  <c:v>-2236.6541121760501</c:v>
                </c:pt>
                <c:pt idx="12">
                  <c:v>-2090.8451794203907</c:v>
                </c:pt>
                <c:pt idx="13">
                  <c:v>-1946.3470092087132</c:v>
                </c:pt>
                <c:pt idx="14">
                  <c:v>-1803.1849702284749</c:v>
                </c:pt>
                <c:pt idx="15">
                  <c:v>-1661.3838570415323</c:v>
                </c:pt>
                <c:pt idx="16">
                  <c:v>-1520.9677958370471</c:v>
                </c:pt>
                <c:pt idx="17">
                  <c:v>-1381.9601485001199</c:v>
                </c:pt>
                <c:pt idx="18">
                  <c:v>-1244.3834157037049</c:v>
                </c:pt>
                <c:pt idx="19">
                  <c:v>-1108.2591397980254</c:v>
                </c:pt>
                <c:pt idx="20">
                  <c:v>-973.6078083306852</c:v>
                </c:pt>
                <c:pt idx="21">
                  <c:v>-840.44875907991855</c:v>
                </c:pt>
                <c:pt idx="22">
                  <c:v>-708.800087520734</c:v>
                </c:pt>
                <c:pt idx="23">
                  <c:v>-578.67855766746061</c:v>
                </c:pt>
                <c:pt idx="24">
                  <c:v>-450.09951724452094</c:v>
                </c:pt>
                <c:pt idx="25">
                  <c:v>-323.07681812896044</c:v>
                </c:pt>
                <c:pt idx="26">
                  <c:v>-197.62274298239754</c:v>
                </c:pt>
                <c:pt idx="27">
                  <c:v>-73.747938946133218</c:v>
                </c:pt>
                <c:pt idx="28">
                  <c:v>48.538640788705379</c:v>
                </c:pt>
                <c:pt idx="29">
                  <c:v>169.2297868033238</c:v>
                </c:pt>
                <c:pt idx="30">
                  <c:v>288.32007402844829</c:v>
                </c:pt>
                <c:pt idx="31">
                  <c:v>405.80589254908955</c:v>
                </c:pt>
                <c:pt idx="32">
                  <c:v>521.6854682314306</c:v>
                </c:pt>
                <c:pt idx="33">
                  <c:v>635.95887289798338</c:v>
                </c:pt>
                <c:pt idx="34">
                  <c:v>748.62802391516834</c:v>
                </c:pt>
                <c:pt idx="35">
                  <c:v>859.69667319888595</c:v>
                </c:pt>
                <c:pt idx="36">
                  <c:v>969.17038578471511</c:v>
                </c:pt>
                <c:pt idx="37">
                  <c:v>1077.0565082471803</c:v>
                </c:pt>
                <c:pt idx="38">
                  <c:v>1183.3641273833591</c:v>
                </c:pt>
                <c:pt idx="39">
                  <c:v>1288.1040196973026</c:v>
                </c:pt>
                <c:pt idx="40">
                  <c:v>1391.2885923305012</c:v>
                </c:pt>
                <c:pt idx="41">
                  <c:v>1492.9318161778228</c:v>
                </c:pt>
                <c:pt idx="42">
                  <c:v>1593.0491520062324</c:v>
                </c:pt>
                <c:pt idx="43">
                  <c:v>1691.6574704540944</c:v>
                </c:pt>
                <c:pt idx="44">
                  <c:v>1788.7749668313882</c:v>
                </c:pt>
                <c:pt idx="45">
                  <c:v>1884.4210716656125</c:v>
                </c:pt>
                <c:pt idx="46">
                  <c:v>1978.6163579451731</c:v>
                </c:pt>
                <c:pt idx="47">
                  <c:v>2071.3824460023998</c:v>
                </c:pt>
                <c:pt idx="48">
                  <c:v>2162.7419069535508</c:v>
                </c:pt>
                <c:pt idx="49">
                  <c:v>2252.7181655748136</c:v>
                </c:pt>
                <c:pt idx="50">
                  <c:v>2341.3354034432095</c:v>
                </c:pt>
                <c:pt idx="51">
                  <c:v>2428.6184631117148</c:v>
                </c:pt>
                <c:pt idx="52">
                  <c:v>2514.5927540206967</c:v>
                </c:pt>
                <c:pt idx="53">
                  <c:v>2599.2841607751379</c:v>
                </c:pt>
                <c:pt idx="54">
                  <c:v>2682.7189543410632</c:v>
                </c:pt>
                <c:pt idx="55">
                  <c:v>2764.9237066370024</c:v>
                </c:pt>
                <c:pt idx="56">
                  <c:v>2845.9252089188431</c:v>
                </c:pt>
                <c:pt idx="57">
                  <c:v>2925.7503942806306</c:v>
                </c:pt>
                <c:pt idx="58">
                  <c:v>3004.4262645210083</c:v>
                </c:pt>
                <c:pt idx="59">
                  <c:v>3081.9798215560313</c:v>
                </c:pt>
                <c:pt idx="60">
                  <c:v>3158.4380034950154</c:v>
                </c:pt>
                <c:pt idx="61">
                  <c:v>3233.8276254372777</c:v>
                </c:pt>
                <c:pt idx="62">
                  <c:v>3308.1753249946642</c:v>
                </c:pt>
                <c:pt idx="63">
                  <c:v>3381.5075124977393</c:v>
                </c:pt>
                <c:pt idx="64">
                  <c:v>3453.8503258025257</c:v>
                </c:pt>
                <c:pt idx="65">
                  <c:v>3525.2295895796442</c:v>
                </c:pt>
                <c:pt idx="66">
                  <c:v>3595.6707789383163</c:v>
                </c:pt>
                <c:pt idx="67">
                  <c:v>3665.1989872138456</c:v>
                </c:pt>
                <c:pt idx="68">
                  <c:v>3733.8388977283312</c:v>
                </c:pt>
                <c:pt idx="69">
                  <c:v>3801.6147593202031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inventories'!xdata24</c:f>
              <c:numCache>
                <c:formatCode>General</c:formatCode>
                <c:ptCount val="70"/>
                <c:pt idx="0">
                  <c:v>1000</c:v>
                </c:pt>
                <c:pt idx="1">
                  <c:v>1115.942028985507</c:v>
                </c:pt>
                <c:pt idx="2">
                  <c:v>1231.884057971014</c:v>
                </c:pt>
                <c:pt idx="3">
                  <c:v>1347.8260869565211</c:v>
                </c:pt>
                <c:pt idx="4">
                  <c:v>1463.7681159420281</c:v>
                </c:pt>
                <c:pt idx="5">
                  <c:v>1579.7101449275351</c:v>
                </c:pt>
                <c:pt idx="6">
                  <c:v>1695.6521739130419</c:v>
                </c:pt>
                <c:pt idx="7">
                  <c:v>1811.5942028985489</c:v>
                </c:pt>
                <c:pt idx="8">
                  <c:v>1927.536231884056</c:v>
                </c:pt>
                <c:pt idx="9">
                  <c:v>2043.478260869563</c:v>
                </c:pt>
                <c:pt idx="10">
                  <c:v>2159.4202898550702</c:v>
                </c:pt>
                <c:pt idx="11">
                  <c:v>2275.3623188405772</c:v>
                </c:pt>
                <c:pt idx="12">
                  <c:v>2391.3043478260838</c:v>
                </c:pt>
                <c:pt idx="13">
                  <c:v>2507.2463768115908</c:v>
                </c:pt>
                <c:pt idx="14">
                  <c:v>2623.1884057970979</c:v>
                </c:pt>
                <c:pt idx="15">
                  <c:v>2739.1304347826049</c:v>
                </c:pt>
                <c:pt idx="16">
                  <c:v>2855.0724637681119</c:v>
                </c:pt>
                <c:pt idx="17">
                  <c:v>2971.0144927536189</c:v>
                </c:pt>
                <c:pt idx="18">
                  <c:v>3086.9565217391259</c:v>
                </c:pt>
                <c:pt idx="19">
                  <c:v>3202.898550724633</c:v>
                </c:pt>
                <c:pt idx="20">
                  <c:v>3318.84057971014</c:v>
                </c:pt>
                <c:pt idx="21">
                  <c:v>3434.782608695647</c:v>
                </c:pt>
                <c:pt idx="22">
                  <c:v>3550.724637681154</c:v>
                </c:pt>
                <c:pt idx="23">
                  <c:v>3666.6666666666611</c:v>
                </c:pt>
                <c:pt idx="24">
                  <c:v>3782.6086956521676</c:v>
                </c:pt>
                <c:pt idx="25">
                  <c:v>3898.5507246376746</c:v>
                </c:pt>
                <c:pt idx="26">
                  <c:v>4014.4927536231817</c:v>
                </c:pt>
                <c:pt idx="27">
                  <c:v>4130.4347826086887</c:v>
                </c:pt>
                <c:pt idx="28">
                  <c:v>4246.3768115941957</c:v>
                </c:pt>
                <c:pt idx="29">
                  <c:v>4362.3188405797027</c:v>
                </c:pt>
                <c:pt idx="30">
                  <c:v>4478.2608695652098</c:v>
                </c:pt>
                <c:pt idx="31">
                  <c:v>4594.2028985507168</c:v>
                </c:pt>
                <c:pt idx="32">
                  <c:v>4710.1449275362238</c:v>
                </c:pt>
                <c:pt idx="33">
                  <c:v>4826.0869565217308</c:v>
                </c:pt>
                <c:pt idx="34">
                  <c:v>4942.0289855072378</c:v>
                </c:pt>
                <c:pt idx="35">
                  <c:v>5057.9710144927449</c:v>
                </c:pt>
                <c:pt idx="36">
                  <c:v>5173.9130434782519</c:v>
                </c:pt>
                <c:pt idx="37">
                  <c:v>5289.8550724637589</c:v>
                </c:pt>
                <c:pt idx="38">
                  <c:v>5405.7971014492659</c:v>
                </c:pt>
                <c:pt idx="39">
                  <c:v>5521.739130434773</c:v>
                </c:pt>
                <c:pt idx="40">
                  <c:v>5637.68115942028</c:v>
                </c:pt>
                <c:pt idx="41">
                  <c:v>5753.623188405787</c:v>
                </c:pt>
                <c:pt idx="42">
                  <c:v>5869.565217391294</c:v>
                </c:pt>
                <c:pt idx="43">
                  <c:v>5985.507246376801</c:v>
                </c:pt>
                <c:pt idx="44">
                  <c:v>6101.4492753623081</c:v>
                </c:pt>
                <c:pt idx="45">
                  <c:v>6217.3913043478151</c:v>
                </c:pt>
                <c:pt idx="46">
                  <c:v>6333.3333333333221</c:v>
                </c:pt>
                <c:pt idx="47">
                  <c:v>6449.2753623188291</c:v>
                </c:pt>
                <c:pt idx="48">
                  <c:v>6565.2173913043353</c:v>
                </c:pt>
                <c:pt idx="49">
                  <c:v>6681.1594202898423</c:v>
                </c:pt>
                <c:pt idx="50">
                  <c:v>6797.1014492753493</c:v>
                </c:pt>
                <c:pt idx="51">
                  <c:v>6913.0434782608563</c:v>
                </c:pt>
                <c:pt idx="52">
                  <c:v>7028.9855072463633</c:v>
                </c:pt>
                <c:pt idx="53">
                  <c:v>7144.9275362318704</c:v>
                </c:pt>
                <c:pt idx="54">
                  <c:v>7260.8695652173774</c:v>
                </c:pt>
                <c:pt idx="55">
                  <c:v>7376.8115942028844</c:v>
                </c:pt>
                <c:pt idx="56">
                  <c:v>7492.7536231883914</c:v>
                </c:pt>
                <c:pt idx="57">
                  <c:v>7608.6956521738985</c:v>
                </c:pt>
                <c:pt idx="58">
                  <c:v>7724.6376811594055</c:v>
                </c:pt>
                <c:pt idx="59">
                  <c:v>7840.5797101449125</c:v>
                </c:pt>
                <c:pt idx="60">
                  <c:v>7956.5217391304195</c:v>
                </c:pt>
                <c:pt idx="61">
                  <c:v>8072.4637681159265</c:v>
                </c:pt>
                <c:pt idx="62">
                  <c:v>8188.4057971014336</c:v>
                </c:pt>
                <c:pt idx="63">
                  <c:v>8304.3478260869415</c:v>
                </c:pt>
                <c:pt idx="64">
                  <c:v>8420.2898550724476</c:v>
                </c:pt>
                <c:pt idx="65">
                  <c:v>8536.2318840579537</c:v>
                </c:pt>
                <c:pt idx="66">
                  <c:v>8652.1739130434617</c:v>
                </c:pt>
                <c:pt idx="67">
                  <c:v>8768.1159420289696</c:v>
                </c:pt>
                <c:pt idx="68">
                  <c:v>8884.0579710144757</c:v>
                </c:pt>
                <c:pt idx="69">
                  <c:v>8999.9999999999818</c:v>
                </c:pt>
              </c:numCache>
            </c:numRef>
          </c:xVal>
          <c:yVal>
            <c:numRef>
              <c:f>'Forest inventories'!ydata24</c:f>
              <c:numCache>
                <c:formatCode>General</c:formatCode>
                <c:ptCount val="70"/>
                <c:pt idx="0">
                  <c:v>5919.4915920901667</c:v>
                </c:pt>
                <c:pt idx="1">
                  <c:v>5992.9017947759803</c:v>
                </c:pt>
                <c:pt idx="2">
                  <c:v>6067.3295537044241</c:v>
                </c:pt>
                <c:pt idx="3">
                  <c:v>6142.8012985560772</c:v>
                </c:pt>
                <c:pt idx="4">
                  <c:v>6219.343682587576</c:v>
                </c:pt>
                <c:pt idx="5">
                  <c:v>6296.983532476138</c:v>
                </c:pt>
                <c:pt idx="6">
                  <c:v>6375.7477934756016</c:v>
                </c:pt>
                <c:pt idx="7">
                  <c:v>6455.6634698452926</c:v>
                </c:pt>
                <c:pt idx="8">
                  <c:v>6536.757560560528</c:v>
                </c:pt>
                <c:pt idx="9">
                  <c:v>6619.0569903669784</c:v>
                </c:pt>
                <c:pt idx="10">
                  <c:v>6702.588536300329</c:v>
                </c:pt>
                <c:pt idx="11">
                  <c:v>6787.3787498572046</c:v>
                </c:pt>
                <c:pt idx="12">
                  <c:v>6873.4538750725587</c:v>
                </c:pt>
                <c:pt idx="13">
                  <c:v>6960.8397628318944</c:v>
                </c:pt>
                <c:pt idx="14">
                  <c:v>7049.561781822671</c:v>
                </c:pt>
                <c:pt idx="15">
                  <c:v>7139.6447266067426</c:v>
                </c:pt>
                <c:pt idx="16">
                  <c:v>7231.1127233732714</c:v>
                </c:pt>
                <c:pt idx="17">
                  <c:v>7323.9891340073573</c:v>
                </c:pt>
                <c:pt idx="18">
                  <c:v>7418.2964591819564</c:v>
                </c:pt>
                <c:pt idx="19">
                  <c:v>7514.0562412472918</c:v>
                </c:pt>
                <c:pt idx="20">
                  <c:v>7611.2889677509647</c:v>
                </c:pt>
                <c:pt idx="21">
                  <c:v>7710.013976471213</c:v>
                </c:pt>
                <c:pt idx="22">
                  <c:v>7810.2493628830416</c:v>
                </c:pt>
                <c:pt idx="23">
                  <c:v>7912.0118910007823</c:v>
                </c:pt>
                <c:pt idx="24">
                  <c:v>8015.3169085488562</c:v>
                </c:pt>
                <c:pt idx="25">
                  <c:v>8120.1782674043097</c:v>
                </c:pt>
                <c:pt idx="26">
                  <c:v>8226.6082502287609</c:v>
                </c:pt>
                <c:pt idx="27">
                  <c:v>8334.6175041635106</c:v>
                </c:pt>
                <c:pt idx="28">
                  <c:v>8444.2149823996861</c:v>
                </c:pt>
                <c:pt idx="29">
                  <c:v>8555.4078943560817</c:v>
                </c:pt>
                <c:pt idx="30">
                  <c:v>8668.2016651019712</c:v>
                </c:pt>
                <c:pt idx="31">
                  <c:v>8782.599904552344</c:v>
                </c:pt>
                <c:pt idx="32">
                  <c:v>8898.6043868410161</c:v>
                </c:pt>
                <c:pt idx="33">
                  <c:v>9016.2150401454783</c:v>
                </c:pt>
                <c:pt idx="34">
                  <c:v>9135.4299470993064</c:v>
                </c:pt>
                <c:pt idx="35">
                  <c:v>9256.2453557866029</c:v>
                </c:pt>
                <c:pt idx="36">
                  <c:v>9378.6557011717887</c:v>
                </c:pt>
                <c:pt idx="37">
                  <c:v>9502.6536366803375</c:v>
                </c:pt>
                <c:pt idx="38">
                  <c:v>9628.2300755151737</c:v>
                </c:pt>
                <c:pt idx="39">
                  <c:v>9755.3742411722433</c:v>
                </c:pt>
                <c:pt idx="40">
                  <c:v>9884.0737265100579</c:v>
                </c:pt>
                <c:pt idx="41">
                  <c:v>10014.314560633751</c:v>
                </c:pt>
                <c:pt idx="42">
                  <c:v>10146.081282776355</c:v>
                </c:pt>
                <c:pt idx="43">
                  <c:v>10279.357022299508</c:v>
                </c:pt>
                <c:pt idx="44">
                  <c:v>10414.123583893228</c:v>
                </c:pt>
                <c:pt idx="45">
                  <c:v>10550.361537030018</c:v>
                </c:pt>
                <c:pt idx="46">
                  <c:v>10688.050308721471</c:v>
                </c:pt>
                <c:pt idx="47">
                  <c:v>10827.168278635258</c:v>
                </c:pt>
                <c:pt idx="48">
                  <c:v>10967.692875655121</c:v>
                </c:pt>
                <c:pt idx="49">
                  <c:v>11109.600675004871</c:v>
                </c:pt>
                <c:pt idx="50">
                  <c:v>11252.86749510749</c:v>
                </c:pt>
                <c:pt idx="51">
                  <c:v>11397.468493409997</c:v>
                </c:pt>
                <c:pt idx="52">
                  <c:v>11543.378260472029</c:v>
                </c:pt>
                <c:pt idx="53">
                  <c:v>11690.570911688603</c:v>
                </c:pt>
                <c:pt idx="54">
                  <c:v>11839.020176093691</c:v>
                </c:pt>
                <c:pt idx="55">
                  <c:v>11988.699481768766</c:v>
                </c:pt>
                <c:pt idx="56">
                  <c:v>12139.58203745794</c:v>
                </c:pt>
                <c:pt idx="57">
                  <c:v>12291.640910067166</c:v>
                </c:pt>
                <c:pt idx="58">
                  <c:v>12444.849097797804</c:v>
                </c:pt>
                <c:pt idx="59">
                  <c:v>12599.179598733794</c:v>
                </c:pt>
                <c:pt idx="60">
                  <c:v>12754.605474765824</c:v>
                </c:pt>
                <c:pt idx="61">
                  <c:v>12911.099910794575</c:v>
                </c:pt>
                <c:pt idx="62">
                  <c:v>13068.636269208204</c:v>
                </c:pt>
                <c:pt idx="63">
                  <c:v>13227.188139676144</c:v>
                </c:pt>
                <c:pt idx="64">
                  <c:v>13386.729384342369</c:v>
                </c:pt>
                <c:pt idx="65">
                  <c:v>13547.234178536262</c:v>
                </c:pt>
                <c:pt idx="66">
                  <c:v>13708.677047148607</c:v>
                </c:pt>
                <c:pt idx="67">
                  <c:v>13871.032896844094</c:v>
                </c:pt>
                <c:pt idx="68">
                  <c:v>14034.277044300619</c:v>
                </c:pt>
                <c:pt idx="69">
                  <c:v>14198.38524067976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32872"/>
        <c:axId val="519026600"/>
      </c:scatterChart>
      <c:valAx>
        <c:axId val="519032872"/>
        <c:scaling>
          <c:orientation val="minMax"/>
          <c:max val="90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Pred(Incendios)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6600"/>
        <c:crosses val="autoZero"/>
        <c:crossBetween val="midCat"/>
        <c:majorUnit val="1000"/>
      </c:valAx>
      <c:valAx>
        <c:axId val="519026600"/>
        <c:scaling>
          <c:orientation val="minMax"/>
          <c:max val="9000"/>
          <c:min val="1000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2872"/>
        <c:crosses val="autoZero"/>
        <c:crossBetween val="midCat"/>
        <c:majorUnit val="1000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Standardized residuals / Incendios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'IFN1-4'!#REF!</c:f>
              <c:numCache>
                <c:formatCode>General</c:formatCode>
                <c:ptCount val="3"/>
                <c:pt idx="0">
                  <c:v>-0.56162645888343232</c:v>
                </c:pt>
                <c:pt idx="1">
                  <c:v>0.79406929663580594</c:v>
                </c:pt>
                <c:pt idx="2">
                  <c:v>-0.23244283775237443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3"/>
                      <c:pt idx="0">
                        <c:v>Obs1</c:v>
                      </c:pt>
                      <c:pt idx="1">
                        <c:v>Obs2</c:v>
                      </c:pt>
                      <c:pt idx="2">
                        <c:v>Obs3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9025816"/>
        <c:axId val="519036008"/>
      </c:barChart>
      <c:catAx>
        <c:axId val="519025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Observations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6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036008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5816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Incendios / Standardized coefficients
(95% conf. interval)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0.96067517271335567</c:v>
                </c:pt>
              </c:numLit>
            </c:plus>
            <c:minus>
              <c:numLit>
                <c:formatCode>General</c:formatCode>
                <c:ptCount val="1"/>
                <c:pt idx="0">
                  <c:v>0.96067517271335567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'IFN1-4'!#REF!</c:f>
              <c:numCache>
                <c:formatCode>General</c:formatCode>
                <c:ptCount val="1"/>
                <c:pt idx="0">
                  <c:v>0.99713771137874729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Eucalypt biomass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519028560"/>
        <c:axId val="519028952"/>
      </c:barChart>
      <c:catAx>
        <c:axId val="51902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Variable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9028952"/>
        <c:crosses val="autoZero"/>
        <c:auto val="1"/>
        <c:lblAlgn val="ctr"/>
        <c:lblOffset val="100"/>
        <c:tickMarkSkip val="1"/>
        <c:noMultiLvlLbl val="0"/>
      </c:catAx>
      <c:valAx>
        <c:axId val="519028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coefficients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28560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Regression of Incendios by Eucalypt biomass (R²=0.994)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Active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7682566</c:v>
                </c:pt>
                <c:pt idx="1">
                  <c:v>15620749</c:v>
                </c:pt>
                <c:pt idx="2">
                  <c:v>34800921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1414</c:v>
                </c:pt>
                <c:pt idx="1">
                  <c:v>3895</c:v>
                </c:pt>
                <c:pt idx="2">
                  <c:v>12589</c:v>
                </c:pt>
              </c:numCache>
            </c:numRef>
          </c:yVal>
          <c:smooth val="0"/>
        </c:ser>
        <c:ser>
          <c:idx val="1"/>
          <c:order val="1"/>
          <c:tx>
            <c:v>Model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"/>
              <c:pt idx="0">
                <c:v>7682566</c:v>
              </c:pt>
              <c:pt idx="1">
                <c:v>34800921</c:v>
              </c:pt>
            </c:numLit>
          </c:xVal>
          <c:yVal>
            <c:numLit>
              <c:formatCode>General</c:formatCode>
              <c:ptCount val="2"/>
              <c:pt idx="0">
                <c:v>1061.60029689574</c:v>
              </c:pt>
              <c:pt idx="1">
                <c:v>12443.1507692221</c:v>
              </c:pt>
            </c:numLit>
          </c:yVal>
          <c:smooth val="0"/>
        </c:ser>
        <c:ser>
          <c:idx val="2"/>
          <c:order val="2"/>
          <c:tx>
            <c:v>Conf. interval (Mean 95%)</c:v>
          </c:tx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inventories'!xdata25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inventories'!ydata25</c:f>
              <c:numCache>
                <c:formatCode>General</c:formatCode>
                <c:ptCount val="70"/>
                <c:pt idx="0">
                  <c:v>-5534.9149281324244</c:v>
                </c:pt>
                <c:pt idx="1">
                  <c:v>-5257.080760720768</c:v>
                </c:pt>
                <c:pt idx="2">
                  <c:v>-4981.2102951161041</c:v>
                </c:pt>
                <c:pt idx="3">
                  <c:v>-4707.4078519367522</c:v>
                </c:pt>
                <c:pt idx="4">
                  <c:v>-4435.7831134522257</c:v>
                </c:pt>
                <c:pt idx="5">
                  <c:v>-4166.4512205298588</c:v>
                </c:pt>
                <c:pt idx="6">
                  <c:v>-3899.5328288646674</c:v>
                </c:pt>
                <c:pt idx="7">
                  <c:v>-3635.1541150763328</c:v>
                </c:pt>
                <c:pt idx="8">
                  <c:v>-3373.4467222208518</c:v>
                </c:pt>
                <c:pt idx="9">
                  <c:v>-3114.5476333125557</c:v>
                </c:pt>
                <c:pt idx="10">
                  <c:v>-2858.5989606604985</c:v>
                </c:pt>
                <c:pt idx="11">
                  <c:v>-2605.7476382855807</c:v>
                </c:pt>
                <c:pt idx="12">
                  <c:v>-2356.1450045130991</c:v>
                </c:pt>
                <c:pt idx="13">
                  <c:v>-2109.9462621566804</c:v>
                </c:pt>
                <c:pt idx="14">
                  <c:v>-1867.3098046623859</c:v>
                </c:pt>
                <c:pt idx="15">
                  <c:v>-1628.3963983058861</c:v>
                </c:pt>
                <c:pt idx="16">
                  <c:v>-1393.3682131618975</c:v>
                </c:pt>
                <c:pt idx="17">
                  <c:v>-1162.3876991972497</c:v>
                </c:pt>
                <c:pt idx="18">
                  <c:v>-935.61630853412544</c:v>
                </c:pt>
                <c:pt idx="19">
                  <c:v>-713.2130706764101</c:v>
                </c:pt>
                <c:pt idx="20">
                  <c:v>-495.33303418514333</c:v>
                </c:pt>
                <c:pt idx="21">
                  <c:v>-282.1255957129888</c:v>
                </c:pt>
                <c:pt idx="22">
                  <c:v>-73.732745123059431</c:v>
                </c:pt>
                <c:pt idx="23">
                  <c:v>129.71273683800791</c:v>
                </c:pt>
                <c:pt idx="24">
                  <c:v>328.08908473620704</c:v>
                </c:pt>
                <c:pt idx="25">
                  <c:v>521.28730910589366</c:v>
                </c:pt>
                <c:pt idx="26">
                  <c:v>709.21285824158895</c:v>
                </c:pt>
                <c:pt idx="27">
                  <c:v>891.78712639259084</c:v>
                </c:pt>
                <c:pt idx="28">
                  <c:v>1068.9487551638331</c:v>
                </c:pt>
                <c:pt idx="29">
                  <c:v>1240.654679635195</c:v>
                </c:pt>
                <c:pt idx="30">
                  <c:v>1406.8808785424235</c:v>
                </c:pt>
                <c:pt idx="31">
                  <c:v>1567.6227984647148</c:v>
                </c:pt>
                <c:pt idx="32">
                  <c:v>1722.8954346976907</c:v>
                </c:pt>
                <c:pt idx="33">
                  <c:v>1872.7330654827565</c:v>
                </c:pt>
                <c:pt idx="34">
                  <c:v>2017.1886505007797</c:v>
                </c:pt>
                <c:pt idx="35">
                  <c:v>2156.3329179769053</c:v>
                </c:pt>
                <c:pt idx="36">
                  <c:v>2290.2531764325695</c:v>
                </c:pt>
                <c:pt idx="37">
                  <c:v>2419.0518963029617</c:v>
                </c:pt>
                <c:pt idx="38">
                  <c:v>2542.845112824125</c:v>
                </c:pt>
                <c:pt idx="39">
                  <c:v>2661.7607045939503</c:v>
                </c:pt>
                <c:pt idx="40">
                  <c:v>2775.9366021291717</c:v>
                </c:pt>
                <c:pt idx="41">
                  <c:v>2885.5189779256998</c:v>
                </c:pt>
                <c:pt idx="42">
                  <c:v>2990.6604645110583</c:v>
                </c:pt>
                <c:pt idx="43">
                  <c:v>3091.5184403823941</c:v>
                </c:pt>
                <c:pt idx="44">
                  <c:v>3188.2534162000075</c:v>
                </c:pt>
                <c:pt idx="45">
                  <c:v>3281.0275457593198</c:v>
                </c:pt>
                <c:pt idx="46">
                  <c:v>3370.0032786083302</c:v>
                </c:pt>
                <c:pt idx="47">
                  <c:v>3455.3421641102177</c:v>
                </c:pt>
                <c:pt idx="48">
                  <c:v>3537.2038105445372</c:v>
                </c:pt>
                <c:pt idx="49">
                  <c:v>3615.7449976495991</c:v>
                </c:pt>
                <c:pt idx="50">
                  <c:v>3691.1189368852602</c:v>
                </c:pt>
                <c:pt idx="51">
                  <c:v>3763.4746706116466</c:v>
                </c:pt>
                <c:pt idx="52">
                  <c:v>3832.9565992505031</c:v>
                </c:pt>
                <c:pt idx="53">
                  <c:v>3899.7041242013511</c:v>
                </c:pt>
                <c:pt idx="54">
                  <c:v>3963.8513936870459</c:v>
                </c:pt>
                <c:pt idx="55">
                  <c:v>4025.5271386623062</c:v>
                </c:pt>
                <c:pt idx="56">
                  <c:v>4084.8545863010522</c:v>
                </c:pt>
                <c:pt idx="57">
                  <c:v>4141.9514392647025</c:v>
                </c:pt>
                <c:pt idx="58">
                  <c:v>4196.9299098413894</c:v>
                </c:pt>
                <c:pt idx="59">
                  <c:v>4249.8967990514066</c:v>
                </c:pt>
                <c:pt idx="60">
                  <c:v>4300.95361187048</c:v>
                </c:pt>
                <c:pt idx="61">
                  <c:v>4350.1967007791927</c:v>
                </c:pt>
                <c:pt idx="62">
                  <c:v>4397.7174308677877</c:v>
                </c:pt>
                <c:pt idx="63">
                  <c:v>4443.6023606855624</c:v>
                </c:pt>
                <c:pt idx="64">
                  <c:v>4487.9334339079724</c:v>
                </c:pt>
                <c:pt idx="65">
                  <c:v>4530.7881776940631</c:v>
                </c:pt>
                <c:pt idx="66">
                  <c:v>4572.2399043194118</c:v>
                </c:pt>
                <c:pt idx="67">
                  <c:v>4612.3579132966433</c:v>
                </c:pt>
                <c:pt idx="68">
                  <c:v>4651.2076917406512</c:v>
                </c:pt>
                <c:pt idx="69">
                  <c:v>4688.8511112048773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inventories'!xdata26</c:f>
              <c:numCache>
                <c:formatCode>General</c:formatCode>
                <c:ptCount val="70"/>
                <c:pt idx="0">
                  <c:v>7682566</c:v>
                </c:pt>
                <c:pt idx="1">
                  <c:v>8075585.6376811592</c:v>
                </c:pt>
                <c:pt idx="2">
                  <c:v>8468605.2753623184</c:v>
                </c:pt>
                <c:pt idx="3">
                  <c:v>8861624.9130434766</c:v>
                </c:pt>
                <c:pt idx="4">
                  <c:v>9254644.5507246368</c:v>
                </c:pt>
                <c:pt idx="5">
                  <c:v>9647664.188405795</c:v>
                </c:pt>
                <c:pt idx="6">
                  <c:v>10040683.826086953</c:v>
                </c:pt>
                <c:pt idx="7">
                  <c:v>10433703.463768113</c:v>
                </c:pt>
                <c:pt idx="8">
                  <c:v>10826723.101449272</c:v>
                </c:pt>
                <c:pt idx="9">
                  <c:v>11219742.739130432</c:v>
                </c:pt>
                <c:pt idx="10">
                  <c:v>11612762.37681159</c:v>
                </c:pt>
                <c:pt idx="11">
                  <c:v>12005782.01449275</c:v>
                </c:pt>
                <c:pt idx="12">
                  <c:v>12398801.652173908</c:v>
                </c:pt>
                <c:pt idx="13">
                  <c:v>12791821.289855067</c:v>
                </c:pt>
                <c:pt idx="14">
                  <c:v>13184840.927536227</c:v>
                </c:pt>
                <c:pt idx="15">
                  <c:v>13577860.565217385</c:v>
                </c:pt>
                <c:pt idx="16">
                  <c:v>13970880.202898543</c:v>
                </c:pt>
                <c:pt idx="17">
                  <c:v>14363899.840579703</c:v>
                </c:pt>
                <c:pt idx="18">
                  <c:v>14756919.478260864</c:v>
                </c:pt>
                <c:pt idx="19">
                  <c:v>15149939.11594202</c:v>
                </c:pt>
                <c:pt idx="20">
                  <c:v>15542958.75362318</c:v>
                </c:pt>
                <c:pt idx="21">
                  <c:v>15935978.39130434</c:v>
                </c:pt>
                <c:pt idx="22">
                  <c:v>16328998.028985498</c:v>
                </c:pt>
                <c:pt idx="23">
                  <c:v>16722017.666666657</c:v>
                </c:pt>
                <c:pt idx="24">
                  <c:v>17115037.304347817</c:v>
                </c:pt>
                <c:pt idx="25">
                  <c:v>17508056.942028977</c:v>
                </c:pt>
                <c:pt idx="26">
                  <c:v>17901076.579710133</c:v>
                </c:pt>
                <c:pt idx="27">
                  <c:v>18294096.217391293</c:v>
                </c:pt>
                <c:pt idx="28">
                  <c:v>18687115.855072454</c:v>
                </c:pt>
                <c:pt idx="29">
                  <c:v>19080135.49275361</c:v>
                </c:pt>
                <c:pt idx="30">
                  <c:v>19473155.13043477</c:v>
                </c:pt>
                <c:pt idx="31">
                  <c:v>19866174.76811593</c:v>
                </c:pt>
                <c:pt idx="32">
                  <c:v>20259194.405797087</c:v>
                </c:pt>
                <c:pt idx="33">
                  <c:v>20652214.043478247</c:v>
                </c:pt>
                <c:pt idx="34">
                  <c:v>21045233.681159407</c:v>
                </c:pt>
                <c:pt idx="35">
                  <c:v>21438253.318840563</c:v>
                </c:pt>
                <c:pt idx="36">
                  <c:v>21831272.956521727</c:v>
                </c:pt>
                <c:pt idx="37">
                  <c:v>22224292.594202884</c:v>
                </c:pt>
                <c:pt idx="38">
                  <c:v>22617312.23188404</c:v>
                </c:pt>
                <c:pt idx="39">
                  <c:v>23010331.869565204</c:v>
                </c:pt>
                <c:pt idx="40">
                  <c:v>23403351.50724636</c:v>
                </c:pt>
                <c:pt idx="41">
                  <c:v>23796371.14492752</c:v>
                </c:pt>
                <c:pt idx="42">
                  <c:v>24189390.78260868</c:v>
                </c:pt>
                <c:pt idx="43">
                  <c:v>24582410.420289837</c:v>
                </c:pt>
                <c:pt idx="44">
                  <c:v>24975430.057970997</c:v>
                </c:pt>
                <c:pt idx="45">
                  <c:v>25368449.695652157</c:v>
                </c:pt>
                <c:pt idx="46">
                  <c:v>25761469.333333313</c:v>
                </c:pt>
                <c:pt idx="47">
                  <c:v>26154488.971014474</c:v>
                </c:pt>
                <c:pt idx="48">
                  <c:v>26547508.608695634</c:v>
                </c:pt>
                <c:pt idx="49">
                  <c:v>26940528.24637679</c:v>
                </c:pt>
                <c:pt idx="50">
                  <c:v>27333547.88405795</c:v>
                </c:pt>
                <c:pt idx="51">
                  <c:v>27726567.52173911</c:v>
                </c:pt>
                <c:pt idx="52">
                  <c:v>28119587.15942027</c:v>
                </c:pt>
                <c:pt idx="53">
                  <c:v>28512606.797101427</c:v>
                </c:pt>
                <c:pt idx="54">
                  <c:v>28905626.434782587</c:v>
                </c:pt>
                <c:pt idx="55">
                  <c:v>29298646.072463747</c:v>
                </c:pt>
                <c:pt idx="56">
                  <c:v>29691665.710144904</c:v>
                </c:pt>
                <c:pt idx="57">
                  <c:v>30084685.347826064</c:v>
                </c:pt>
                <c:pt idx="58">
                  <c:v>30477704.985507224</c:v>
                </c:pt>
                <c:pt idx="59">
                  <c:v>30870724.62318838</c:v>
                </c:pt>
                <c:pt idx="60">
                  <c:v>31263744.26086954</c:v>
                </c:pt>
                <c:pt idx="61">
                  <c:v>31656763.8985507</c:v>
                </c:pt>
                <c:pt idx="62">
                  <c:v>32049783.536231861</c:v>
                </c:pt>
                <c:pt idx="63">
                  <c:v>32442803.173913017</c:v>
                </c:pt>
                <c:pt idx="64">
                  <c:v>32835822.811594177</c:v>
                </c:pt>
                <c:pt idx="65">
                  <c:v>33228842.449275337</c:v>
                </c:pt>
                <c:pt idx="66">
                  <c:v>33621862.086956494</c:v>
                </c:pt>
                <c:pt idx="67">
                  <c:v>34014881.724637657</c:v>
                </c:pt>
                <c:pt idx="68">
                  <c:v>34407901.362318814</c:v>
                </c:pt>
                <c:pt idx="69">
                  <c:v>34800920.99999997</c:v>
                </c:pt>
              </c:numCache>
            </c:numRef>
          </c:xVal>
          <c:yVal>
            <c:numRef>
              <c:f>'Forest inventories'!ydata26</c:f>
              <c:numCache>
                <c:formatCode>General</c:formatCode>
                <c:ptCount val="70"/>
                <c:pt idx="0">
                  <c:v>7658.1155219239026</c:v>
                </c:pt>
                <c:pt idx="1">
                  <c:v>7710.181368202866</c:v>
                </c:pt>
                <c:pt idx="2">
                  <c:v>7764.2109162888219</c:v>
                </c:pt>
                <c:pt idx="3">
                  <c:v>7820.3084868000878</c:v>
                </c:pt>
                <c:pt idx="4">
                  <c:v>7878.583762006183</c:v>
                </c:pt>
                <c:pt idx="5">
                  <c:v>7939.1518827744358</c:v>
                </c:pt>
                <c:pt idx="6">
                  <c:v>8002.1335047998637</c:v>
                </c:pt>
                <c:pt idx="7">
                  <c:v>8067.6548047021479</c:v>
                </c:pt>
                <c:pt idx="8">
                  <c:v>8135.8474255372876</c:v>
                </c:pt>
                <c:pt idx="9">
                  <c:v>8206.848350319613</c:v>
                </c:pt>
                <c:pt idx="10">
                  <c:v>8280.7996913581737</c:v>
                </c:pt>
                <c:pt idx="11">
                  <c:v>8357.8483826738775</c:v>
                </c:pt>
                <c:pt idx="12">
                  <c:v>8438.1457625920139</c:v>
                </c:pt>
                <c:pt idx="13">
                  <c:v>8521.8470339262149</c:v>
                </c:pt>
                <c:pt idx="14">
                  <c:v>8609.1105901225419</c:v>
                </c:pt>
                <c:pt idx="15">
                  <c:v>8700.0971974566601</c:v>
                </c:pt>
                <c:pt idx="16">
                  <c:v>8794.9690260032912</c:v>
                </c:pt>
                <c:pt idx="17">
                  <c:v>8893.8885257292623</c:v>
                </c:pt>
                <c:pt idx="18">
                  <c:v>8997.0171487567604</c:v>
                </c:pt>
                <c:pt idx="19">
                  <c:v>9104.5139245896644</c:v>
                </c:pt>
                <c:pt idx="20">
                  <c:v>9216.5339017890146</c:v>
                </c:pt>
                <c:pt idx="21">
                  <c:v>9333.2264770074817</c:v>
                </c:pt>
                <c:pt idx="22">
                  <c:v>9454.7336401081702</c:v>
                </c:pt>
                <c:pt idx="23">
                  <c:v>9581.1881718377244</c:v>
                </c:pt>
                <c:pt idx="24">
                  <c:v>9712.7118376301441</c:v>
                </c:pt>
                <c:pt idx="25">
                  <c:v>9849.4136269510782</c:v>
                </c:pt>
                <c:pt idx="26">
                  <c:v>9991.3880915059999</c:v>
                </c:pt>
                <c:pt idx="27">
                  <c:v>10138.71383704562</c:v>
                </c:pt>
                <c:pt idx="28">
                  <c:v>10291.452221964999</c:v>
                </c:pt>
                <c:pt idx="29">
                  <c:v>10449.646311184253</c:v>
                </c:pt>
                <c:pt idx="30">
                  <c:v>10613.320125967646</c:v>
                </c:pt>
                <c:pt idx="31">
                  <c:v>10782.478219735975</c:v>
                </c:pt>
                <c:pt idx="32">
                  <c:v>10957.105597193618</c:v>
                </c:pt>
                <c:pt idx="33">
                  <c:v>11137.167980099173</c:v>
                </c:pt>
                <c:pt idx="34">
                  <c:v>11322.612408771773</c:v>
                </c:pt>
                <c:pt idx="35">
                  <c:v>11513.368154986259</c:v>
                </c:pt>
                <c:pt idx="36">
                  <c:v>11709.347910221222</c:v>
                </c:pt>
                <c:pt idx="37">
                  <c:v>11910.449204041448</c:v>
                </c:pt>
                <c:pt idx="38">
                  <c:v>12116.556001210902</c:v>
                </c:pt>
                <c:pt idx="39">
                  <c:v>12327.540423131697</c:v>
                </c:pt>
                <c:pt idx="40">
                  <c:v>12543.264539287095</c:v>
                </c:pt>
                <c:pt idx="41">
                  <c:v>12763.582177181188</c:v>
                </c:pt>
                <c:pt idx="42">
                  <c:v>12988.340704286451</c:v>
                </c:pt>
                <c:pt idx="43">
                  <c:v>13217.382742105732</c:v>
                </c:pt>
                <c:pt idx="44">
                  <c:v>13450.547779978737</c:v>
                </c:pt>
                <c:pt idx="45">
                  <c:v>13687.673664110047</c:v>
                </c:pt>
                <c:pt idx="46">
                  <c:v>13928.597944951654</c:v>
                </c:pt>
                <c:pt idx="47">
                  <c:v>14173.159073140389</c:v>
                </c:pt>
                <c:pt idx="48">
                  <c:v>14421.197440396691</c:v>
                </c:pt>
                <c:pt idx="49">
                  <c:v>14672.556266982247</c:v>
                </c:pt>
                <c:pt idx="50">
                  <c:v>14927.082341437203</c:v>
                </c:pt>
                <c:pt idx="51">
                  <c:v>15184.626621401439</c:v>
                </c:pt>
                <c:pt idx="52">
                  <c:v>15445.044706453204</c:v>
                </c:pt>
                <c:pt idx="53">
                  <c:v>15708.197195192974</c:v>
                </c:pt>
                <c:pt idx="54">
                  <c:v>15973.949939397897</c:v>
                </c:pt>
                <c:pt idx="55">
                  <c:v>16242.174208113258</c:v>
                </c:pt>
                <c:pt idx="56">
                  <c:v>16512.746774165131</c:v>
                </c:pt>
                <c:pt idx="57">
                  <c:v>16785.5499348921</c:v>
                </c:pt>
                <c:pt idx="58">
                  <c:v>17060.471478006035</c:v>
                </c:pt>
                <c:pt idx="59">
                  <c:v>17337.404602486633</c:v>
                </c:pt>
                <c:pt idx="60">
                  <c:v>17616.247803358179</c:v>
                </c:pt>
                <c:pt idx="61">
                  <c:v>17896.904728140089</c:v>
                </c:pt>
                <c:pt idx="62">
                  <c:v>18179.284011742115</c:v>
                </c:pt>
                <c:pt idx="63">
                  <c:v>18463.299095614959</c:v>
                </c:pt>
                <c:pt idx="64">
                  <c:v>18748.868036083168</c:v>
                </c:pt>
                <c:pt idx="65">
                  <c:v>19035.913305987699</c:v>
                </c:pt>
                <c:pt idx="66">
                  <c:v>19324.361593052967</c:v>
                </c:pt>
                <c:pt idx="67">
                  <c:v>19614.14359776636</c:v>
                </c:pt>
                <c:pt idx="68">
                  <c:v>19905.193833012967</c:v>
                </c:pt>
                <c:pt idx="69">
                  <c:v>20197.450427239361</c:v>
                </c:pt>
              </c:numCache>
            </c:numRef>
          </c:yVal>
          <c:smooth val="0"/>
        </c:ser>
        <c:ser>
          <c:idx val="4"/>
          <c:order val="4"/>
          <c:tx>
            <c:v>Conf. interval (Obs. 95%)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inventories'!xdata27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inventories'!ydata27</c:f>
              <c:numCache>
                <c:formatCode>General</c:formatCode>
                <c:ptCount val="100"/>
                <c:pt idx="0">
                  <c:v>-9286.2250866857139</c:v>
                </c:pt>
                <c:pt idx="1">
                  <c:v>-9121.1552495213546</c:v>
                </c:pt>
                <c:pt idx="2">
                  <c:v>-8957.0375471265961</c:v>
                </c:pt>
                <c:pt idx="3">
                  <c:v>-8793.8857436571343</c:v>
                </c:pt>
                <c:pt idx="4">
                  <c:v>-8631.7135915001163</c:v>
                </c:pt>
                <c:pt idx="5">
                  <c:v>-8470.5348177572978</c:v>
                </c:pt>
                <c:pt idx="6">
                  <c:v>-8310.3631101931587</c:v>
                </c:pt>
                <c:pt idx="7">
                  <c:v>-8151.2121026610221</c:v>
                </c:pt>
                <c:pt idx="8">
                  <c:v>-7993.0953600231314</c:v>
                </c:pt>
                <c:pt idx="9">
                  <c:v>-7836.0263625838943</c:v>
                </c:pt>
                <c:pt idx="10">
                  <c:v>-7680.0184900586573</c:v>
                </c:pt>
                <c:pt idx="11">
                  <c:v>-7525.0850051038597</c:v>
                </c:pt>
                <c:pt idx="12">
                  <c:v>-7371.2390364376897</c:v>
                </c:pt>
                <c:pt idx="13">
                  <c:v>-7218.4935615839204</c:v>
                </c:pt>
                <c:pt idx="14">
                  <c:v>-7066.8613892750564</c:v>
                </c:pt>
                <c:pt idx="15">
                  <c:v>-6916.3551415543661</c:v>
                </c:pt>
                <c:pt idx="16">
                  <c:v>-6766.9872356198612</c:v>
                </c:pt>
                <c:pt idx="17">
                  <c:v>-6618.7698654566047</c:v>
                </c:pt>
                <c:pt idx="18">
                  <c:v>-6471.7149833070234</c:v>
                </c:pt>
                <c:pt idx="19">
                  <c:v>-6325.8342810320391</c:v>
                </c:pt>
                <c:pt idx="20">
                  <c:v>-6181.1391714187757</c:v>
                </c:pt>
                <c:pt idx="21">
                  <c:v>-6037.6407694933896</c:v>
                </c:pt>
                <c:pt idx="22">
                  <c:v>-5895.349873900077</c:v>
                </c:pt>
                <c:pt idx="23">
                  <c:v>-5754.2769484095479</c:v>
                </c:pt>
                <c:pt idx="24">
                  <c:v>-5614.4321036222154</c:v>
                </c:pt>
                <c:pt idx="25">
                  <c:v>-5475.8250789329468</c:v>
                </c:pt>
                <c:pt idx="26">
                  <c:v>-5338.4652248254079</c:v>
                </c:pt>
                <c:pt idx="27">
                  <c:v>-5202.3614855648702</c:v>
                </c:pt>
                <c:pt idx="28">
                  <c:v>-5067.522382358753</c:v>
                </c:pt>
                <c:pt idx="29">
                  <c:v>-4933.9559970540777</c:v>
                </c:pt>
                <c:pt idx="30">
                  <c:v>-4801.669956440468</c:v>
                </c:pt>
                <c:pt idx="31">
                  <c:v>-4670.671417226351</c:v>
                </c:pt>
                <c:pt idx="32">
                  <c:v>-4540.96705175446</c:v>
                </c:pt>
                <c:pt idx="33">
                  <c:v>-4412.5630345207301</c:v>
                </c:pt>
                <c:pt idx="34">
                  <c:v>-4285.4650295581741</c:v>
                </c:pt>
                <c:pt idx="35">
                  <c:v>-4159.6781787443306</c:v>
                </c:pt>
                <c:pt idx="36">
                  <c:v>-4035.2070910874136</c:v>
                </c:pt>
                <c:pt idx="37">
                  <c:v>-3912.0558330422864</c:v>
                </c:pt>
                <c:pt idx="38">
                  <c:v>-3790.2279199031382</c:v>
                </c:pt>
                <c:pt idx="39">
                  <c:v>-3669.7263083148828</c:v>
                </c:pt>
                <c:pt idx="40">
                  <c:v>-3550.5533899401762</c:v>
                </c:pt>
                <c:pt idx="41">
                  <c:v>-3432.7109863135756</c:v>
                </c:pt>
                <c:pt idx="42">
                  <c:v>-3316.200344908475</c:v>
                </c:pt>
                <c:pt idx="43">
                  <c:v>-3201.022136436708</c:v>
                </c:pt>
                <c:pt idx="44">
                  <c:v>-3087.1764533942769</c:v>
                </c:pt>
                <c:pt idx="45">
                  <c:v>-2974.6628098606925</c:v>
                </c:pt>
                <c:pt idx="46">
                  <c:v>-2863.4801425528585</c:v>
                </c:pt>
                <c:pt idx="47">
                  <c:v>-2753.6268131282304</c:v>
                </c:pt>
                <c:pt idx="48">
                  <c:v>-2645.1006117255529</c:v>
                </c:pt>
                <c:pt idx="49">
                  <c:v>-2537.8987617254315</c:v>
                </c:pt>
                <c:pt idx="50">
                  <c:v>-2432.0179257068685</c:v>
                </c:pt>
                <c:pt idx="51">
                  <c:v>-2327.4542125701064</c:v>
                </c:pt>
                <c:pt idx="52">
                  <c:v>-2224.203185790564</c:v>
                </c:pt>
                <c:pt idx="53">
                  <c:v>-2122.2598727634431</c:v>
                </c:pt>
                <c:pt idx="54">
                  <c:v>-2021.6187751936559</c:v>
                </c:pt>
                <c:pt idx="55">
                  <c:v>-1922.2738804812361</c:v>
                </c:pt>
                <c:pt idx="56">
                  <c:v>-1824.2186740483703</c:v>
                </c:pt>
                <c:pt idx="57">
                  <c:v>-1727.4461525504721</c:v>
                </c:pt>
                <c:pt idx="58">
                  <c:v>-1631.9488379106333</c:v>
                </c:pt>
                <c:pt idx="59">
                  <c:v>-1537.7187921141685</c:v>
                </c:pt>
                <c:pt idx="60">
                  <c:v>-1444.7476326976048</c:v>
                </c:pt>
                <c:pt idx="61">
                  <c:v>-1353.0265488650421</c:v>
                </c:pt>
                <c:pt idx="62">
                  <c:v>-1262.5463181634459</c:v>
                </c:pt>
                <c:pt idx="63">
                  <c:v>-1173.2973236477992</c:v>
                </c:pt>
                <c:pt idx="64">
                  <c:v>-1085.2695714668735</c:v>
                </c:pt>
                <c:pt idx="65">
                  <c:v>-998.45270880053249</c:v>
                </c:pt>
                <c:pt idx="66">
                  <c:v>-912.83604208024553</c:v>
                </c:pt>
                <c:pt idx="67">
                  <c:v>-828.40855542552345</c:v>
                </c:pt>
                <c:pt idx="68">
                  <c:v>-745.15892923049614</c:v>
                </c:pt>
                <c:pt idx="69">
                  <c:v>-663.07555883669011</c:v>
                </c:pt>
                <c:pt idx="70">
                  <c:v>-582.1465732301458</c:v>
                </c:pt>
                <c:pt idx="71">
                  <c:v>-502.35985370360868</c:v>
                </c:pt>
                <c:pt idx="72">
                  <c:v>-423.70305242699396</c:v>
                </c:pt>
                <c:pt idx="73">
                  <c:v>-346.16361087241967</c:v>
                </c:pt>
                <c:pt idx="74">
                  <c:v>-269.72877804315249</c:v>
                </c:pt>
                <c:pt idx="75">
                  <c:v>-194.38562845890374</c:v>
                </c:pt>
                <c:pt idx="76">
                  <c:v>-120.12107985345574</c:v>
                </c:pt>
                <c:pt idx="77">
                  <c:v>-46.921910543849663</c:v>
                </c:pt>
                <c:pt idx="78">
                  <c:v>25.225223566065324</c:v>
                </c:pt>
                <c:pt idx="79">
                  <c:v>96.333772381485687</c:v>
                </c:pt>
                <c:pt idx="80">
                  <c:v>166.41727544223613</c:v>
                </c:pt>
                <c:pt idx="81">
                  <c:v>235.48934620488035</c:v>
                </c:pt>
                <c:pt idx="82">
                  <c:v>303.56365680490126</c:v>
                </c:pt>
                <c:pt idx="83">
                  <c:v>370.65392331910698</c:v>
                </c:pt>
                <c:pt idx="84">
                  <c:v>436.77389154529192</c:v>
                </c:pt>
                <c:pt idx="85">
                  <c:v>501.93732331307365</c:v>
                </c:pt>
                <c:pt idx="86">
                  <c:v>566.15798333687962</c:v>
                </c:pt>
                <c:pt idx="87">
                  <c:v>629.44962661925638</c:v>
                </c:pt>
                <c:pt idx="88">
                  <c:v>691.82598641003278</c:v>
                </c:pt>
                <c:pt idx="89">
                  <c:v>753.3007627243187</c:v>
                </c:pt>
                <c:pt idx="90">
                  <c:v>813.88761142005387</c:v>
                </c:pt>
                <c:pt idx="91">
                  <c:v>873.60013383352816</c:v>
                </c:pt>
                <c:pt idx="92">
                  <c:v>932.45186696945893</c:v>
                </c:pt>
                <c:pt idx="93">
                  <c:v>990.45627424015765</c:v>
                </c:pt>
                <c:pt idx="94">
                  <c:v>1047.6267367468226</c:v>
                </c:pt>
                <c:pt idx="95">
                  <c:v>1103.9765450943396</c:v>
                </c:pt>
                <c:pt idx="96">
                  <c:v>1159.5188917296946</c:v>
                </c:pt>
                <c:pt idx="97">
                  <c:v>1214.2668637928673</c:v>
                </c:pt>
                <c:pt idx="98">
                  <c:v>1268.2334364679573</c:v>
                </c:pt>
                <c:pt idx="99">
                  <c:v>1321.4314668215047</c:v>
                </c:pt>
              </c:numCache>
            </c:numRef>
          </c:yVal>
          <c:smooth val="0"/>
        </c:ser>
        <c:ser>
          <c:idx val="5"/>
          <c:order val="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inventories'!xdata28</c:f>
              <c:numCache>
                <c:formatCode>General</c:formatCode>
                <c:ptCount val="100"/>
                <c:pt idx="0">
                  <c:v>7682566</c:v>
                </c:pt>
                <c:pt idx="1">
                  <c:v>7956488.777777778</c:v>
                </c:pt>
                <c:pt idx="2">
                  <c:v>8230411.555555556</c:v>
                </c:pt>
                <c:pt idx="3">
                  <c:v>8504334.333333334</c:v>
                </c:pt>
                <c:pt idx="4">
                  <c:v>8778257.1111111119</c:v>
                </c:pt>
                <c:pt idx="5">
                  <c:v>9052179.8888888899</c:v>
                </c:pt>
                <c:pt idx="6">
                  <c:v>9326102.6666666679</c:v>
                </c:pt>
                <c:pt idx="7">
                  <c:v>9600025.4444444459</c:v>
                </c:pt>
                <c:pt idx="8">
                  <c:v>9873948.2222222239</c:v>
                </c:pt>
                <c:pt idx="9">
                  <c:v>10147871.000000002</c:v>
                </c:pt>
                <c:pt idx="10">
                  <c:v>10421793.77777778</c:v>
                </c:pt>
                <c:pt idx="11">
                  <c:v>10695716.555555558</c:v>
                </c:pt>
                <c:pt idx="12">
                  <c:v>10969639.333333336</c:v>
                </c:pt>
                <c:pt idx="13">
                  <c:v>11243562.111111114</c:v>
                </c:pt>
                <c:pt idx="14">
                  <c:v>11517484.888888892</c:v>
                </c:pt>
                <c:pt idx="15">
                  <c:v>11791407.66666667</c:v>
                </c:pt>
                <c:pt idx="16">
                  <c:v>12065330.444444448</c:v>
                </c:pt>
                <c:pt idx="17">
                  <c:v>12339253.222222226</c:v>
                </c:pt>
                <c:pt idx="18">
                  <c:v>12613176.000000004</c:v>
                </c:pt>
                <c:pt idx="19">
                  <c:v>12887098.777777782</c:v>
                </c:pt>
                <c:pt idx="20">
                  <c:v>13161021.55555556</c:v>
                </c:pt>
                <c:pt idx="21">
                  <c:v>13434944.333333338</c:v>
                </c:pt>
                <c:pt idx="22">
                  <c:v>13708867.111111116</c:v>
                </c:pt>
                <c:pt idx="23">
                  <c:v>13982789.888888894</c:v>
                </c:pt>
                <c:pt idx="24">
                  <c:v>14256712.666666672</c:v>
                </c:pt>
                <c:pt idx="25">
                  <c:v>14530635.44444445</c:v>
                </c:pt>
                <c:pt idx="26">
                  <c:v>14804558.222222228</c:v>
                </c:pt>
                <c:pt idx="27">
                  <c:v>15078481.000000006</c:v>
                </c:pt>
                <c:pt idx="28">
                  <c:v>15352403.777777784</c:v>
                </c:pt>
                <c:pt idx="29">
                  <c:v>15626326.555555562</c:v>
                </c:pt>
                <c:pt idx="30">
                  <c:v>15900249.33333334</c:v>
                </c:pt>
                <c:pt idx="31">
                  <c:v>16174172.111111118</c:v>
                </c:pt>
                <c:pt idx="32">
                  <c:v>16448094.888888896</c:v>
                </c:pt>
                <c:pt idx="33">
                  <c:v>16722017.666666673</c:v>
                </c:pt>
                <c:pt idx="34">
                  <c:v>16995940.444444451</c:v>
                </c:pt>
                <c:pt idx="35">
                  <c:v>17269863.222222231</c:v>
                </c:pt>
                <c:pt idx="36">
                  <c:v>17543786.000000007</c:v>
                </c:pt>
                <c:pt idx="37">
                  <c:v>17817708.777777784</c:v>
                </c:pt>
                <c:pt idx="38">
                  <c:v>18091631.555555563</c:v>
                </c:pt>
                <c:pt idx="39">
                  <c:v>18365554.333333343</c:v>
                </c:pt>
                <c:pt idx="40">
                  <c:v>18639477.111111119</c:v>
                </c:pt>
                <c:pt idx="41">
                  <c:v>18913399.888888896</c:v>
                </c:pt>
                <c:pt idx="42">
                  <c:v>19187322.666666675</c:v>
                </c:pt>
                <c:pt idx="43">
                  <c:v>19461245.444444455</c:v>
                </c:pt>
                <c:pt idx="44">
                  <c:v>19735168.222222231</c:v>
                </c:pt>
                <c:pt idx="45">
                  <c:v>20009091.000000007</c:v>
                </c:pt>
                <c:pt idx="46">
                  <c:v>20283013.777777787</c:v>
                </c:pt>
                <c:pt idx="47">
                  <c:v>20556936.555555567</c:v>
                </c:pt>
                <c:pt idx="48">
                  <c:v>20830859.333333343</c:v>
                </c:pt>
                <c:pt idx="49">
                  <c:v>21104782.111111119</c:v>
                </c:pt>
                <c:pt idx="50">
                  <c:v>21378704.888888899</c:v>
                </c:pt>
                <c:pt idx="51">
                  <c:v>21652627.666666679</c:v>
                </c:pt>
                <c:pt idx="52">
                  <c:v>21926550.444444455</c:v>
                </c:pt>
                <c:pt idx="53">
                  <c:v>22200473.222222231</c:v>
                </c:pt>
                <c:pt idx="54">
                  <c:v>22474396.000000011</c:v>
                </c:pt>
                <c:pt idx="55">
                  <c:v>22748318.777777791</c:v>
                </c:pt>
                <c:pt idx="56">
                  <c:v>23022241.555555567</c:v>
                </c:pt>
                <c:pt idx="57">
                  <c:v>23296164.333333343</c:v>
                </c:pt>
                <c:pt idx="58">
                  <c:v>23570087.111111123</c:v>
                </c:pt>
                <c:pt idx="59">
                  <c:v>23844009.888888903</c:v>
                </c:pt>
                <c:pt idx="60">
                  <c:v>24117932.666666679</c:v>
                </c:pt>
                <c:pt idx="61">
                  <c:v>24391855.444444455</c:v>
                </c:pt>
                <c:pt idx="62">
                  <c:v>24665778.222222235</c:v>
                </c:pt>
                <c:pt idx="63">
                  <c:v>24939701.000000015</c:v>
                </c:pt>
                <c:pt idx="64">
                  <c:v>25213623.777777791</c:v>
                </c:pt>
                <c:pt idx="65">
                  <c:v>25487546.555555567</c:v>
                </c:pt>
                <c:pt idx="66">
                  <c:v>25761469.333333347</c:v>
                </c:pt>
                <c:pt idx="67">
                  <c:v>26035392.111111127</c:v>
                </c:pt>
                <c:pt idx="68">
                  <c:v>26309314.888888903</c:v>
                </c:pt>
                <c:pt idx="69">
                  <c:v>26583237.666666679</c:v>
                </c:pt>
                <c:pt idx="70">
                  <c:v>26857160.444444459</c:v>
                </c:pt>
                <c:pt idx="71">
                  <c:v>27131083.222222239</c:v>
                </c:pt>
                <c:pt idx="72">
                  <c:v>27405006.000000015</c:v>
                </c:pt>
                <c:pt idx="73">
                  <c:v>27678928.777777791</c:v>
                </c:pt>
                <c:pt idx="74">
                  <c:v>27952851.555555571</c:v>
                </c:pt>
                <c:pt idx="75">
                  <c:v>28226774.333333351</c:v>
                </c:pt>
                <c:pt idx="76">
                  <c:v>28500697.111111127</c:v>
                </c:pt>
                <c:pt idx="77">
                  <c:v>28774619.888888903</c:v>
                </c:pt>
                <c:pt idx="78">
                  <c:v>29048542.666666683</c:v>
                </c:pt>
                <c:pt idx="79">
                  <c:v>29322465.444444463</c:v>
                </c:pt>
                <c:pt idx="80">
                  <c:v>29596388.222222239</c:v>
                </c:pt>
                <c:pt idx="81">
                  <c:v>29870311.000000015</c:v>
                </c:pt>
                <c:pt idx="82">
                  <c:v>30144233.777777795</c:v>
                </c:pt>
                <c:pt idx="83">
                  <c:v>30418156.555555575</c:v>
                </c:pt>
                <c:pt idx="84">
                  <c:v>30692079.333333351</c:v>
                </c:pt>
                <c:pt idx="85">
                  <c:v>30966002.111111127</c:v>
                </c:pt>
                <c:pt idx="86">
                  <c:v>31239924.888888907</c:v>
                </c:pt>
                <c:pt idx="87">
                  <c:v>31513847.666666687</c:v>
                </c:pt>
                <c:pt idx="88">
                  <c:v>31787770.444444463</c:v>
                </c:pt>
                <c:pt idx="89">
                  <c:v>32061693.222222239</c:v>
                </c:pt>
                <c:pt idx="90">
                  <c:v>32335616.000000019</c:v>
                </c:pt>
                <c:pt idx="91">
                  <c:v>32609538.777777798</c:v>
                </c:pt>
                <c:pt idx="92">
                  <c:v>32883461.555555575</c:v>
                </c:pt>
                <c:pt idx="93">
                  <c:v>33157384.333333351</c:v>
                </c:pt>
                <c:pt idx="94">
                  <c:v>33431307.111111131</c:v>
                </c:pt>
                <c:pt idx="95">
                  <c:v>33705229.88888891</c:v>
                </c:pt>
                <c:pt idx="96">
                  <c:v>33979152.666666687</c:v>
                </c:pt>
                <c:pt idx="97">
                  <c:v>34253075.444444463</c:v>
                </c:pt>
                <c:pt idx="98">
                  <c:v>34526998.222222239</c:v>
                </c:pt>
                <c:pt idx="99">
                  <c:v>34800921.000000022</c:v>
                </c:pt>
              </c:numCache>
            </c:numRef>
          </c:xVal>
          <c:yVal>
            <c:numRef>
              <c:f>'Forest inventories'!ydata28</c:f>
              <c:numCache>
                <c:formatCode>General</c:formatCode>
                <c:ptCount val="100"/>
                <c:pt idx="0">
                  <c:v>11409.42568047719</c:v>
                </c:pt>
                <c:pt idx="1">
                  <c:v>11474.286155885082</c:v>
                </c:pt>
                <c:pt idx="2">
                  <c:v>11540.098766062574</c:v>
                </c:pt>
                <c:pt idx="3">
                  <c:v>11606.877275165363</c:v>
                </c:pt>
                <c:pt idx="4">
                  <c:v>11674.635435580596</c:v>
                </c:pt>
                <c:pt idx="5">
                  <c:v>11743.386974410028</c:v>
                </c:pt>
                <c:pt idx="6">
                  <c:v>11813.14557941814</c:v>
                </c:pt>
                <c:pt idx="7">
                  <c:v>11883.924884458254</c:v>
                </c:pt>
                <c:pt idx="8">
                  <c:v>11955.738454392615</c:v>
                </c:pt>
                <c:pt idx="9">
                  <c:v>12028.599769525628</c:v>
                </c:pt>
                <c:pt idx="10">
                  <c:v>12102.522209572642</c:v>
                </c:pt>
                <c:pt idx="11">
                  <c:v>12177.519037190092</c:v>
                </c:pt>
                <c:pt idx="12">
                  <c:v>12253.603381096173</c:v>
                </c:pt>
                <c:pt idx="13">
                  <c:v>12330.788218814654</c:v>
                </c:pt>
                <c:pt idx="14">
                  <c:v>12409.086359078041</c:v>
                </c:pt>
                <c:pt idx="15">
                  <c:v>12488.510423929602</c:v>
                </c:pt>
                <c:pt idx="16">
                  <c:v>12569.072830567347</c:v>
                </c:pt>
                <c:pt idx="17">
                  <c:v>12650.785772976342</c:v>
                </c:pt>
                <c:pt idx="18">
                  <c:v>12733.661203399011</c:v>
                </c:pt>
                <c:pt idx="19">
                  <c:v>12817.710813696278</c:v>
                </c:pt>
                <c:pt idx="20">
                  <c:v>12902.946016655265</c:v>
                </c:pt>
                <c:pt idx="21">
                  <c:v>12989.37792730213</c:v>
                </c:pt>
                <c:pt idx="22">
                  <c:v>13077.017344281068</c:v>
                </c:pt>
                <c:pt idx="23">
                  <c:v>13165.874731362786</c:v>
                </c:pt>
                <c:pt idx="24">
                  <c:v>13255.960199147705</c:v>
                </c:pt>
                <c:pt idx="25">
                  <c:v>13347.283487030687</c:v>
                </c:pt>
                <c:pt idx="26">
                  <c:v>13439.853945495399</c:v>
                </c:pt>
                <c:pt idx="27">
                  <c:v>13533.680518807112</c:v>
                </c:pt>
                <c:pt idx="28">
                  <c:v>13628.771728173246</c:v>
                </c:pt>
                <c:pt idx="29">
                  <c:v>13725.135655440821</c:v>
                </c:pt>
                <c:pt idx="30">
                  <c:v>13822.779927399462</c:v>
                </c:pt>
                <c:pt idx="31">
                  <c:v>13921.711700757596</c:v>
                </c:pt>
                <c:pt idx="32">
                  <c:v>14021.937647857956</c:v>
                </c:pt>
                <c:pt idx="33">
                  <c:v>14123.463943196477</c:v>
                </c:pt>
                <c:pt idx="34">
                  <c:v>14226.296250806168</c:v>
                </c:pt>
                <c:pt idx="35">
                  <c:v>14330.439712564579</c:v>
                </c:pt>
                <c:pt idx="36">
                  <c:v>14435.898937479909</c:v>
                </c:pt>
                <c:pt idx="37">
                  <c:v>14542.677992007033</c:v>
                </c:pt>
                <c:pt idx="38">
                  <c:v>14650.780391440136</c:v>
                </c:pt>
                <c:pt idx="39">
                  <c:v>14760.209092424131</c:v>
                </c:pt>
                <c:pt idx="40">
                  <c:v>14870.966486621675</c:v>
                </c:pt>
                <c:pt idx="41">
                  <c:v>14983.054395567322</c:v>
                </c:pt>
                <c:pt idx="42">
                  <c:v>15096.474066734476</c:v>
                </c:pt>
                <c:pt idx="43">
                  <c:v>15211.22617083496</c:v>
                </c:pt>
                <c:pt idx="44">
                  <c:v>15327.310800364779</c:v>
                </c:pt>
                <c:pt idx="45">
                  <c:v>15444.727469403442</c:v>
                </c:pt>
                <c:pt idx="46">
                  <c:v>15563.475114667863</c:v>
                </c:pt>
                <c:pt idx="47">
                  <c:v>15683.552097815485</c:v>
                </c:pt>
                <c:pt idx="48">
                  <c:v>15804.956208985055</c:v>
                </c:pt>
                <c:pt idx="49">
                  <c:v>15927.684671557185</c:v>
                </c:pt>
                <c:pt idx="50">
                  <c:v>16051.734148110872</c:v>
                </c:pt>
                <c:pt idx="51">
                  <c:v>16177.100747546365</c:v>
                </c:pt>
                <c:pt idx="52">
                  <c:v>16303.78003333907</c:v>
                </c:pt>
                <c:pt idx="53">
                  <c:v>16431.7670328842</c:v>
                </c:pt>
                <c:pt idx="54">
                  <c:v>16561.056247886663</c:v>
                </c:pt>
                <c:pt idx="55">
                  <c:v>16691.641665746494</c:v>
                </c:pt>
                <c:pt idx="56">
                  <c:v>16823.516771885879</c:v>
                </c:pt>
                <c:pt idx="57">
                  <c:v>16956.67456296023</c:v>
                </c:pt>
                <c:pt idx="58">
                  <c:v>17091.107560892644</c:v>
                </c:pt>
                <c:pt idx="59">
                  <c:v>17226.807827668432</c:v>
                </c:pt>
                <c:pt idx="60">
                  <c:v>17363.766980824112</c:v>
                </c:pt>
                <c:pt idx="61">
                  <c:v>17501.9762095638</c:v>
                </c:pt>
                <c:pt idx="62">
                  <c:v>17641.426291434458</c:v>
                </c:pt>
                <c:pt idx="63">
                  <c:v>17782.107609491064</c:v>
                </c:pt>
                <c:pt idx="64">
                  <c:v>17924.010169882386</c:v>
                </c:pt>
                <c:pt idx="65">
                  <c:v>18067.123619788297</c:v>
                </c:pt>
                <c:pt idx="66">
                  <c:v>18211.437265640259</c:v>
                </c:pt>
                <c:pt idx="67">
                  <c:v>18356.940091557786</c:v>
                </c:pt>
                <c:pt idx="68">
                  <c:v>18503.620777935012</c:v>
                </c:pt>
                <c:pt idx="69">
                  <c:v>18651.467720113455</c:v>
                </c:pt>
                <c:pt idx="70">
                  <c:v>18800.469047079161</c:v>
                </c:pt>
                <c:pt idx="71">
                  <c:v>18950.612640124877</c:v>
                </c:pt>
                <c:pt idx="72">
                  <c:v>19101.886151420509</c:v>
                </c:pt>
                <c:pt idx="73">
                  <c:v>19254.277022438186</c:v>
                </c:pt>
                <c:pt idx="74">
                  <c:v>19407.772502181171</c:v>
                </c:pt>
                <c:pt idx="75">
                  <c:v>19562.35966516917</c:v>
                </c:pt>
                <c:pt idx="76">
                  <c:v>19718.025429135974</c:v>
                </c:pt>
                <c:pt idx="77">
                  <c:v>19874.756572398615</c:v>
                </c:pt>
                <c:pt idx="78">
                  <c:v>20032.539750860953</c:v>
                </c:pt>
                <c:pt idx="79">
                  <c:v>20191.361514617784</c:v>
                </c:pt>
                <c:pt idx="80">
                  <c:v>20351.208324129286</c:v>
                </c:pt>
                <c:pt idx="81">
                  <c:v>20512.066565938891</c:v>
                </c:pt>
                <c:pt idx="82">
                  <c:v>20673.922567911119</c:v>
                </c:pt>
                <c:pt idx="83">
                  <c:v>20836.762613969167</c:v>
                </c:pt>
                <c:pt idx="84">
                  <c:v>21000.572958315228</c:v>
                </c:pt>
                <c:pt idx="85">
                  <c:v>21165.339839119697</c:v>
                </c:pt>
                <c:pt idx="86">
                  <c:v>21331.049491668142</c:v>
                </c:pt>
                <c:pt idx="87">
                  <c:v>21497.688160958016</c:v>
                </c:pt>
                <c:pt idx="88">
                  <c:v>21665.242113739492</c:v>
                </c:pt>
                <c:pt idx="89">
                  <c:v>21833.697649997455</c:v>
                </c:pt>
                <c:pt idx="90">
                  <c:v>22003.041113873973</c:v>
                </c:pt>
                <c:pt idx="91">
                  <c:v>22173.258904032751</c:v>
                </c:pt>
                <c:pt idx="92">
                  <c:v>22344.337483469069</c:v>
                </c:pt>
                <c:pt idx="93">
                  <c:v>22516.263388770618</c:v>
                </c:pt>
                <c:pt idx="94">
                  <c:v>22689.023238836206</c:v>
                </c:pt>
                <c:pt idx="95">
                  <c:v>22862.603743060943</c:v>
                </c:pt>
                <c:pt idx="96">
                  <c:v>23036.991708997833</c:v>
                </c:pt>
                <c:pt idx="97">
                  <c:v>23212.17404950691</c:v>
                </c:pt>
                <c:pt idx="98">
                  <c:v>23388.137789404071</c:v>
                </c:pt>
                <c:pt idx="99">
                  <c:v>23564.870071622776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39536"/>
        <c:axId val="519040712"/>
      </c:scatterChart>
      <c:valAx>
        <c:axId val="519039536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Eucalypt biomass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40712"/>
        <c:crosses val="autoZero"/>
        <c:crossBetween val="midCat"/>
      </c:valAx>
      <c:valAx>
        <c:axId val="519040712"/>
        <c:scaling>
          <c:orientation val="minMax"/>
          <c:max val="25000"/>
          <c:min val="-10000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9536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Standardized residuals / Eucalypt biomass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7682566</c:v>
                </c:pt>
                <c:pt idx="1">
                  <c:v>15620749</c:v>
                </c:pt>
                <c:pt idx="2">
                  <c:v>34800921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0.56162645888343377</c:v>
                </c:pt>
                <c:pt idx="1">
                  <c:v>-0.79406929663580805</c:v>
                </c:pt>
                <c:pt idx="2">
                  <c:v>0.23244283775237717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39144"/>
        <c:axId val="519038360"/>
      </c:scatterChart>
      <c:valAx>
        <c:axId val="519039144"/>
        <c:scaling>
          <c:orientation val="minMax"/>
          <c:max val="35000000"/>
          <c:min val="500000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Eucalypt biomass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8360"/>
        <c:crosses val="autoZero"/>
        <c:crossBetween val="midCat"/>
      </c:valAx>
      <c:valAx>
        <c:axId val="519038360"/>
        <c:scaling>
          <c:orientation val="minMax"/>
          <c:max val="0.60000000000000009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39144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Incendios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1414</c:v>
                </c:pt>
                <c:pt idx="1">
                  <c:v>3895</c:v>
                </c:pt>
                <c:pt idx="2">
                  <c:v>12589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0.56162645888343377</c:v>
                </c:pt>
                <c:pt idx="1">
                  <c:v>-0.79406929663580805</c:v>
                </c:pt>
                <c:pt idx="2">
                  <c:v>0.23244283775237717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977600"/>
        <c:axId val="518976816"/>
      </c:scatterChart>
      <c:valAx>
        <c:axId val="518977600"/>
        <c:scaling>
          <c:orientation val="minMax"/>
          <c:max val="14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976816"/>
        <c:crosses val="autoZero"/>
        <c:crossBetween val="midCat"/>
      </c:valAx>
      <c:valAx>
        <c:axId val="518976816"/>
        <c:scaling>
          <c:orientation val="minMax"/>
          <c:max val="0.60000000000000009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977600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705217079899735"/>
          <c:y val="1.9583840812672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Decades!$B$2</c:f>
              <c:strCache>
                <c:ptCount val="1"/>
                <c:pt idx="0">
                  <c:v>1968-1980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38191060606060606"/>
                  <c:y val="-0.46122095959595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Decades!$R$3:$R$23</c:f>
              <c:numCache>
                <c:formatCode>General</c:formatCode>
                <c:ptCount val="21"/>
                <c:pt idx="0">
                  <c:v>0.79325860266718762</c:v>
                </c:pt>
                <c:pt idx="1">
                  <c:v>0.73513958923848977</c:v>
                </c:pt>
                <c:pt idx="2">
                  <c:v>0.93762068588549852</c:v>
                </c:pt>
                <c:pt idx="3">
                  <c:v>0.81041227292200546</c:v>
                </c:pt>
                <c:pt idx="4">
                  <c:v>0.36969406063721832</c:v>
                </c:pt>
                <c:pt idx="5">
                  <c:v>0.11472304616930419</c:v>
                </c:pt>
                <c:pt idx="6">
                  <c:v>0.71329203273810993</c:v>
                </c:pt>
                <c:pt idx="7">
                  <c:v>0.24145643814554321</c:v>
                </c:pt>
                <c:pt idx="8">
                  <c:v>3.1725661198846053E-2</c:v>
                </c:pt>
                <c:pt idx="9">
                  <c:v>0.89513852970715579</c:v>
                </c:pt>
                <c:pt idx="10">
                  <c:v>0.94135415666634981</c:v>
                </c:pt>
                <c:pt idx="11">
                  <c:v>0.26861519717757043</c:v>
                </c:pt>
                <c:pt idx="12">
                  <c:v>0.88999143168554895</c:v>
                </c:pt>
                <c:pt idx="13">
                  <c:v>0.61215657470714746</c:v>
                </c:pt>
                <c:pt idx="14">
                  <c:v>0.9574863840774227</c:v>
                </c:pt>
                <c:pt idx="15">
                  <c:v>0.96169136156419366</c:v>
                </c:pt>
                <c:pt idx="16">
                  <c:v>0.33033561919413984</c:v>
                </c:pt>
                <c:pt idx="17">
                  <c:v>0.16742824472028259</c:v>
                </c:pt>
                <c:pt idx="18">
                  <c:v>0.89218621361628381</c:v>
                </c:pt>
                <c:pt idx="19">
                  <c:v>0.46730891061610685</c:v>
                </c:pt>
                <c:pt idx="20">
                  <c:v>0.92325035453187576</c:v>
                </c:pt>
              </c:numCache>
            </c:numRef>
          </c:xVal>
          <c:yVal>
            <c:numRef>
              <c:f>Decades!$B$3:$B$23</c:f>
              <c:numCache>
                <c:formatCode>0</c:formatCode>
                <c:ptCount val="21"/>
                <c:pt idx="0">
                  <c:v>315.84615384615387</c:v>
                </c:pt>
                <c:pt idx="1">
                  <c:v>264</c:v>
                </c:pt>
                <c:pt idx="2">
                  <c:v>276.61538461538464</c:v>
                </c:pt>
                <c:pt idx="3">
                  <c:v>687.61538461538464</c:v>
                </c:pt>
                <c:pt idx="4">
                  <c:v>211</c:v>
                </c:pt>
                <c:pt idx="5">
                  <c:v>149.07692307692307</c:v>
                </c:pt>
                <c:pt idx="6">
                  <c:v>96.384615384615387</c:v>
                </c:pt>
                <c:pt idx="7">
                  <c:v>142.84615384615384</c:v>
                </c:pt>
                <c:pt idx="8">
                  <c:v>50.46153846153846</c:v>
                </c:pt>
                <c:pt idx="9">
                  <c:v>39.92307692307692</c:v>
                </c:pt>
                <c:pt idx="10">
                  <c:v>17.307692307692307</c:v>
                </c:pt>
                <c:pt idx="11">
                  <c:v>79.384615384615387</c:v>
                </c:pt>
                <c:pt idx="12">
                  <c:v>201.53846153846155</c:v>
                </c:pt>
                <c:pt idx="13">
                  <c:v>92.15384615384616</c:v>
                </c:pt>
                <c:pt idx="14">
                  <c:v>34.846153846153847</c:v>
                </c:pt>
                <c:pt idx="15">
                  <c:v>92.230769230769226</c:v>
                </c:pt>
                <c:pt idx="16">
                  <c:v>97</c:v>
                </c:pt>
                <c:pt idx="17">
                  <c:v>24.53846153846154</c:v>
                </c:pt>
                <c:pt idx="18">
                  <c:v>25.23076923076923</c:v>
                </c:pt>
                <c:pt idx="19">
                  <c:v>21.307692307692307</c:v>
                </c:pt>
                <c:pt idx="20">
                  <c:v>124.11111111111111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43632"/>
        <c:axId val="512938928"/>
      </c:scatterChart>
      <c:valAx>
        <c:axId val="512943632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coniferous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8928"/>
        <c:crosses val="autoZero"/>
        <c:crossBetween val="midCat"/>
      </c:valAx>
      <c:valAx>
        <c:axId val="512938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43632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Pred(Incendios) / Standardized residuals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1061.6002968957364</c:v>
                </c:pt>
                <c:pt idx="1">
                  <c:v>4393.248933882136</c:v>
                </c:pt>
                <c:pt idx="2">
                  <c:v>12443.150769222126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0.56162645888343377</c:v>
                </c:pt>
                <c:pt idx="1">
                  <c:v>-0.79406929663580805</c:v>
                </c:pt>
                <c:pt idx="2">
                  <c:v>0.23244283775237717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979560"/>
        <c:axId val="518978776"/>
      </c:scatterChart>
      <c:valAx>
        <c:axId val="518979560"/>
        <c:scaling>
          <c:orientation val="minMax"/>
          <c:max val="14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Pred(Incendios)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978776"/>
        <c:crosses val="autoZero"/>
        <c:crossBetween val="midCat"/>
      </c:valAx>
      <c:valAx>
        <c:axId val="518978776"/>
        <c:scaling>
          <c:orientation val="minMax"/>
          <c:max val="0.60000000000000009"/>
          <c:min val="-0.8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979560"/>
        <c:crosses val="autoZero"/>
        <c:crossBetween val="midCat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Pred(Incendios) / Incendios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'IFN1-4'!#REF!</c:f>
              <c:numCache>
                <c:formatCode>General</c:formatCode>
                <c:ptCount val="3"/>
                <c:pt idx="0">
                  <c:v>1061.6002968957364</c:v>
                </c:pt>
                <c:pt idx="1">
                  <c:v>4393.248933882136</c:v>
                </c:pt>
                <c:pt idx="2">
                  <c:v>12443.150769222126</c:v>
                </c:pt>
              </c:numCache>
            </c:numRef>
          </c:xVal>
          <c:yVal>
            <c:numRef>
              <c:f>'IFN1-4'!#REF!</c:f>
              <c:numCache>
                <c:formatCode>General</c:formatCode>
                <c:ptCount val="3"/>
                <c:pt idx="0">
                  <c:v>1414</c:v>
                </c:pt>
                <c:pt idx="1">
                  <c:v>3895</c:v>
                </c:pt>
                <c:pt idx="2">
                  <c:v>12589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14000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14000</c:v>
              </c:pt>
            </c:numLit>
          </c:yVal>
          <c:smooth val="0"/>
        </c:ser>
        <c:ser>
          <c:idx val="2"/>
          <c:order val="2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inventories'!xdata29</c:f>
              <c:numCache>
                <c:formatCode>General</c:formatCode>
                <c:ptCount val="70"/>
                <c:pt idx="0">
                  <c:v>0</c:v>
                </c:pt>
                <c:pt idx="1">
                  <c:v>202.898550724638</c:v>
                </c:pt>
                <c:pt idx="2">
                  <c:v>405.797101449276</c:v>
                </c:pt>
                <c:pt idx="3">
                  <c:v>608.69565217391403</c:v>
                </c:pt>
                <c:pt idx="4">
                  <c:v>811.594202898552</c:v>
                </c:pt>
                <c:pt idx="5">
                  <c:v>1014.49275362319</c:v>
                </c:pt>
                <c:pt idx="6">
                  <c:v>1217.3913043478281</c:v>
                </c:pt>
                <c:pt idx="7">
                  <c:v>1420.289855072466</c:v>
                </c:pt>
                <c:pt idx="8">
                  <c:v>1623.188405797104</c:v>
                </c:pt>
                <c:pt idx="9">
                  <c:v>1826.086956521742</c:v>
                </c:pt>
                <c:pt idx="10">
                  <c:v>2028.9855072463799</c:v>
                </c:pt>
                <c:pt idx="11">
                  <c:v>2231.8840579710181</c:v>
                </c:pt>
                <c:pt idx="12">
                  <c:v>2434.7826086956561</c:v>
                </c:pt>
                <c:pt idx="13">
                  <c:v>2637.6811594202941</c:v>
                </c:pt>
                <c:pt idx="14">
                  <c:v>2840.5797101449321</c:v>
                </c:pt>
                <c:pt idx="15">
                  <c:v>3043.47826086957</c:v>
                </c:pt>
                <c:pt idx="16">
                  <c:v>3246.376811594208</c:v>
                </c:pt>
                <c:pt idx="17">
                  <c:v>3449.275362318846</c:v>
                </c:pt>
                <c:pt idx="18">
                  <c:v>3652.1739130434839</c:v>
                </c:pt>
                <c:pt idx="19">
                  <c:v>3855.0724637681219</c:v>
                </c:pt>
                <c:pt idx="20">
                  <c:v>4057.9710144927599</c:v>
                </c:pt>
                <c:pt idx="21">
                  <c:v>4260.8695652173983</c:v>
                </c:pt>
                <c:pt idx="22">
                  <c:v>4463.7681159420363</c:v>
                </c:pt>
                <c:pt idx="23">
                  <c:v>4666.6666666666742</c:v>
                </c:pt>
                <c:pt idx="24">
                  <c:v>4869.5652173913122</c:v>
                </c:pt>
                <c:pt idx="25">
                  <c:v>5072.4637681159502</c:v>
                </c:pt>
                <c:pt idx="26">
                  <c:v>5275.3623188405882</c:v>
                </c:pt>
                <c:pt idx="27">
                  <c:v>5478.2608695652261</c:v>
                </c:pt>
                <c:pt idx="28">
                  <c:v>5681.1594202898641</c:v>
                </c:pt>
                <c:pt idx="29">
                  <c:v>5884.0579710145021</c:v>
                </c:pt>
                <c:pt idx="30">
                  <c:v>6086.95652173914</c:v>
                </c:pt>
                <c:pt idx="31">
                  <c:v>6289.855072463778</c:v>
                </c:pt>
                <c:pt idx="32">
                  <c:v>6492.753623188416</c:v>
                </c:pt>
                <c:pt idx="33">
                  <c:v>6695.652173913054</c:v>
                </c:pt>
                <c:pt idx="34">
                  <c:v>6898.5507246376919</c:v>
                </c:pt>
                <c:pt idx="35">
                  <c:v>7101.4492753623299</c:v>
                </c:pt>
                <c:pt idx="36">
                  <c:v>7304.3478260869679</c:v>
                </c:pt>
                <c:pt idx="37">
                  <c:v>7507.2463768116058</c:v>
                </c:pt>
                <c:pt idx="38">
                  <c:v>7710.1449275362438</c:v>
                </c:pt>
                <c:pt idx="39">
                  <c:v>7913.0434782608818</c:v>
                </c:pt>
                <c:pt idx="40">
                  <c:v>8115.9420289855198</c:v>
                </c:pt>
                <c:pt idx="41">
                  <c:v>8318.8405797101586</c:v>
                </c:pt>
                <c:pt idx="42">
                  <c:v>8521.7391304347966</c:v>
                </c:pt>
                <c:pt idx="43">
                  <c:v>8724.6376811594346</c:v>
                </c:pt>
                <c:pt idx="44">
                  <c:v>8927.5362318840725</c:v>
                </c:pt>
                <c:pt idx="45">
                  <c:v>9130.4347826087105</c:v>
                </c:pt>
                <c:pt idx="46">
                  <c:v>9333.3333333333485</c:v>
                </c:pt>
                <c:pt idx="47">
                  <c:v>9536.2318840579865</c:v>
                </c:pt>
                <c:pt idx="48">
                  <c:v>9739.1304347826244</c:v>
                </c:pt>
                <c:pt idx="49">
                  <c:v>9942.0289855072624</c:v>
                </c:pt>
                <c:pt idx="50">
                  <c:v>10144.9275362319</c:v>
                </c:pt>
                <c:pt idx="51">
                  <c:v>10347.826086956538</c:v>
                </c:pt>
                <c:pt idx="52">
                  <c:v>10550.724637681176</c:v>
                </c:pt>
                <c:pt idx="53">
                  <c:v>10753.623188405814</c:v>
                </c:pt>
                <c:pt idx="54">
                  <c:v>10956.521739130452</c:v>
                </c:pt>
                <c:pt idx="55">
                  <c:v>11159.42028985509</c:v>
                </c:pt>
                <c:pt idx="56">
                  <c:v>11362.318840579728</c:v>
                </c:pt>
                <c:pt idx="57">
                  <c:v>11565.217391304366</c:v>
                </c:pt>
                <c:pt idx="58">
                  <c:v>11768.115942029004</c:v>
                </c:pt>
                <c:pt idx="59">
                  <c:v>11971.014492753642</c:v>
                </c:pt>
                <c:pt idx="60">
                  <c:v>12173.91304347828</c:v>
                </c:pt>
                <c:pt idx="61">
                  <c:v>12376.811594202918</c:v>
                </c:pt>
                <c:pt idx="62">
                  <c:v>12579.710144927556</c:v>
                </c:pt>
                <c:pt idx="63">
                  <c:v>12782.608695652194</c:v>
                </c:pt>
                <c:pt idx="64">
                  <c:v>12985.507246376832</c:v>
                </c:pt>
                <c:pt idx="65">
                  <c:v>13188.40579710147</c:v>
                </c:pt>
                <c:pt idx="66">
                  <c:v>13391.304347826108</c:v>
                </c:pt>
                <c:pt idx="67">
                  <c:v>13594.202898550746</c:v>
                </c:pt>
                <c:pt idx="68">
                  <c:v>13797.101449275384</c:v>
                </c:pt>
                <c:pt idx="69">
                  <c:v>14000.000000000022</c:v>
                </c:pt>
              </c:numCache>
            </c:numRef>
          </c:xVal>
          <c:yVal>
            <c:numRef>
              <c:f>'Forest inventories'!ydata29</c:f>
              <c:numCache>
                <c:formatCode>General</c:formatCode>
                <c:ptCount val="70"/>
                <c:pt idx="0">
                  <c:v>-10853.062612362217</c:v>
                </c:pt>
                <c:pt idx="1">
                  <c:v>-10547.916057696251</c:v>
                </c:pt>
                <c:pt idx="2">
                  <c:v>-10245.375866468368</c:v>
                </c:pt>
                <c:pt idx="3">
                  <c:v>-9945.515858471741</c:v>
                </c:pt>
                <c:pt idx="4">
                  <c:v>-9648.4105677252646</c:v>
                </c:pt>
                <c:pt idx="5">
                  <c:v>-9354.1350805013863</c:v>
                </c:pt>
                <c:pt idx="6">
                  <c:v>-9062.7648566632924</c:v>
                </c:pt>
                <c:pt idx="7">
                  <c:v>-8774.3755341420801</c:v>
                </c:pt>
                <c:pt idx="8">
                  <c:v>-8489.0427165816363</c:v>
                </c:pt>
                <c:pt idx="9">
                  <c:v>-8206.8417444032038</c:v>
                </c:pt>
                <c:pt idx="10">
                  <c:v>-7927.8474497919142</c:v>
                </c:pt>
                <c:pt idx="11">
                  <c:v>-7652.1338963816797</c:v>
                </c:pt>
                <c:pt idx="12">
                  <c:v>-7379.7741047097497</c:v>
                </c:pt>
                <c:pt idx="13">
                  <c:v>-7110.8397648234386</c:v>
                </c:pt>
                <c:pt idx="14">
                  <c:v>-6845.4009377433722</c:v>
                </c:pt>
                <c:pt idx="15">
                  <c:v>-6583.5257478133863</c:v>
                </c:pt>
                <c:pt idx="16">
                  <c:v>-6325.2800682887519</c:v>
                </c:pt>
                <c:pt idx="17">
                  <c:v>-6070.727202822929</c:v>
                </c:pt>
                <c:pt idx="18">
                  <c:v>-5819.9275657986491</c:v>
                </c:pt>
                <c:pt idx="19">
                  <c:v>-5572.9383647016202</c:v>
                </c:pt>
                <c:pt idx="20">
                  <c:v>-5329.8132879443292</c:v>
                </c:pt>
                <c:pt idx="21">
                  <c:v>-5090.60220170292</c:v>
                </c:pt>
                <c:pt idx="22">
                  <c:v>-4855.3508594232635</c:v>
                </c:pt>
                <c:pt idx="23">
                  <c:v>-4624.1006276745984</c:v>
                </c:pt>
                <c:pt idx="24">
                  <c:v>-4396.8882319749218</c:v>
                </c:pt>
                <c:pt idx="25">
                  <c:v>-4173.7455260771831</c:v>
                </c:pt>
                <c:pt idx="26">
                  <c:v>-3954.6992879883519</c:v>
                </c:pt>
                <c:pt idx="27">
                  <c:v>-3739.7710456959658</c:v>
                </c:pt>
                <c:pt idx="28">
                  <c:v>-3528.9769352030498</c:v>
                </c:pt>
                <c:pt idx="29">
                  <c:v>-3322.3275930303143</c:v>
                </c:pt>
                <c:pt idx="30">
                  <c:v>-3119.8280848439545</c:v>
                </c:pt>
                <c:pt idx="31">
                  <c:v>-2921.4778713212936</c:v>
                </c:pt>
                <c:pt idx="32">
                  <c:v>-2727.2708117893426</c:v>
                </c:pt>
                <c:pt idx="33">
                  <c:v>-2537.1952055791417</c:v>
                </c:pt>
                <c:pt idx="34">
                  <c:v>-2351.233870448129</c:v>
                </c:pt>
                <c:pt idx="35">
                  <c:v>-2169.3642568504793</c:v>
                </c:pt>
                <c:pt idx="36">
                  <c:v>-1991.5585962967789</c:v>
                </c:pt>
                <c:pt idx="37">
                  <c:v>-1817.7840815543486</c:v>
                </c:pt>
                <c:pt idx="38">
                  <c:v>-1648.0030760097716</c:v>
                </c:pt>
                <c:pt idx="39">
                  <c:v>-1482.1733491558143</c:v>
                </c:pt>
                <c:pt idx="40">
                  <c:v>-1320.2483348825999</c:v>
                </c:pt>
                <c:pt idx="41">
                  <c:v>-1162.1774090515628</c:v>
                </c:pt>
                <c:pt idx="42">
                  <c:v>-1007.9061827115056</c:v>
                </c:pt>
                <c:pt idx="43">
                  <c:v>-857.37680727676889</c:v>
                </c:pt>
                <c:pt idx="44">
                  <c:v>-710.52828802413569</c:v>
                </c:pt>
                <c:pt idx="45">
                  <c:v>-567.29680237072353</c:v>
                </c:pt>
                <c:pt idx="46">
                  <c:v>-427.61601956179038</c:v>
                </c:pt>
                <c:pt idx="47">
                  <c:v>-291.41741861569608</c:v>
                </c:pt>
                <c:pt idx="48">
                  <c:v>-158.63060163278897</c:v>
                </c:pt>
                <c:pt idx="49">
                  <c:v>-29.183599865984434</c:v>
                </c:pt>
                <c:pt idx="50">
                  <c:v>96.996829737623557</c:v>
                </c:pt>
                <c:pt idx="51">
                  <c:v>219.98491949160234</c:v>
                </c:pt>
                <c:pt idx="52">
                  <c:v>339.85561906348994</c:v>
                </c:pt>
                <c:pt idx="53">
                  <c:v>456.68433802811342</c:v>
                </c:pt>
                <c:pt idx="54">
                  <c:v>570.5467038941897</c:v>
                </c:pt>
                <c:pt idx="55">
                  <c:v>681.51833632612033</c:v>
                </c:pt>
                <c:pt idx="56">
                  <c:v>789.67463801319718</c:v>
                </c:pt>
                <c:pt idx="57">
                  <c:v>895.09060239303471</c:v>
                </c:pt>
                <c:pt idx="58">
                  <c:v>997.84063821689961</c:v>
                </c:pt>
                <c:pt idx="59">
                  <c:v>1097.9984107528126</c:v>
                </c:pt>
                <c:pt idx="60">
                  <c:v>1195.6366992576368</c:v>
                </c:pt>
                <c:pt idx="61">
                  <c:v>1290.827270211541</c:v>
                </c:pt>
                <c:pt idx="62">
                  <c:v>1383.6407656957253</c:v>
                </c:pt>
                <c:pt idx="63">
                  <c:v>1474.1466062058626</c:v>
                </c:pt>
                <c:pt idx="64">
                  <c:v>1562.4129071271018</c:v>
                </c:pt>
                <c:pt idx="65">
                  <c:v>1648.5064080497759</c:v>
                </c:pt>
                <c:pt idx="66">
                  <c:v>1732.4924140759886</c:v>
                </c:pt>
                <c:pt idx="67">
                  <c:v>1814.4347482536086</c:v>
                </c:pt>
                <c:pt idx="68">
                  <c:v>1894.3957142738836</c:v>
                </c:pt>
                <c:pt idx="69">
                  <c:v>1972.4360685797255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'Forest inventories'!xdata30</c:f>
              <c:numCache>
                <c:formatCode>General</c:formatCode>
                <c:ptCount val="70"/>
                <c:pt idx="0">
                  <c:v>0</c:v>
                </c:pt>
                <c:pt idx="1">
                  <c:v>202.898550724638</c:v>
                </c:pt>
                <c:pt idx="2">
                  <c:v>405.797101449276</c:v>
                </c:pt>
                <c:pt idx="3">
                  <c:v>608.69565217391403</c:v>
                </c:pt>
                <c:pt idx="4">
                  <c:v>811.594202898552</c:v>
                </c:pt>
                <c:pt idx="5">
                  <c:v>1014.49275362319</c:v>
                </c:pt>
                <c:pt idx="6">
                  <c:v>1217.3913043478281</c:v>
                </c:pt>
                <c:pt idx="7">
                  <c:v>1420.289855072466</c:v>
                </c:pt>
                <c:pt idx="8">
                  <c:v>1623.188405797104</c:v>
                </c:pt>
                <c:pt idx="9">
                  <c:v>1826.086956521742</c:v>
                </c:pt>
                <c:pt idx="10">
                  <c:v>2028.9855072463799</c:v>
                </c:pt>
                <c:pt idx="11">
                  <c:v>2231.8840579710181</c:v>
                </c:pt>
                <c:pt idx="12">
                  <c:v>2434.7826086956561</c:v>
                </c:pt>
                <c:pt idx="13">
                  <c:v>2637.6811594202941</c:v>
                </c:pt>
                <c:pt idx="14">
                  <c:v>2840.5797101449321</c:v>
                </c:pt>
                <c:pt idx="15">
                  <c:v>3043.47826086957</c:v>
                </c:pt>
                <c:pt idx="16">
                  <c:v>3246.376811594208</c:v>
                </c:pt>
                <c:pt idx="17">
                  <c:v>3449.275362318846</c:v>
                </c:pt>
                <c:pt idx="18">
                  <c:v>3652.1739130434839</c:v>
                </c:pt>
                <c:pt idx="19">
                  <c:v>3855.0724637681219</c:v>
                </c:pt>
                <c:pt idx="20">
                  <c:v>4057.9710144927599</c:v>
                </c:pt>
                <c:pt idx="21">
                  <c:v>4260.8695652173983</c:v>
                </c:pt>
                <c:pt idx="22">
                  <c:v>4463.7681159420363</c:v>
                </c:pt>
                <c:pt idx="23">
                  <c:v>4666.6666666666742</c:v>
                </c:pt>
                <c:pt idx="24">
                  <c:v>4869.5652173913122</c:v>
                </c:pt>
                <c:pt idx="25">
                  <c:v>5072.4637681159502</c:v>
                </c:pt>
                <c:pt idx="26">
                  <c:v>5275.3623188405882</c:v>
                </c:pt>
                <c:pt idx="27">
                  <c:v>5478.2608695652261</c:v>
                </c:pt>
                <c:pt idx="28">
                  <c:v>5681.1594202898641</c:v>
                </c:pt>
                <c:pt idx="29">
                  <c:v>5884.0579710145021</c:v>
                </c:pt>
                <c:pt idx="30">
                  <c:v>6086.95652173914</c:v>
                </c:pt>
                <c:pt idx="31">
                  <c:v>6289.855072463778</c:v>
                </c:pt>
                <c:pt idx="32">
                  <c:v>6492.753623188416</c:v>
                </c:pt>
                <c:pt idx="33">
                  <c:v>6695.652173913054</c:v>
                </c:pt>
                <c:pt idx="34">
                  <c:v>6898.5507246376919</c:v>
                </c:pt>
                <c:pt idx="35">
                  <c:v>7101.4492753623299</c:v>
                </c:pt>
                <c:pt idx="36">
                  <c:v>7304.3478260869679</c:v>
                </c:pt>
                <c:pt idx="37">
                  <c:v>7507.2463768116058</c:v>
                </c:pt>
                <c:pt idx="38">
                  <c:v>7710.1449275362438</c:v>
                </c:pt>
                <c:pt idx="39">
                  <c:v>7913.0434782608818</c:v>
                </c:pt>
                <c:pt idx="40">
                  <c:v>8115.9420289855198</c:v>
                </c:pt>
                <c:pt idx="41">
                  <c:v>8318.8405797101586</c:v>
                </c:pt>
                <c:pt idx="42">
                  <c:v>8521.7391304347966</c:v>
                </c:pt>
                <c:pt idx="43">
                  <c:v>8724.6376811594346</c:v>
                </c:pt>
                <c:pt idx="44">
                  <c:v>8927.5362318840725</c:v>
                </c:pt>
                <c:pt idx="45">
                  <c:v>9130.4347826087105</c:v>
                </c:pt>
                <c:pt idx="46">
                  <c:v>9333.3333333333485</c:v>
                </c:pt>
                <c:pt idx="47">
                  <c:v>9536.2318840579865</c:v>
                </c:pt>
                <c:pt idx="48">
                  <c:v>9739.1304347826244</c:v>
                </c:pt>
                <c:pt idx="49">
                  <c:v>9942.0289855072624</c:v>
                </c:pt>
                <c:pt idx="50">
                  <c:v>10144.9275362319</c:v>
                </c:pt>
                <c:pt idx="51">
                  <c:v>10347.826086956538</c:v>
                </c:pt>
                <c:pt idx="52">
                  <c:v>10550.724637681176</c:v>
                </c:pt>
                <c:pt idx="53">
                  <c:v>10753.623188405814</c:v>
                </c:pt>
                <c:pt idx="54">
                  <c:v>10956.521739130452</c:v>
                </c:pt>
                <c:pt idx="55">
                  <c:v>11159.42028985509</c:v>
                </c:pt>
                <c:pt idx="56">
                  <c:v>11362.318840579728</c:v>
                </c:pt>
                <c:pt idx="57">
                  <c:v>11565.217391304366</c:v>
                </c:pt>
                <c:pt idx="58">
                  <c:v>11768.115942029004</c:v>
                </c:pt>
                <c:pt idx="59">
                  <c:v>11971.014492753642</c:v>
                </c:pt>
                <c:pt idx="60">
                  <c:v>12173.91304347828</c:v>
                </c:pt>
                <c:pt idx="61">
                  <c:v>12376.811594202918</c:v>
                </c:pt>
                <c:pt idx="62">
                  <c:v>12579.710144927556</c:v>
                </c:pt>
                <c:pt idx="63">
                  <c:v>12782.608695652194</c:v>
                </c:pt>
                <c:pt idx="64">
                  <c:v>12985.507246376832</c:v>
                </c:pt>
                <c:pt idx="65">
                  <c:v>13188.40579710147</c:v>
                </c:pt>
                <c:pt idx="66">
                  <c:v>13391.304347826108</c:v>
                </c:pt>
                <c:pt idx="67">
                  <c:v>13594.202898550746</c:v>
                </c:pt>
                <c:pt idx="68">
                  <c:v>13797.101449275384</c:v>
                </c:pt>
                <c:pt idx="69">
                  <c:v>14000.000000000022</c:v>
                </c:pt>
              </c:numCache>
            </c:numRef>
          </c:xVal>
          <c:yVal>
            <c:numRef>
              <c:f>'Forest inventories'!ydata30</c:f>
              <c:numCache>
                <c:formatCode>General</c:formatCode>
                <c:ptCount val="70"/>
                <c:pt idx="0">
                  <c:v>10853.062612362217</c:v>
                </c:pt>
                <c:pt idx="1">
                  <c:v>10953.713159145527</c:v>
                </c:pt>
                <c:pt idx="2">
                  <c:v>11056.97006936692</c:v>
                </c:pt>
                <c:pt idx="3">
                  <c:v>11162.907162819569</c:v>
                </c:pt>
                <c:pt idx="4">
                  <c:v>11271.598973522368</c:v>
                </c:pt>
                <c:pt idx="5">
                  <c:v>11383.120587747766</c:v>
                </c:pt>
                <c:pt idx="6">
                  <c:v>11497.547465358948</c:v>
                </c:pt>
                <c:pt idx="7">
                  <c:v>11614.955244287012</c:v>
                </c:pt>
                <c:pt idx="8">
                  <c:v>11735.419528175844</c:v>
                </c:pt>
                <c:pt idx="9">
                  <c:v>11859.015657446687</c:v>
                </c:pt>
                <c:pt idx="10">
                  <c:v>11985.818464284674</c:v>
                </c:pt>
                <c:pt idx="11">
                  <c:v>12115.902012323715</c:v>
                </c:pt>
                <c:pt idx="12">
                  <c:v>12249.339322101061</c:v>
                </c:pt>
                <c:pt idx="13">
                  <c:v>12386.202083664026</c:v>
                </c:pt>
                <c:pt idx="14">
                  <c:v>12526.560358033235</c:v>
                </c:pt>
                <c:pt idx="15">
                  <c:v>12670.482269552525</c:v>
                </c:pt>
                <c:pt idx="16">
                  <c:v>12818.033691477167</c:v>
                </c:pt>
                <c:pt idx="17">
                  <c:v>12969.27792746062</c:v>
                </c:pt>
                <c:pt idx="18">
                  <c:v>13124.275391885616</c:v>
                </c:pt>
                <c:pt idx="19">
                  <c:v>13283.083292237863</c:v>
                </c:pt>
                <c:pt idx="20">
                  <c:v>13445.755316929848</c:v>
                </c:pt>
                <c:pt idx="21">
                  <c:v>13612.341332137716</c:v>
                </c:pt>
                <c:pt idx="22">
                  <c:v>13782.887091307337</c:v>
                </c:pt>
                <c:pt idx="23">
                  <c:v>13957.433961007948</c:v>
                </c:pt>
                <c:pt idx="24">
                  <c:v>14136.018666757547</c:v>
                </c:pt>
                <c:pt idx="25">
                  <c:v>14318.673062309084</c:v>
                </c:pt>
                <c:pt idx="26">
                  <c:v>14505.423925669529</c:v>
                </c:pt>
                <c:pt idx="27">
                  <c:v>14696.292784826419</c:v>
                </c:pt>
                <c:pt idx="28">
                  <c:v>14891.295775782779</c:v>
                </c:pt>
                <c:pt idx="29">
                  <c:v>15090.443535059319</c:v>
                </c:pt>
                <c:pt idx="30">
                  <c:v>15293.741128322235</c:v>
                </c:pt>
                <c:pt idx="31">
                  <c:v>15501.188016248849</c:v>
                </c:pt>
                <c:pt idx="32">
                  <c:v>15712.778058166175</c:v>
                </c:pt>
                <c:pt idx="33">
                  <c:v>15928.49955340525</c:v>
                </c:pt>
                <c:pt idx="34">
                  <c:v>16148.335319723512</c:v>
                </c:pt>
                <c:pt idx="35">
                  <c:v>16372.262807575138</c:v>
                </c:pt>
                <c:pt idx="36">
                  <c:v>16600.254248470716</c:v>
                </c:pt>
                <c:pt idx="37">
                  <c:v>16832.276835177559</c:v>
                </c:pt>
                <c:pt idx="38">
                  <c:v>17068.292931082258</c:v>
                </c:pt>
                <c:pt idx="39">
                  <c:v>17308.260305677577</c:v>
                </c:pt>
                <c:pt idx="40">
                  <c:v>17552.13239285364</c:v>
                </c:pt>
                <c:pt idx="41">
                  <c:v>17799.858568471878</c:v>
                </c:pt>
                <c:pt idx="42">
                  <c:v>18051.384443581097</c:v>
                </c:pt>
                <c:pt idx="43">
                  <c:v>18306.65216959564</c:v>
                </c:pt>
                <c:pt idx="44">
                  <c:v>18565.600751792281</c:v>
                </c:pt>
                <c:pt idx="45">
                  <c:v>18828.166367588143</c:v>
                </c:pt>
                <c:pt idx="46">
                  <c:v>19094.282686228486</c:v>
                </c:pt>
                <c:pt idx="47">
                  <c:v>19363.881186731669</c:v>
                </c:pt>
                <c:pt idx="48">
                  <c:v>19636.89147119804</c:v>
                </c:pt>
                <c:pt idx="49">
                  <c:v>19913.241570880509</c:v>
                </c:pt>
                <c:pt idx="50">
                  <c:v>20192.858242726179</c:v>
                </c:pt>
                <c:pt idx="51">
                  <c:v>20475.667254421474</c:v>
                </c:pt>
                <c:pt idx="52">
                  <c:v>20761.593656298865</c:v>
                </c:pt>
                <c:pt idx="53">
                  <c:v>21050.562038783515</c:v>
                </c:pt>
                <c:pt idx="54">
                  <c:v>21342.496774366715</c:v>
                </c:pt>
                <c:pt idx="55">
                  <c:v>21637.32224338406</c:v>
                </c:pt>
                <c:pt idx="56">
                  <c:v>21934.963043146257</c:v>
                </c:pt>
                <c:pt idx="57">
                  <c:v>22235.344180215696</c:v>
                </c:pt>
                <c:pt idx="58">
                  <c:v>22538.391245841107</c:v>
                </c:pt>
                <c:pt idx="59">
                  <c:v>22844.03057475447</c:v>
                </c:pt>
                <c:pt idx="60">
                  <c:v>23152.189387698923</c:v>
                </c:pt>
                <c:pt idx="61">
                  <c:v>23462.795918194293</c:v>
                </c:pt>
                <c:pt idx="62">
                  <c:v>23775.779524159385</c:v>
                </c:pt>
                <c:pt idx="63">
                  <c:v>24091.070785098527</c:v>
                </c:pt>
                <c:pt idx="64">
                  <c:v>24408.601585626562</c:v>
                </c:pt>
                <c:pt idx="65">
                  <c:v>24728.305186153164</c:v>
                </c:pt>
                <c:pt idx="66">
                  <c:v>25050.116281576229</c:v>
                </c:pt>
                <c:pt idx="67">
                  <c:v>25373.971048847881</c:v>
                </c:pt>
                <c:pt idx="68">
                  <c:v>25699.807184276884</c:v>
                </c:pt>
                <c:pt idx="69">
                  <c:v>26027.563931420318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985832"/>
        <c:axId val="518987792"/>
      </c:scatterChart>
      <c:valAx>
        <c:axId val="518985832"/>
        <c:scaling>
          <c:orientation val="minMax"/>
          <c:max val="14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Pred(Incendios)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987792"/>
        <c:crosses val="autoZero"/>
        <c:crossBetween val="midCat"/>
        <c:majorUnit val="2000"/>
      </c:valAx>
      <c:valAx>
        <c:axId val="518987792"/>
        <c:scaling>
          <c:orientation val="minMax"/>
          <c:max val="14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Incendios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985832"/>
        <c:crosses val="autoZero"/>
        <c:crossBetween val="midCat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Standardized residuals / Incendios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'IFN1-4'!#REF!</c:f>
              <c:numCache>
                <c:formatCode>General</c:formatCode>
                <c:ptCount val="3"/>
                <c:pt idx="0">
                  <c:v>0.56162645888343377</c:v>
                </c:pt>
                <c:pt idx="1">
                  <c:v>-0.79406929663580805</c:v>
                </c:pt>
                <c:pt idx="2">
                  <c:v>0.23244283775237717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1"/>
                      <c:pt idx="0">
                        <c:v>Std. residual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'IFN1-4'!#REF!</c15:sqref>
                        </c15:formulaRef>
                      </c:ext>
                    </c:extLst>
                    <c:strCache>
                      <c:ptCount val="3"/>
                      <c:pt idx="0">
                        <c:v>Obs1</c:v>
                      </c:pt>
                      <c:pt idx="1">
                        <c:v>Obs2</c:v>
                      </c:pt>
                      <c:pt idx="2">
                        <c:v>Obs3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979168"/>
        <c:axId val="518976424"/>
      </c:barChart>
      <c:catAx>
        <c:axId val="51897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Observations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976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8976424"/>
        <c:scaling>
          <c:orientation val="minMax"/>
          <c:max val="1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Standardized residuals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979168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141256514436207"/>
          <c:y val="1.9583840812672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Decades!$C$2</c:f>
              <c:strCache>
                <c:ptCount val="1"/>
                <c:pt idx="0">
                  <c:v>1981-1990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35866237373737375"/>
                  <c:y val="-0.48482777777777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Decades!$S$3:$S$23</c:f>
              <c:numCache>
                <c:formatCode>General</c:formatCode>
                <c:ptCount val="21"/>
                <c:pt idx="0">
                  <c:v>0.64370299349999349</c:v>
                </c:pt>
                <c:pt idx="1">
                  <c:v>0.65316672662852748</c:v>
                </c:pt>
                <c:pt idx="2">
                  <c:v>0.96436503214137614</c:v>
                </c:pt>
                <c:pt idx="3">
                  <c:v>0.62261804491154127</c:v>
                </c:pt>
                <c:pt idx="4">
                  <c:v>0.36090157103419779</c:v>
                </c:pt>
                <c:pt idx="5">
                  <c:v>0.17053344273857726</c:v>
                </c:pt>
                <c:pt idx="6">
                  <c:v>0.70290891899872709</c:v>
                </c:pt>
                <c:pt idx="7">
                  <c:v>0.33887624611027184</c:v>
                </c:pt>
                <c:pt idx="8">
                  <c:v>0.18904852697216964</c:v>
                </c:pt>
                <c:pt idx="9">
                  <c:v>0.88873959119134682</c:v>
                </c:pt>
                <c:pt idx="10">
                  <c:v>0.91034910988813422</c:v>
                </c:pt>
                <c:pt idx="11">
                  <c:v>0.25203750001787628</c:v>
                </c:pt>
                <c:pt idx="12">
                  <c:v>0.90560635609334128</c:v>
                </c:pt>
                <c:pt idx="13">
                  <c:v>0.56232701369940419</c:v>
                </c:pt>
                <c:pt idx="14">
                  <c:v>0.93362389268715085</c:v>
                </c:pt>
                <c:pt idx="15">
                  <c:v>0.9804097413761933</c:v>
                </c:pt>
                <c:pt idx="16">
                  <c:v>0.51801444191844048</c:v>
                </c:pt>
                <c:pt idx="17">
                  <c:v>0.2074424773828438</c:v>
                </c:pt>
                <c:pt idx="18">
                  <c:v>0.83397508398284415</c:v>
                </c:pt>
                <c:pt idx="19">
                  <c:v>0.41253766793384172</c:v>
                </c:pt>
                <c:pt idx="20">
                  <c:v>0.96083054886066732</c:v>
                </c:pt>
              </c:numCache>
            </c:numRef>
          </c:xVal>
          <c:yVal>
            <c:numRef>
              <c:f>Decades!$C$3:$C$23</c:f>
              <c:numCache>
                <c:formatCode>0</c:formatCode>
                <c:ptCount val="21"/>
                <c:pt idx="0">
                  <c:v>939.1</c:v>
                </c:pt>
                <c:pt idx="1">
                  <c:v>645.79999999999995</c:v>
                </c:pt>
                <c:pt idx="2">
                  <c:v>755</c:v>
                </c:pt>
                <c:pt idx="3">
                  <c:v>1502</c:v>
                </c:pt>
                <c:pt idx="4">
                  <c:v>570.1</c:v>
                </c:pt>
                <c:pt idx="5">
                  <c:v>346.8</c:v>
                </c:pt>
                <c:pt idx="6">
                  <c:v>137.5</c:v>
                </c:pt>
                <c:pt idx="7">
                  <c:v>463.3</c:v>
                </c:pt>
                <c:pt idx="8">
                  <c:v>129.9</c:v>
                </c:pt>
                <c:pt idx="9">
                  <c:v>92.4</c:v>
                </c:pt>
                <c:pt idx="10">
                  <c:v>38.6</c:v>
                </c:pt>
                <c:pt idx="11">
                  <c:v>307.10000000000002</c:v>
                </c:pt>
                <c:pt idx="12">
                  <c:v>195.3</c:v>
                </c:pt>
                <c:pt idx="13">
                  <c:v>94.7</c:v>
                </c:pt>
                <c:pt idx="14">
                  <c:v>79.8</c:v>
                </c:pt>
                <c:pt idx="15">
                  <c:v>119.5</c:v>
                </c:pt>
                <c:pt idx="16">
                  <c:v>145.57142857142858</c:v>
                </c:pt>
                <c:pt idx="17">
                  <c:v>72.2</c:v>
                </c:pt>
                <c:pt idx="18">
                  <c:v>74</c:v>
                </c:pt>
                <c:pt idx="19">
                  <c:v>60.5</c:v>
                </c:pt>
                <c:pt idx="20">
                  <c:v>505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34224"/>
        <c:axId val="512944024"/>
      </c:scatterChart>
      <c:valAx>
        <c:axId val="512934224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coniferous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44024"/>
        <c:crosses val="autoZero"/>
        <c:crossBetween val="midCat"/>
      </c:valAx>
      <c:valAx>
        <c:axId val="5129440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4224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769753352204934"/>
          <c:y val="2.937576121900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Decades!$D$2</c:f>
              <c:strCache>
                <c:ptCount val="1"/>
                <c:pt idx="0">
                  <c:v>1991-2000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34371919191919192"/>
                  <c:y val="-0.497453787878787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Decades!$T$3:$T$23</c:f>
              <c:numCache>
                <c:formatCode>General</c:formatCode>
                <c:ptCount val="21"/>
                <c:pt idx="0">
                  <c:v>0.50851320158320901</c:v>
                </c:pt>
                <c:pt idx="1">
                  <c:v>0.61268953446365271</c:v>
                </c:pt>
                <c:pt idx="2">
                  <c:v>0.93547968344989008</c:v>
                </c:pt>
                <c:pt idx="3">
                  <c:v>0.47367317900671996</c:v>
                </c:pt>
                <c:pt idx="4">
                  <c:v>0.29386608486824017</c:v>
                </c:pt>
                <c:pt idx="5">
                  <c:v>0.16009106275166973</c:v>
                </c:pt>
                <c:pt idx="6">
                  <c:v>0.70335998764591667</c:v>
                </c:pt>
                <c:pt idx="7">
                  <c:v>0.49831534783353337</c:v>
                </c:pt>
                <c:pt idx="8">
                  <c:v>0.21888272674277276</c:v>
                </c:pt>
                <c:pt idx="9">
                  <c:v>0.89703040246875787</c:v>
                </c:pt>
                <c:pt idx="10">
                  <c:v>0.91612568633356262</c:v>
                </c:pt>
                <c:pt idx="11">
                  <c:v>0.56678692540526165</c:v>
                </c:pt>
                <c:pt idx="12">
                  <c:v>0.91696266203757781</c:v>
                </c:pt>
                <c:pt idx="13">
                  <c:v>0.46685793008852566</c:v>
                </c:pt>
                <c:pt idx="14">
                  <c:v>0.88407394310479293</c:v>
                </c:pt>
                <c:pt idx="15">
                  <c:v>0.86654318248004614</c:v>
                </c:pt>
                <c:pt idx="16">
                  <c:v>0.5178935748529041</c:v>
                </c:pt>
                <c:pt idx="17">
                  <c:v>0.34279320687835479</c:v>
                </c:pt>
                <c:pt idx="18">
                  <c:v>0.7597108806907491</c:v>
                </c:pt>
                <c:pt idx="19">
                  <c:v>0.50665236611245035</c:v>
                </c:pt>
                <c:pt idx="20">
                  <c:v>0.95392137595821047</c:v>
                </c:pt>
              </c:numCache>
            </c:numRef>
          </c:xVal>
          <c:yVal>
            <c:numRef>
              <c:f>Decades!$D$3:$D$23</c:f>
              <c:numCache>
                <c:formatCode>0</c:formatCode>
                <c:ptCount val="21"/>
                <c:pt idx="0">
                  <c:v>2398.1999999999998</c:v>
                </c:pt>
                <c:pt idx="1">
                  <c:v>1581.5</c:v>
                </c:pt>
                <c:pt idx="2">
                  <c:v>3324.8</c:v>
                </c:pt>
                <c:pt idx="3">
                  <c:v>2884.5</c:v>
                </c:pt>
                <c:pt idx="4">
                  <c:v>1023.5</c:v>
                </c:pt>
                <c:pt idx="5">
                  <c:v>294.3</c:v>
                </c:pt>
                <c:pt idx="6">
                  <c:v>168</c:v>
                </c:pt>
                <c:pt idx="7">
                  <c:v>600.9</c:v>
                </c:pt>
                <c:pt idx="8">
                  <c:v>69.8</c:v>
                </c:pt>
                <c:pt idx="9">
                  <c:v>86.3</c:v>
                </c:pt>
                <c:pt idx="10">
                  <c:v>59.1</c:v>
                </c:pt>
                <c:pt idx="11">
                  <c:v>462.1</c:v>
                </c:pt>
                <c:pt idx="12">
                  <c:v>302.5</c:v>
                </c:pt>
                <c:pt idx="13">
                  <c:v>177.2</c:v>
                </c:pt>
                <c:pt idx="14">
                  <c:v>100.9</c:v>
                </c:pt>
                <c:pt idx="15">
                  <c:v>149.5</c:v>
                </c:pt>
                <c:pt idx="16">
                  <c:v>263.11111111111109</c:v>
                </c:pt>
                <c:pt idx="17">
                  <c:v>108.3</c:v>
                </c:pt>
                <c:pt idx="18">
                  <c:v>103.9</c:v>
                </c:pt>
                <c:pt idx="19">
                  <c:v>111.3</c:v>
                </c:pt>
                <c:pt idx="20">
                  <c:v>169.22222222222223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40104"/>
        <c:axId val="512941672"/>
      </c:scatterChart>
      <c:valAx>
        <c:axId val="512940104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coniferous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41672"/>
        <c:crosses val="autoZero"/>
        <c:crossBetween val="midCat"/>
      </c:valAx>
      <c:valAx>
        <c:axId val="5129416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40104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308084022915341"/>
          <c:y val="2.2847814281451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Decades!$E$2</c:f>
              <c:strCache>
                <c:ptCount val="1"/>
                <c:pt idx="0">
                  <c:v>2001-2012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71280F7-6FD9-4FF4-814B-D820B760160C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{171280F7-6FD9-4FF4-814B-D820B760160C}</c15:txfldGUID>
                      <c15:f>Decades!$A$3</c15:f>
                      <c15:dlblFieldTableCache>
                        <c:ptCount val="1"/>
                        <c:pt idx="0">
                          <c:v>A Coruña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FFC3868-1804-49C8-9E38-203806DB52F2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{6FFC3868-1804-49C8-9E38-203806DB52F2}</c15:txfldGUID>
                      <c15:f>Decades!$A$4</c15:f>
                      <c15:dlblFieldTableCache>
                        <c:ptCount val="1"/>
                        <c:pt idx="0">
                          <c:v>Lugo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0.15073232323232325"/>
                  <c:y val="-2.8863636363636362E-2"/>
                </c:manualLayout>
              </c:layout>
              <c:tx>
                <c:rich>
                  <a:bodyPr/>
                  <a:lstStyle/>
                  <a:p>
                    <a:fld id="{5EAA7F73-8506-4FE5-B7FC-3C2A133FD5B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{5EAA7F73-8506-4FE5-B7FC-3C2A133FD5B6}</c15:txfldGUID>
                      <c15:f>Decades!$A$5</c15:f>
                      <c15:dlblFieldTableCache>
                        <c:ptCount val="1"/>
                        <c:pt idx="0">
                          <c:v>Ourense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0F93369-1708-4724-9D62-A09C33E28BA6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{A0F93369-1708-4724-9D62-A09C33E28BA6}</c15:txfldGUID>
                      <c15:f>Decades!$A$6</c15:f>
                      <c15:dlblFieldTableCache>
                        <c:ptCount val="1"/>
                        <c:pt idx="0">
                          <c:v>Pontevedra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5F6B535-E36D-400F-B482-66E506350AA8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{E5F6B535-E36D-400F-B482-66E506350AA8}</c15:txfldGUID>
                      <c15:f>Decades!$A$7</c15:f>
                      <c15:dlblFieldTableCache>
                        <c:ptCount val="1"/>
                        <c:pt idx="0">
                          <c:v>Asturias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8D8A534-2201-400C-B0BF-89F0FAB7F28F}" type="CELLREF">
                      <a:rPr lang="en-US"/>
                      <a:pPr/>
                      <a:t>[CELLREF]</a:t>
                    </a:fld>
                    <a:endParaRPr lang="en-GB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{38D8A534-2201-400C-B0BF-89F0FAB7F28F}</c15:txfldGUID>
                      <c15:f>Decades!$A$8</c15:f>
                      <c15:dlblFieldTableCache>
                        <c:ptCount val="1"/>
                        <c:pt idx="0">
                          <c:v>Cantabria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355670202020202"/>
                  <c:y val="-0.5552133838383838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Decades!$U$3:$U$23</c:f>
              <c:numCache>
                <c:formatCode>General</c:formatCode>
                <c:ptCount val="21"/>
                <c:pt idx="0">
                  <c:v>0.3000462034351325</c:v>
                </c:pt>
                <c:pt idx="1">
                  <c:v>0.52608650409061863</c:v>
                </c:pt>
                <c:pt idx="2">
                  <c:v>0.92157921216272631</c:v>
                </c:pt>
                <c:pt idx="3">
                  <c:v>0.48540806102689377</c:v>
                </c:pt>
                <c:pt idx="4">
                  <c:v>0.18875564923711075</c:v>
                </c:pt>
                <c:pt idx="5">
                  <c:v>0.10559262508398443</c:v>
                </c:pt>
                <c:pt idx="6">
                  <c:v>0.67077701386845678</c:v>
                </c:pt>
                <c:pt idx="7">
                  <c:v>0.64564444548775435</c:v>
                </c:pt>
                <c:pt idx="8">
                  <c:v>0.5758347252873226</c:v>
                </c:pt>
                <c:pt idx="9">
                  <c:v>0.84177840980041296</c:v>
                </c:pt>
                <c:pt idx="10">
                  <c:v>0.91143922632584651</c:v>
                </c:pt>
                <c:pt idx="11">
                  <c:v>0.60740141072483944</c:v>
                </c:pt>
                <c:pt idx="12">
                  <c:v>0.88634170907398746</c:v>
                </c:pt>
                <c:pt idx="13">
                  <c:v>0.59773980350884937</c:v>
                </c:pt>
                <c:pt idx="14">
                  <c:v>0.92509782092481663</c:v>
                </c:pt>
                <c:pt idx="15">
                  <c:v>0.98075172157725377</c:v>
                </c:pt>
                <c:pt idx="16">
                  <c:v>0.58709937141852375</c:v>
                </c:pt>
                <c:pt idx="17">
                  <c:v>0.45726810480280972</c:v>
                </c:pt>
                <c:pt idx="18">
                  <c:v>0.64071118658612491</c:v>
                </c:pt>
                <c:pt idx="19">
                  <c:v>0.38200712893508554</c:v>
                </c:pt>
                <c:pt idx="20">
                  <c:v>0.8605563272721054</c:v>
                </c:pt>
              </c:numCache>
            </c:numRef>
          </c:xVal>
          <c:yVal>
            <c:numRef>
              <c:f>Decades!$E$3:$E$23</c:f>
              <c:numCache>
                <c:formatCode>0</c:formatCode>
                <c:ptCount val="21"/>
                <c:pt idx="0">
                  <c:v>1617.6666666666667</c:v>
                </c:pt>
                <c:pt idx="1">
                  <c:v>853.41666666666663</c:v>
                </c:pt>
                <c:pt idx="2">
                  <c:v>2460.8333333333335</c:v>
                </c:pt>
                <c:pt idx="3">
                  <c:v>1912.1666666666667</c:v>
                </c:pt>
                <c:pt idx="4">
                  <c:v>1808</c:v>
                </c:pt>
                <c:pt idx="5">
                  <c:v>497.08333333333331</c:v>
                </c:pt>
                <c:pt idx="6">
                  <c:v>187.08333333333334</c:v>
                </c:pt>
                <c:pt idx="7">
                  <c:v>580.58333333333337</c:v>
                </c:pt>
                <c:pt idx="8">
                  <c:v>84</c:v>
                </c:pt>
                <c:pt idx="9">
                  <c:v>70.25</c:v>
                </c:pt>
                <c:pt idx="10">
                  <c:v>78.25</c:v>
                </c:pt>
                <c:pt idx="11">
                  <c:v>455.83333333333331</c:v>
                </c:pt>
                <c:pt idx="12">
                  <c:v>254.08333333333334</c:v>
                </c:pt>
                <c:pt idx="13">
                  <c:v>139.25</c:v>
                </c:pt>
                <c:pt idx="14">
                  <c:v>124.58333333333333</c:v>
                </c:pt>
                <c:pt idx="15">
                  <c:v>116.75</c:v>
                </c:pt>
                <c:pt idx="16">
                  <c:v>486.41666666666669</c:v>
                </c:pt>
                <c:pt idx="17">
                  <c:v>99.5</c:v>
                </c:pt>
                <c:pt idx="18">
                  <c:v>110.25</c:v>
                </c:pt>
                <c:pt idx="19">
                  <c:v>206.08333333333334</c:v>
                </c:pt>
                <c:pt idx="20">
                  <c:v>148.41666666666666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42456"/>
        <c:axId val="512943240"/>
      </c:scatterChart>
      <c:valAx>
        <c:axId val="512942456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coniferous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43240"/>
        <c:crosses val="autoZero"/>
        <c:crossBetween val="midCat"/>
      </c:valAx>
      <c:valAx>
        <c:axId val="512943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42456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705217079899735"/>
          <c:y val="1.9583840812672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Decades!$B$2</c:f>
              <c:strCache>
                <c:ptCount val="1"/>
                <c:pt idx="0">
                  <c:v>1968-1980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25400" cap="flat" cmpd="sng" algn="ctr">
                <a:solidFill>
                  <a:schemeClr val="dk1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>
                <c:manualLayout>
                  <c:x val="-0.41173989898989899"/>
                  <c:y val="-0.459856818181818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Decades!$Z$3:$Z$23</c:f>
              <c:numCache>
                <c:formatCode>0.000</c:formatCode>
                <c:ptCount val="21"/>
                <c:pt idx="0">
                  <c:v>0.97739368862178466</c:v>
                </c:pt>
                <c:pt idx="1">
                  <c:v>0.88784603488413583</c:v>
                </c:pt>
                <c:pt idx="2">
                  <c:v>0.94032657663621566</c:v>
                </c:pt>
                <c:pt idx="3">
                  <c:v>0.98445298984173202</c:v>
                </c:pt>
                <c:pt idx="4">
                  <c:v>0.85804426263310907</c:v>
                </c:pt>
                <c:pt idx="5">
                  <c:v>0.92291525856198686</c:v>
                </c:pt>
                <c:pt idx="6">
                  <c:v>0.71329203273810993</c:v>
                </c:pt>
                <c:pt idx="7">
                  <c:v>0.24145643814554321</c:v>
                </c:pt>
                <c:pt idx="8">
                  <c:v>3.1725661198846053E-2</c:v>
                </c:pt>
                <c:pt idx="9">
                  <c:v>0.89513852970715579</c:v>
                </c:pt>
                <c:pt idx="10">
                  <c:v>0.94135415666634981</c:v>
                </c:pt>
                <c:pt idx="11">
                  <c:v>0.26861519717757043</c:v>
                </c:pt>
                <c:pt idx="12">
                  <c:v>0.88999143168554895</c:v>
                </c:pt>
                <c:pt idx="13">
                  <c:v>0.61215657470714746</c:v>
                </c:pt>
                <c:pt idx="14">
                  <c:v>0.9574863840774227</c:v>
                </c:pt>
                <c:pt idx="15">
                  <c:v>0.96169136156419366</c:v>
                </c:pt>
                <c:pt idx="16">
                  <c:v>0.33033561919413984</c:v>
                </c:pt>
                <c:pt idx="17">
                  <c:v>0.16742824472028259</c:v>
                </c:pt>
                <c:pt idx="18">
                  <c:v>0.89218621361628381</c:v>
                </c:pt>
                <c:pt idx="19">
                  <c:v>0.46730891061610685</c:v>
                </c:pt>
                <c:pt idx="20">
                  <c:v>0.93563587245113999</c:v>
                </c:pt>
              </c:numCache>
            </c:numRef>
          </c:xVal>
          <c:yVal>
            <c:numRef>
              <c:f>Decades!$B$3:$B$23</c:f>
              <c:numCache>
                <c:formatCode>0</c:formatCode>
                <c:ptCount val="21"/>
                <c:pt idx="0">
                  <c:v>315.84615384615387</c:v>
                </c:pt>
                <c:pt idx="1">
                  <c:v>264</c:v>
                </c:pt>
                <c:pt idx="2">
                  <c:v>276.61538461538464</c:v>
                </c:pt>
                <c:pt idx="3">
                  <c:v>687.61538461538464</c:v>
                </c:pt>
                <c:pt idx="4">
                  <c:v>211</c:v>
                </c:pt>
                <c:pt idx="5">
                  <c:v>149.07692307692307</c:v>
                </c:pt>
                <c:pt idx="6">
                  <c:v>96.384615384615387</c:v>
                </c:pt>
                <c:pt idx="7">
                  <c:v>142.84615384615384</c:v>
                </c:pt>
                <c:pt idx="8">
                  <c:v>50.46153846153846</c:v>
                </c:pt>
                <c:pt idx="9">
                  <c:v>39.92307692307692</c:v>
                </c:pt>
                <c:pt idx="10">
                  <c:v>17.307692307692307</c:v>
                </c:pt>
                <c:pt idx="11">
                  <c:v>79.384615384615387</c:v>
                </c:pt>
                <c:pt idx="12">
                  <c:v>201.53846153846155</c:v>
                </c:pt>
                <c:pt idx="13">
                  <c:v>92.15384615384616</c:v>
                </c:pt>
                <c:pt idx="14">
                  <c:v>34.846153846153847</c:v>
                </c:pt>
                <c:pt idx="15">
                  <c:v>92.230769230769226</c:v>
                </c:pt>
                <c:pt idx="16">
                  <c:v>97</c:v>
                </c:pt>
                <c:pt idx="17">
                  <c:v>24.53846153846154</c:v>
                </c:pt>
                <c:pt idx="18">
                  <c:v>25.23076923076923</c:v>
                </c:pt>
                <c:pt idx="19">
                  <c:v>21.307692307692307</c:v>
                </c:pt>
                <c:pt idx="20">
                  <c:v>124.11111111111111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935400"/>
        <c:axId val="515746248"/>
      </c:scatterChart>
      <c:valAx>
        <c:axId val="512935400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Proportion</a:t>
                </a:r>
                <a:r>
                  <a:rPr lang="en-GB" sz="1200" baseline="0"/>
                  <a:t> of pyrophytic wood harvested</a:t>
                </a:r>
                <a:endParaRPr lang="en-GB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46248"/>
        <c:crosses val="autoZero"/>
        <c:crossBetween val="midCat"/>
      </c:valAx>
      <c:valAx>
        <c:axId val="5157462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Number of fires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35400"/>
        <c:crosses val="autoZero"/>
        <c:crossBetween val="midCat"/>
      </c:valAx>
      <c:spPr>
        <a:solidFill>
          <a:schemeClr val="lt1"/>
        </a:solidFill>
        <a:ln w="19050" cap="flat" cmpd="sng" algn="ctr"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sel="1" val="0">
  <itemLst>
    <item val="Summary statistics"/>
    <item val="Correlation matrix (Pearson)"/>
    <item val="p-values"/>
    <item val="Coefficients of determination (R²)"/>
    <item val="Scatter plots"/>
  </itemLst>
</formControlPr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18" Type="http://schemas.openxmlformats.org/officeDocument/2006/relationships/chart" Target="../charts/chart35.xml"/><Relationship Id="rId26" Type="http://schemas.openxmlformats.org/officeDocument/2006/relationships/chart" Target="../charts/chart43.xml"/><Relationship Id="rId3" Type="http://schemas.openxmlformats.org/officeDocument/2006/relationships/chart" Target="../charts/chart20.xml"/><Relationship Id="rId21" Type="http://schemas.openxmlformats.org/officeDocument/2006/relationships/chart" Target="../charts/chart38.xml"/><Relationship Id="rId34" Type="http://schemas.openxmlformats.org/officeDocument/2006/relationships/chart" Target="../charts/chart51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chart" Target="../charts/chart34.xml"/><Relationship Id="rId25" Type="http://schemas.openxmlformats.org/officeDocument/2006/relationships/chart" Target="../charts/chart42.xml"/><Relationship Id="rId33" Type="http://schemas.openxmlformats.org/officeDocument/2006/relationships/chart" Target="../charts/chart50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20" Type="http://schemas.openxmlformats.org/officeDocument/2006/relationships/chart" Target="../charts/chart37.xml"/><Relationship Id="rId29" Type="http://schemas.openxmlformats.org/officeDocument/2006/relationships/chart" Target="../charts/chart46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24" Type="http://schemas.openxmlformats.org/officeDocument/2006/relationships/chart" Target="../charts/chart41.xml"/><Relationship Id="rId32" Type="http://schemas.openxmlformats.org/officeDocument/2006/relationships/chart" Target="../charts/chart49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23" Type="http://schemas.openxmlformats.org/officeDocument/2006/relationships/chart" Target="../charts/chart40.xml"/><Relationship Id="rId28" Type="http://schemas.openxmlformats.org/officeDocument/2006/relationships/chart" Target="../charts/chart45.xml"/><Relationship Id="rId10" Type="http://schemas.openxmlformats.org/officeDocument/2006/relationships/chart" Target="../charts/chart27.xml"/><Relationship Id="rId19" Type="http://schemas.openxmlformats.org/officeDocument/2006/relationships/chart" Target="../charts/chart36.xml"/><Relationship Id="rId31" Type="http://schemas.openxmlformats.org/officeDocument/2006/relationships/chart" Target="../charts/chart48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Relationship Id="rId22" Type="http://schemas.openxmlformats.org/officeDocument/2006/relationships/chart" Target="../charts/chart39.xml"/><Relationship Id="rId27" Type="http://schemas.openxmlformats.org/officeDocument/2006/relationships/chart" Target="../charts/chart44.xml"/><Relationship Id="rId30" Type="http://schemas.openxmlformats.org/officeDocument/2006/relationships/chart" Target="../charts/chart47.xml"/><Relationship Id="rId35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30</xdr:row>
      <xdr:rowOff>14285</xdr:rowOff>
    </xdr:from>
    <xdr:to>
      <xdr:col>5</xdr:col>
      <xdr:colOff>16650</xdr:colOff>
      <xdr:row>54</xdr:row>
      <xdr:rowOff>88085</xdr:rowOff>
    </xdr:to>
    <xdr:graphicFrame macro="">
      <xdr:nvGraphicFramePr>
        <xdr:cNvPr id="3" name="Gráfic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66674</xdr:colOff>
      <xdr:row>30</xdr:row>
      <xdr:rowOff>14285</xdr:rowOff>
    </xdr:from>
    <xdr:to>
      <xdr:col>11</xdr:col>
      <xdr:colOff>311924</xdr:colOff>
      <xdr:row>54</xdr:row>
      <xdr:rowOff>88085</xdr:rowOff>
    </xdr:to>
    <xdr:graphicFrame macro="">
      <xdr:nvGraphicFramePr>
        <xdr:cNvPr id="4" name="Gráfic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419100</xdr:colOff>
      <xdr:row>30</xdr:row>
      <xdr:rowOff>14285</xdr:rowOff>
    </xdr:from>
    <xdr:to>
      <xdr:col>18</xdr:col>
      <xdr:colOff>54750</xdr:colOff>
      <xdr:row>54</xdr:row>
      <xdr:rowOff>88085</xdr:rowOff>
    </xdr:to>
    <xdr:graphicFrame macro="">
      <xdr:nvGraphicFramePr>
        <xdr:cNvPr id="5" name="Gráfic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280986</xdr:colOff>
      <xdr:row>30</xdr:row>
      <xdr:rowOff>14285</xdr:rowOff>
    </xdr:from>
    <xdr:to>
      <xdr:col>24</xdr:col>
      <xdr:colOff>583386</xdr:colOff>
      <xdr:row>54</xdr:row>
      <xdr:rowOff>88085</xdr:rowOff>
    </xdr:to>
    <xdr:graphicFrame macro="">
      <xdr:nvGraphicFramePr>
        <xdr:cNvPr id="6" name="Gráfic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304800</xdr:colOff>
      <xdr:row>56</xdr:row>
      <xdr:rowOff>142875</xdr:rowOff>
    </xdr:from>
    <xdr:to>
      <xdr:col>5</xdr:col>
      <xdr:colOff>102375</xdr:colOff>
      <xdr:row>81</xdr:row>
      <xdr:rowOff>54750</xdr:rowOff>
    </xdr:to>
    <xdr:graphicFrame macro="">
      <xdr:nvGraphicFramePr>
        <xdr:cNvPr id="8" name="Gráfic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152399</xdr:colOff>
      <xdr:row>56</xdr:row>
      <xdr:rowOff>142875</xdr:rowOff>
    </xdr:from>
    <xdr:to>
      <xdr:col>11</xdr:col>
      <xdr:colOff>397649</xdr:colOff>
      <xdr:row>81</xdr:row>
      <xdr:rowOff>54750</xdr:rowOff>
    </xdr:to>
    <xdr:graphicFrame macro="">
      <xdr:nvGraphicFramePr>
        <xdr:cNvPr id="9" name="Gráfica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504825</xdr:colOff>
      <xdr:row>56</xdr:row>
      <xdr:rowOff>142875</xdr:rowOff>
    </xdr:from>
    <xdr:to>
      <xdr:col>18</xdr:col>
      <xdr:colOff>140475</xdr:colOff>
      <xdr:row>81</xdr:row>
      <xdr:rowOff>54750</xdr:rowOff>
    </xdr:to>
    <xdr:graphicFrame macro="">
      <xdr:nvGraphicFramePr>
        <xdr:cNvPr id="10" name="Gráfic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366711</xdr:colOff>
      <xdr:row>56</xdr:row>
      <xdr:rowOff>142875</xdr:rowOff>
    </xdr:from>
    <xdr:to>
      <xdr:col>25</xdr:col>
      <xdr:colOff>59511</xdr:colOff>
      <xdr:row>81</xdr:row>
      <xdr:rowOff>54750</xdr:rowOff>
    </xdr:to>
    <xdr:graphicFrame macro="">
      <xdr:nvGraphicFramePr>
        <xdr:cNvPr id="11" name="Gráfica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285750</xdr:colOff>
      <xdr:row>83</xdr:row>
      <xdr:rowOff>152400</xdr:rowOff>
    </xdr:from>
    <xdr:to>
      <xdr:col>5</xdr:col>
      <xdr:colOff>83325</xdr:colOff>
      <xdr:row>108</xdr:row>
      <xdr:rowOff>64275</xdr:rowOff>
    </xdr:to>
    <xdr:graphicFrame macro="">
      <xdr:nvGraphicFramePr>
        <xdr:cNvPr id="12" name="Gráfica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133349</xdr:colOff>
      <xdr:row>83</xdr:row>
      <xdr:rowOff>152400</xdr:rowOff>
    </xdr:from>
    <xdr:to>
      <xdr:col>11</xdr:col>
      <xdr:colOff>378599</xdr:colOff>
      <xdr:row>108</xdr:row>
      <xdr:rowOff>64275</xdr:rowOff>
    </xdr:to>
    <xdr:graphicFrame macro="">
      <xdr:nvGraphicFramePr>
        <xdr:cNvPr id="13" name="Gráfica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485775</xdr:colOff>
      <xdr:row>83</xdr:row>
      <xdr:rowOff>152400</xdr:rowOff>
    </xdr:from>
    <xdr:to>
      <xdr:col>18</xdr:col>
      <xdr:colOff>121425</xdr:colOff>
      <xdr:row>108</xdr:row>
      <xdr:rowOff>64275</xdr:rowOff>
    </xdr:to>
    <xdr:graphicFrame macro="">
      <xdr:nvGraphicFramePr>
        <xdr:cNvPr id="14" name="Gráfica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347661</xdr:colOff>
      <xdr:row>83</xdr:row>
      <xdr:rowOff>152400</xdr:rowOff>
    </xdr:from>
    <xdr:to>
      <xdr:col>25</xdr:col>
      <xdr:colOff>40461</xdr:colOff>
      <xdr:row>108</xdr:row>
      <xdr:rowOff>64275</xdr:rowOff>
    </xdr:to>
    <xdr:graphicFrame macro="">
      <xdr:nvGraphicFramePr>
        <xdr:cNvPr id="15" name="Gráfica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oneCellAnchor>
    <xdr:from>
      <xdr:col>18</xdr:col>
      <xdr:colOff>304800</xdr:colOff>
      <xdr:row>30</xdr:row>
      <xdr:rowOff>85725</xdr:rowOff>
    </xdr:from>
    <xdr:ext cx="427809" cy="342786"/>
    <xdr:sp macro="" textlink="">
      <xdr:nvSpPr>
        <xdr:cNvPr id="29" name="Caixa de texto 28"/>
        <xdr:cNvSpPr txBox="1"/>
      </xdr:nvSpPr>
      <xdr:spPr>
        <a:xfrm>
          <a:off x="12506325" y="5010150"/>
          <a:ext cx="42780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/>
            <a:t>(A)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0.01283</cdr:x>
      <cdr:y>0.01283</cdr:y>
    </cdr:from>
    <cdr:to>
      <cdr:x>0.11906</cdr:x>
      <cdr:y>0.09939</cdr:y>
    </cdr:to>
    <cdr:sp macro="" textlink="">
      <cdr:nvSpPr>
        <cdr:cNvPr id="2" name="Caixa de texto 26"/>
        <cdr:cNvSpPr txBox="1"/>
      </cdr:nvSpPr>
      <cdr:spPr>
        <a:xfrm xmlns:a="http://schemas.openxmlformats.org/drawingml/2006/main">
          <a:off x="50800" y="50800"/>
          <a:ext cx="420693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/>
            <a:t>(B)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23</xdr:row>
      <xdr:rowOff>114300</xdr:rowOff>
    </xdr:from>
    <xdr:to>
      <xdr:col>5</xdr:col>
      <xdr:colOff>178575</xdr:colOff>
      <xdr:row>48</xdr:row>
      <xdr:rowOff>26175</xdr:rowOff>
    </xdr:to>
    <xdr:graphicFrame macro="">
      <xdr:nvGraphicFramePr>
        <xdr:cNvPr id="3" name="Gráfic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381000</xdr:colOff>
      <xdr:row>3</xdr:row>
      <xdr:rowOff>119061</xdr:rowOff>
    </xdr:from>
    <xdr:to>
      <xdr:col>31</xdr:col>
      <xdr:colOff>500063</xdr:colOff>
      <xdr:row>34</xdr:row>
      <xdr:rowOff>9524</xdr:rowOff>
    </xdr:to>
    <xdr:graphicFrame macro="">
      <xdr:nvGraphicFramePr>
        <xdr:cNvPr id="2" name="Gráfic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4</xdr:row>
      <xdr:rowOff>0</xdr:rowOff>
    </xdr:from>
    <xdr:to>
      <xdr:col>40</xdr:col>
      <xdr:colOff>119063</xdr:colOff>
      <xdr:row>34</xdr:row>
      <xdr:rowOff>52388</xdr:rowOff>
    </xdr:to>
    <xdr:graphicFrame macro="">
      <xdr:nvGraphicFramePr>
        <xdr:cNvPr id="3" name="Gráfic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0</xdr:colOff>
      <xdr:row>36</xdr:row>
      <xdr:rowOff>0</xdr:rowOff>
    </xdr:from>
    <xdr:to>
      <xdr:col>32</xdr:col>
      <xdr:colOff>119063</xdr:colOff>
      <xdr:row>66</xdr:row>
      <xdr:rowOff>52388</xdr:rowOff>
    </xdr:to>
    <xdr:graphicFrame macro="">
      <xdr:nvGraphicFramePr>
        <xdr:cNvPr id="4" name="Gráfic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8</xdr:row>
          <xdr:rowOff>9525</xdr:rowOff>
        </xdr:from>
        <xdr:to>
          <xdr:col>43</xdr:col>
          <xdr:colOff>600075</xdr:colOff>
          <xdr:row>8</xdr:row>
          <xdr:rowOff>190500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590549</xdr:colOff>
      <xdr:row>1</xdr:row>
      <xdr:rowOff>57150</xdr:rowOff>
    </xdr:from>
    <xdr:to>
      <xdr:col>19</xdr:col>
      <xdr:colOff>47625</xdr:colOff>
      <xdr:row>21</xdr:row>
      <xdr:rowOff>138112</xdr:rowOff>
    </xdr:to>
    <xdr:graphicFrame macro="">
      <xdr:nvGraphicFramePr>
        <xdr:cNvPr id="2" name="Gráfic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70</xdr:row>
      <xdr:rowOff>0</xdr:rowOff>
    </xdr:from>
    <xdr:to>
      <xdr:col>9</xdr:col>
      <xdr:colOff>0</xdr:colOff>
      <xdr:row>90</xdr:row>
      <xdr:rowOff>0</xdr:rowOff>
    </xdr:to>
    <xdr:graphicFrame macro="">
      <xdr:nvGraphicFramePr>
        <xdr:cNvPr id="52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100</xdr:row>
      <xdr:rowOff>0</xdr:rowOff>
    </xdr:from>
    <xdr:to>
      <xdr:col>9</xdr:col>
      <xdr:colOff>0</xdr:colOff>
      <xdr:row>120</xdr:row>
      <xdr:rowOff>0</xdr:rowOff>
    </xdr:to>
    <xdr:graphicFrame macro="">
      <xdr:nvGraphicFramePr>
        <xdr:cNvPr id="52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100</xdr:row>
      <xdr:rowOff>0</xdr:rowOff>
    </xdr:from>
    <xdr:to>
      <xdr:col>9</xdr:col>
      <xdr:colOff>0</xdr:colOff>
      <xdr:row>120</xdr:row>
      <xdr:rowOff>0</xdr:rowOff>
    </xdr:to>
    <xdr:graphicFrame macro="">
      <xdr:nvGraphicFramePr>
        <xdr:cNvPr id="525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122</xdr:row>
      <xdr:rowOff>0</xdr:rowOff>
    </xdr:from>
    <xdr:to>
      <xdr:col>9</xdr:col>
      <xdr:colOff>0</xdr:colOff>
      <xdr:row>142</xdr:row>
      <xdr:rowOff>0</xdr:rowOff>
    </xdr:to>
    <xdr:graphicFrame macro="">
      <xdr:nvGraphicFramePr>
        <xdr:cNvPr id="525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122</xdr:row>
      <xdr:rowOff>0</xdr:rowOff>
    </xdr:from>
    <xdr:to>
      <xdr:col>9</xdr:col>
      <xdr:colOff>0</xdr:colOff>
      <xdr:row>142</xdr:row>
      <xdr:rowOff>0</xdr:rowOff>
    </xdr:to>
    <xdr:graphicFrame macro="">
      <xdr:nvGraphicFramePr>
        <xdr:cNvPr id="525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122</xdr:row>
      <xdr:rowOff>0</xdr:rowOff>
    </xdr:from>
    <xdr:to>
      <xdr:col>9</xdr:col>
      <xdr:colOff>0</xdr:colOff>
      <xdr:row>142</xdr:row>
      <xdr:rowOff>0</xdr:rowOff>
    </xdr:to>
    <xdr:graphicFrame macro="">
      <xdr:nvGraphicFramePr>
        <xdr:cNvPr id="525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122</xdr:row>
      <xdr:rowOff>0</xdr:rowOff>
    </xdr:from>
    <xdr:to>
      <xdr:col>9</xdr:col>
      <xdr:colOff>0</xdr:colOff>
      <xdr:row>142</xdr:row>
      <xdr:rowOff>0</xdr:rowOff>
    </xdr:to>
    <xdr:graphicFrame macro="">
      <xdr:nvGraphicFramePr>
        <xdr:cNvPr id="52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190</xdr:row>
      <xdr:rowOff>0</xdr:rowOff>
    </xdr:from>
    <xdr:to>
      <xdr:col>9</xdr:col>
      <xdr:colOff>0</xdr:colOff>
      <xdr:row>210</xdr:row>
      <xdr:rowOff>0</xdr:rowOff>
    </xdr:to>
    <xdr:graphicFrame macro="">
      <xdr:nvGraphicFramePr>
        <xdr:cNvPr id="525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0</xdr:colOff>
      <xdr:row>240</xdr:row>
      <xdr:rowOff>0</xdr:rowOff>
    </xdr:to>
    <xdr:graphicFrame macro="">
      <xdr:nvGraphicFramePr>
        <xdr:cNvPr id="525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220</xdr:row>
      <xdr:rowOff>0</xdr:rowOff>
    </xdr:from>
    <xdr:to>
      <xdr:col>9</xdr:col>
      <xdr:colOff>0</xdr:colOff>
      <xdr:row>240</xdr:row>
      <xdr:rowOff>0</xdr:rowOff>
    </xdr:to>
    <xdr:graphicFrame macro="">
      <xdr:nvGraphicFramePr>
        <xdr:cNvPr id="525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242</xdr:row>
      <xdr:rowOff>0</xdr:rowOff>
    </xdr:from>
    <xdr:to>
      <xdr:col>9</xdr:col>
      <xdr:colOff>0</xdr:colOff>
      <xdr:row>262</xdr:row>
      <xdr:rowOff>0</xdr:rowOff>
    </xdr:to>
    <xdr:graphicFrame macro="">
      <xdr:nvGraphicFramePr>
        <xdr:cNvPr id="525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242</xdr:row>
      <xdr:rowOff>0</xdr:rowOff>
    </xdr:from>
    <xdr:to>
      <xdr:col>9</xdr:col>
      <xdr:colOff>0</xdr:colOff>
      <xdr:row>262</xdr:row>
      <xdr:rowOff>0</xdr:rowOff>
    </xdr:to>
    <xdr:graphicFrame macro="">
      <xdr:nvGraphicFramePr>
        <xdr:cNvPr id="525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242</xdr:row>
      <xdr:rowOff>0</xdr:rowOff>
    </xdr:from>
    <xdr:to>
      <xdr:col>9</xdr:col>
      <xdr:colOff>0</xdr:colOff>
      <xdr:row>262</xdr:row>
      <xdr:rowOff>0</xdr:rowOff>
    </xdr:to>
    <xdr:graphicFrame macro="">
      <xdr:nvGraphicFramePr>
        <xdr:cNvPr id="526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242</xdr:row>
      <xdr:rowOff>0</xdr:rowOff>
    </xdr:from>
    <xdr:to>
      <xdr:col>9</xdr:col>
      <xdr:colOff>0</xdr:colOff>
      <xdr:row>262</xdr:row>
      <xdr:rowOff>0</xdr:rowOff>
    </xdr:to>
    <xdr:graphicFrame macro="">
      <xdr:nvGraphicFramePr>
        <xdr:cNvPr id="526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310</xdr:row>
      <xdr:rowOff>0</xdr:rowOff>
    </xdr:from>
    <xdr:to>
      <xdr:col>9</xdr:col>
      <xdr:colOff>0</xdr:colOff>
      <xdr:row>330</xdr:row>
      <xdr:rowOff>0</xdr:rowOff>
    </xdr:to>
    <xdr:graphicFrame macro="">
      <xdr:nvGraphicFramePr>
        <xdr:cNvPr id="526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340</xdr:row>
      <xdr:rowOff>0</xdr:rowOff>
    </xdr:from>
    <xdr:to>
      <xdr:col>9</xdr:col>
      <xdr:colOff>0</xdr:colOff>
      <xdr:row>360</xdr:row>
      <xdr:rowOff>0</xdr:rowOff>
    </xdr:to>
    <xdr:graphicFrame macro="">
      <xdr:nvGraphicFramePr>
        <xdr:cNvPr id="526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340</xdr:row>
      <xdr:rowOff>0</xdr:rowOff>
    </xdr:from>
    <xdr:to>
      <xdr:col>9</xdr:col>
      <xdr:colOff>0</xdr:colOff>
      <xdr:row>360</xdr:row>
      <xdr:rowOff>0</xdr:rowOff>
    </xdr:to>
    <xdr:graphicFrame macro="">
      <xdr:nvGraphicFramePr>
        <xdr:cNvPr id="526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362</xdr:row>
      <xdr:rowOff>0</xdr:rowOff>
    </xdr:from>
    <xdr:to>
      <xdr:col>9</xdr:col>
      <xdr:colOff>0</xdr:colOff>
      <xdr:row>382</xdr:row>
      <xdr:rowOff>0</xdr:rowOff>
    </xdr:to>
    <xdr:graphicFrame macro="">
      <xdr:nvGraphicFramePr>
        <xdr:cNvPr id="526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0</xdr:colOff>
      <xdr:row>362</xdr:row>
      <xdr:rowOff>0</xdr:rowOff>
    </xdr:from>
    <xdr:to>
      <xdr:col>9</xdr:col>
      <xdr:colOff>0</xdr:colOff>
      <xdr:row>382</xdr:row>
      <xdr:rowOff>0</xdr:rowOff>
    </xdr:to>
    <xdr:graphicFrame macro="">
      <xdr:nvGraphicFramePr>
        <xdr:cNvPr id="526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0</xdr:colOff>
      <xdr:row>362</xdr:row>
      <xdr:rowOff>0</xdr:rowOff>
    </xdr:from>
    <xdr:to>
      <xdr:col>9</xdr:col>
      <xdr:colOff>0</xdr:colOff>
      <xdr:row>382</xdr:row>
      <xdr:rowOff>0</xdr:rowOff>
    </xdr:to>
    <xdr:graphicFrame macro="">
      <xdr:nvGraphicFramePr>
        <xdr:cNvPr id="526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0</xdr:colOff>
      <xdr:row>362</xdr:row>
      <xdr:rowOff>0</xdr:rowOff>
    </xdr:from>
    <xdr:to>
      <xdr:col>9</xdr:col>
      <xdr:colOff>0</xdr:colOff>
      <xdr:row>382</xdr:row>
      <xdr:rowOff>0</xdr:rowOff>
    </xdr:to>
    <xdr:graphicFrame macro="">
      <xdr:nvGraphicFramePr>
        <xdr:cNvPr id="526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430</xdr:row>
      <xdr:rowOff>0</xdr:rowOff>
    </xdr:from>
    <xdr:to>
      <xdr:col>9</xdr:col>
      <xdr:colOff>0</xdr:colOff>
      <xdr:row>450</xdr:row>
      <xdr:rowOff>0</xdr:rowOff>
    </xdr:to>
    <xdr:graphicFrame macro="">
      <xdr:nvGraphicFramePr>
        <xdr:cNvPr id="526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0</xdr:colOff>
      <xdr:row>460</xdr:row>
      <xdr:rowOff>0</xdr:rowOff>
    </xdr:from>
    <xdr:to>
      <xdr:col>9</xdr:col>
      <xdr:colOff>0</xdr:colOff>
      <xdr:row>480</xdr:row>
      <xdr:rowOff>0</xdr:rowOff>
    </xdr:to>
    <xdr:graphicFrame macro="">
      <xdr:nvGraphicFramePr>
        <xdr:cNvPr id="527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0</xdr:colOff>
      <xdr:row>460</xdr:row>
      <xdr:rowOff>0</xdr:rowOff>
    </xdr:from>
    <xdr:to>
      <xdr:col>9</xdr:col>
      <xdr:colOff>0</xdr:colOff>
      <xdr:row>480</xdr:row>
      <xdr:rowOff>0</xdr:rowOff>
    </xdr:to>
    <xdr:graphicFrame macro="">
      <xdr:nvGraphicFramePr>
        <xdr:cNvPr id="527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0</xdr:colOff>
      <xdr:row>482</xdr:row>
      <xdr:rowOff>0</xdr:rowOff>
    </xdr:from>
    <xdr:to>
      <xdr:col>9</xdr:col>
      <xdr:colOff>0</xdr:colOff>
      <xdr:row>502</xdr:row>
      <xdr:rowOff>0</xdr:rowOff>
    </xdr:to>
    <xdr:graphicFrame macro="">
      <xdr:nvGraphicFramePr>
        <xdr:cNvPr id="527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0</xdr:colOff>
      <xdr:row>482</xdr:row>
      <xdr:rowOff>0</xdr:rowOff>
    </xdr:from>
    <xdr:to>
      <xdr:col>9</xdr:col>
      <xdr:colOff>0</xdr:colOff>
      <xdr:row>502</xdr:row>
      <xdr:rowOff>0</xdr:rowOff>
    </xdr:to>
    <xdr:graphicFrame macro="">
      <xdr:nvGraphicFramePr>
        <xdr:cNvPr id="527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0</xdr:colOff>
      <xdr:row>482</xdr:row>
      <xdr:rowOff>0</xdr:rowOff>
    </xdr:from>
    <xdr:to>
      <xdr:col>9</xdr:col>
      <xdr:colOff>0</xdr:colOff>
      <xdr:row>502</xdr:row>
      <xdr:rowOff>0</xdr:rowOff>
    </xdr:to>
    <xdr:graphicFrame macro="">
      <xdr:nvGraphicFramePr>
        <xdr:cNvPr id="527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0</xdr:colOff>
      <xdr:row>482</xdr:row>
      <xdr:rowOff>0</xdr:rowOff>
    </xdr:from>
    <xdr:to>
      <xdr:col>9</xdr:col>
      <xdr:colOff>0</xdr:colOff>
      <xdr:row>502</xdr:row>
      <xdr:rowOff>0</xdr:rowOff>
    </xdr:to>
    <xdr:graphicFrame macro="">
      <xdr:nvGraphicFramePr>
        <xdr:cNvPr id="527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9</xdr:col>
      <xdr:colOff>0</xdr:colOff>
      <xdr:row>550</xdr:row>
      <xdr:rowOff>0</xdr:rowOff>
    </xdr:from>
    <xdr:to>
      <xdr:col>9</xdr:col>
      <xdr:colOff>0</xdr:colOff>
      <xdr:row>570</xdr:row>
      <xdr:rowOff>0</xdr:rowOff>
    </xdr:to>
    <xdr:graphicFrame macro="">
      <xdr:nvGraphicFramePr>
        <xdr:cNvPr id="5276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0</xdr:colOff>
      <xdr:row>580</xdr:row>
      <xdr:rowOff>0</xdr:rowOff>
    </xdr:from>
    <xdr:to>
      <xdr:col>9</xdr:col>
      <xdr:colOff>0</xdr:colOff>
      <xdr:row>600</xdr:row>
      <xdr:rowOff>0</xdr:rowOff>
    </xdr:to>
    <xdr:graphicFrame macro="">
      <xdr:nvGraphicFramePr>
        <xdr:cNvPr id="527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0</xdr:colOff>
      <xdr:row>580</xdr:row>
      <xdr:rowOff>0</xdr:rowOff>
    </xdr:from>
    <xdr:to>
      <xdr:col>9</xdr:col>
      <xdr:colOff>0</xdr:colOff>
      <xdr:row>600</xdr:row>
      <xdr:rowOff>0</xdr:rowOff>
    </xdr:to>
    <xdr:graphicFrame macro="">
      <xdr:nvGraphicFramePr>
        <xdr:cNvPr id="5278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0</xdr:colOff>
      <xdr:row>602</xdr:row>
      <xdr:rowOff>0</xdr:rowOff>
    </xdr:from>
    <xdr:to>
      <xdr:col>9</xdr:col>
      <xdr:colOff>0</xdr:colOff>
      <xdr:row>622</xdr:row>
      <xdr:rowOff>0</xdr:rowOff>
    </xdr:to>
    <xdr:graphicFrame macro="">
      <xdr:nvGraphicFramePr>
        <xdr:cNvPr id="5279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9</xdr:col>
      <xdr:colOff>0</xdr:colOff>
      <xdr:row>602</xdr:row>
      <xdr:rowOff>0</xdr:rowOff>
    </xdr:from>
    <xdr:to>
      <xdr:col>9</xdr:col>
      <xdr:colOff>0</xdr:colOff>
      <xdr:row>622</xdr:row>
      <xdr:rowOff>0</xdr:rowOff>
    </xdr:to>
    <xdr:graphicFrame macro="">
      <xdr:nvGraphicFramePr>
        <xdr:cNvPr id="5280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0</xdr:colOff>
      <xdr:row>602</xdr:row>
      <xdr:rowOff>0</xdr:rowOff>
    </xdr:from>
    <xdr:to>
      <xdr:col>9</xdr:col>
      <xdr:colOff>0</xdr:colOff>
      <xdr:row>622</xdr:row>
      <xdr:rowOff>0</xdr:rowOff>
    </xdr:to>
    <xdr:graphicFrame macro="">
      <xdr:nvGraphicFramePr>
        <xdr:cNvPr id="5281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0</xdr:colOff>
      <xdr:row>602</xdr:row>
      <xdr:rowOff>0</xdr:rowOff>
    </xdr:from>
    <xdr:to>
      <xdr:col>9</xdr:col>
      <xdr:colOff>0</xdr:colOff>
      <xdr:row>622</xdr:row>
      <xdr:rowOff>0</xdr:rowOff>
    </xdr:to>
    <xdr:graphicFrame macro="">
      <xdr:nvGraphicFramePr>
        <xdr:cNvPr id="5282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4.xml"/><Relationship Id="rId4" Type="http://schemas.openxmlformats.org/officeDocument/2006/relationships/ctrlProp" Target="../ctrlProps/ctrlProp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8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0</v>
      </c>
      <c r="D1" s="1">
        <v>0</v>
      </c>
    </row>
    <row r="2" spans="1:4" x14ac:dyDescent="0.2">
      <c r="A2" s="1">
        <v>0</v>
      </c>
      <c r="B2" s="1">
        <v>16</v>
      </c>
      <c r="C2" s="1">
        <v>0</v>
      </c>
      <c r="D2" s="1">
        <v>0</v>
      </c>
    </row>
    <row r="3" spans="1:4" x14ac:dyDescent="0.2">
      <c r="A3" s="1">
        <v>1600</v>
      </c>
      <c r="B3" s="1">
        <v>16</v>
      </c>
      <c r="C3" s="1">
        <v>780000</v>
      </c>
      <c r="D3" s="1">
        <v>0</v>
      </c>
    </row>
    <row r="4" spans="1:4" x14ac:dyDescent="0.2">
      <c r="A4" s="1">
        <v>1600</v>
      </c>
      <c r="B4" s="1">
        <v>0</v>
      </c>
      <c r="C4" s="1">
        <v>780000</v>
      </c>
      <c r="D4" s="1">
        <v>0</v>
      </c>
    </row>
    <row r="5" spans="1:4" x14ac:dyDescent="0.2">
      <c r="A5" s="1">
        <v>1600</v>
      </c>
      <c r="B5" s="1">
        <v>8</v>
      </c>
      <c r="C5" s="1">
        <v>780000</v>
      </c>
      <c r="D5" s="1">
        <v>14</v>
      </c>
    </row>
    <row r="6" spans="1:4" x14ac:dyDescent="0.2">
      <c r="A6" s="1">
        <v>3200</v>
      </c>
      <c r="B6" s="1">
        <v>8</v>
      </c>
      <c r="C6" s="1">
        <v>1560000</v>
      </c>
      <c r="D6" s="1">
        <v>14</v>
      </c>
    </row>
    <row r="7" spans="1:4" x14ac:dyDescent="0.2">
      <c r="A7" s="1">
        <v>3200</v>
      </c>
      <c r="B7" s="1">
        <v>0</v>
      </c>
      <c r="C7" s="1">
        <v>1560000</v>
      </c>
      <c r="D7" s="1">
        <v>0</v>
      </c>
    </row>
    <row r="8" spans="1:4" x14ac:dyDescent="0.2">
      <c r="A8" s="1">
        <v>3200</v>
      </c>
      <c r="B8" s="1">
        <v>10</v>
      </c>
      <c r="C8" s="1">
        <v>1560000</v>
      </c>
      <c r="D8" s="1">
        <v>7</v>
      </c>
    </row>
    <row r="9" spans="1:4" x14ac:dyDescent="0.2">
      <c r="A9" s="1">
        <v>4800</v>
      </c>
      <c r="B9" s="1">
        <v>10</v>
      </c>
      <c r="C9" s="1">
        <v>2340000</v>
      </c>
      <c r="D9" s="1">
        <v>7</v>
      </c>
    </row>
    <row r="10" spans="1:4" x14ac:dyDescent="0.2">
      <c r="A10" s="1">
        <v>4800</v>
      </c>
      <c r="B10" s="1">
        <v>0</v>
      </c>
      <c r="C10" s="1">
        <v>2340000</v>
      </c>
      <c r="D10" s="1">
        <v>0</v>
      </c>
    </row>
    <row r="11" spans="1:4" x14ac:dyDescent="0.2">
      <c r="A11" s="1">
        <v>4800</v>
      </c>
      <c r="B11" s="1">
        <v>3</v>
      </c>
      <c r="C11" s="1">
        <v>2340000</v>
      </c>
      <c r="D11" s="1">
        <v>4</v>
      </c>
    </row>
    <row r="12" spans="1:4" x14ac:dyDescent="0.2">
      <c r="A12" s="1">
        <v>6400</v>
      </c>
      <c r="B12" s="1">
        <v>3</v>
      </c>
      <c r="C12" s="1">
        <v>3120000</v>
      </c>
      <c r="D12" s="1">
        <v>4</v>
      </c>
    </row>
    <row r="13" spans="1:4" x14ac:dyDescent="0.2">
      <c r="A13" s="1">
        <v>6400</v>
      </c>
      <c r="B13" s="1">
        <v>0</v>
      </c>
      <c r="C13" s="1">
        <v>3120000</v>
      </c>
      <c r="D13" s="1">
        <v>0</v>
      </c>
    </row>
    <row r="14" spans="1:4" x14ac:dyDescent="0.2">
      <c r="A14" s="1">
        <v>6400</v>
      </c>
      <c r="B14" s="1">
        <v>1</v>
      </c>
      <c r="C14" s="1">
        <v>3120000</v>
      </c>
      <c r="D14" s="1">
        <v>1</v>
      </c>
    </row>
    <row r="15" spans="1:4" x14ac:dyDescent="0.2">
      <c r="A15" s="1">
        <v>8000</v>
      </c>
      <c r="B15" s="1">
        <v>1</v>
      </c>
      <c r="C15" s="1">
        <v>3900000</v>
      </c>
      <c r="D15" s="1">
        <v>1</v>
      </c>
    </row>
    <row r="16" spans="1:4" x14ac:dyDescent="0.2">
      <c r="A16" s="1">
        <v>8000</v>
      </c>
      <c r="B16" s="1">
        <v>0</v>
      </c>
      <c r="C16" s="1">
        <v>3900000</v>
      </c>
      <c r="D16" s="1">
        <v>0</v>
      </c>
    </row>
    <row r="17" spans="1:4" x14ac:dyDescent="0.2">
      <c r="A17" s="1">
        <v>8000</v>
      </c>
      <c r="B17" s="1">
        <v>5</v>
      </c>
      <c r="C17" s="1">
        <v>3900000</v>
      </c>
      <c r="D17" s="1">
        <v>2</v>
      </c>
    </row>
    <row r="18" spans="1:4" x14ac:dyDescent="0.2">
      <c r="A18" s="1">
        <v>9600</v>
      </c>
      <c r="B18" s="1">
        <v>5</v>
      </c>
      <c r="C18" s="1">
        <v>4680000</v>
      </c>
      <c r="D18" s="1">
        <v>2</v>
      </c>
    </row>
    <row r="19" spans="1:4" x14ac:dyDescent="0.2">
      <c r="A19" s="1">
        <v>9600</v>
      </c>
      <c r="B19" s="1">
        <v>0</v>
      </c>
      <c r="C19" s="1">
        <v>4680000</v>
      </c>
      <c r="D19" s="1">
        <v>0</v>
      </c>
    </row>
    <row r="20" spans="1:4" x14ac:dyDescent="0.2">
      <c r="A20" s="1">
        <v>9600</v>
      </c>
      <c r="B20" s="1">
        <v>4</v>
      </c>
      <c r="C20" s="1">
        <v>4680000</v>
      </c>
      <c r="D20" s="1">
        <v>4</v>
      </c>
    </row>
    <row r="21" spans="1:4" x14ac:dyDescent="0.2">
      <c r="A21" s="1">
        <v>11200</v>
      </c>
      <c r="B21" s="1">
        <v>4</v>
      </c>
      <c r="C21" s="1">
        <v>5460000</v>
      </c>
      <c r="D21" s="1">
        <v>4</v>
      </c>
    </row>
    <row r="22" spans="1:4" x14ac:dyDescent="0.2">
      <c r="A22" s="1">
        <v>11200</v>
      </c>
      <c r="B22" s="1">
        <v>0</v>
      </c>
      <c r="C22" s="1">
        <v>5460000</v>
      </c>
      <c r="D22" s="1">
        <v>0</v>
      </c>
    </row>
    <row r="23" spans="1:4" x14ac:dyDescent="0.2">
      <c r="A23" s="1">
        <v>11200</v>
      </c>
      <c r="B23" s="1">
        <v>2</v>
      </c>
      <c r="C23" s="1">
        <v>5460000</v>
      </c>
      <c r="D23" s="1">
        <v>10</v>
      </c>
    </row>
    <row r="24" spans="1:4" x14ac:dyDescent="0.2">
      <c r="A24" s="1">
        <v>12800</v>
      </c>
      <c r="B24" s="1">
        <v>2</v>
      </c>
      <c r="C24" s="1">
        <v>6240000</v>
      </c>
      <c r="D24" s="1">
        <v>10</v>
      </c>
    </row>
    <row r="25" spans="1:4" x14ac:dyDescent="0.2">
      <c r="A25" s="1">
        <v>12800</v>
      </c>
      <c r="B25" s="1">
        <v>0</v>
      </c>
      <c r="C25" s="1">
        <v>6240000</v>
      </c>
      <c r="D25" s="1">
        <v>0</v>
      </c>
    </row>
    <row r="26" spans="1:4" x14ac:dyDescent="0.2">
      <c r="A26" s="1">
        <v>12800</v>
      </c>
      <c r="B26" s="1">
        <v>2</v>
      </c>
      <c r="C26" s="1">
        <v>6240000</v>
      </c>
      <c r="D26" s="1">
        <v>3</v>
      </c>
    </row>
    <row r="27" spans="1:4" x14ac:dyDescent="0.2">
      <c r="A27" s="1">
        <v>14400</v>
      </c>
      <c r="B27" s="1">
        <v>2</v>
      </c>
      <c r="C27" s="1">
        <v>7020000</v>
      </c>
      <c r="D27" s="1">
        <v>3</v>
      </c>
    </row>
    <row r="28" spans="1:4" x14ac:dyDescent="0.2">
      <c r="A28" s="1">
        <v>14400</v>
      </c>
      <c r="B28" s="1">
        <v>0</v>
      </c>
      <c r="C28" s="1">
        <v>7020000</v>
      </c>
      <c r="D28" s="1">
        <v>0</v>
      </c>
    </row>
    <row r="29" spans="1:4" x14ac:dyDescent="0.2">
      <c r="A29" s="1">
        <v>14400</v>
      </c>
      <c r="B29" s="1">
        <v>1</v>
      </c>
      <c r="C29" s="1">
        <v>7020000</v>
      </c>
      <c r="D29" s="1">
        <v>4</v>
      </c>
    </row>
    <row r="30" spans="1:4" x14ac:dyDescent="0.2">
      <c r="A30" s="1">
        <v>16000</v>
      </c>
      <c r="B30" s="1">
        <v>1</v>
      </c>
      <c r="C30" s="1">
        <v>7800000</v>
      </c>
      <c r="D30" s="1">
        <v>4</v>
      </c>
    </row>
    <row r="31" spans="1:4" x14ac:dyDescent="0.2">
      <c r="A31" s="1">
        <v>16000</v>
      </c>
      <c r="B31" s="1">
        <v>0</v>
      </c>
      <c r="C31" s="1">
        <v>7800000</v>
      </c>
      <c r="D31" s="1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60"/>
  <dimension ref="A1:F31"/>
  <sheetViews>
    <sheetView workbookViewId="0"/>
  </sheetViews>
  <sheetFormatPr defaultRowHeight="12.75" x14ac:dyDescent="0.2"/>
  <sheetData>
    <row r="1" spans="1:6" x14ac:dyDescent="0.2">
      <c r="A1" s="1">
        <v>2.3000000000000003</v>
      </c>
      <c r="B1" s="1">
        <v>0</v>
      </c>
      <c r="C1" s="1">
        <v>0</v>
      </c>
      <c r="D1" s="1">
        <v>0</v>
      </c>
      <c r="E1" s="1">
        <v>0.60000000000000009</v>
      </c>
      <c r="F1" s="1">
        <v>0</v>
      </c>
    </row>
    <row r="2" spans="1:6" x14ac:dyDescent="0.2">
      <c r="A2" s="1">
        <v>2.3000000000000003</v>
      </c>
      <c r="B2" s="1">
        <v>1</v>
      </c>
      <c r="C2" s="1">
        <v>0</v>
      </c>
      <c r="D2" s="1">
        <v>13</v>
      </c>
      <c r="E2" s="1">
        <v>0.60000000000000009</v>
      </c>
      <c r="F2" s="1">
        <v>1</v>
      </c>
    </row>
    <row r="3" spans="1:6" x14ac:dyDescent="0.2">
      <c r="A3" s="1">
        <v>2.3640000000000003</v>
      </c>
      <c r="B3" s="1">
        <v>1</v>
      </c>
      <c r="C3" s="1">
        <v>0.1324238554382739</v>
      </c>
      <c r="D3" s="1">
        <v>13</v>
      </c>
      <c r="E3" s="1">
        <v>0.68800000000000006</v>
      </c>
      <c r="F3" s="1">
        <v>1</v>
      </c>
    </row>
    <row r="4" spans="1:6" x14ac:dyDescent="0.2">
      <c r="A4" s="1">
        <v>2.3640000000000003</v>
      </c>
      <c r="B4" s="1">
        <v>0</v>
      </c>
      <c r="C4" s="1">
        <v>0.1324238554382739</v>
      </c>
      <c r="D4" s="1">
        <v>0</v>
      </c>
      <c r="E4" s="1">
        <v>0.68800000000000006</v>
      </c>
      <c r="F4" s="1">
        <v>0</v>
      </c>
    </row>
    <row r="5" spans="1:6" x14ac:dyDescent="0.2">
      <c r="A5" s="1">
        <v>2.3640000000000003</v>
      </c>
      <c r="B5" s="1">
        <v>2</v>
      </c>
      <c r="C5" s="1">
        <v>0.1324238554382739</v>
      </c>
      <c r="D5" s="1">
        <v>1</v>
      </c>
      <c r="E5" s="1">
        <v>0.68800000000000006</v>
      </c>
      <c r="F5" s="1">
        <v>1</v>
      </c>
    </row>
    <row r="6" spans="1:6" x14ac:dyDescent="0.2">
      <c r="A6" s="1">
        <v>2.4280000000000004</v>
      </c>
      <c r="B6" s="1">
        <v>2</v>
      </c>
      <c r="C6" s="1">
        <v>0.26484771087654779</v>
      </c>
      <c r="D6" s="1">
        <v>1</v>
      </c>
      <c r="E6" s="1">
        <v>0.77600000000000002</v>
      </c>
      <c r="F6" s="1">
        <v>1</v>
      </c>
    </row>
    <row r="7" spans="1:6" x14ac:dyDescent="0.2">
      <c r="A7" s="1">
        <v>2.4280000000000004</v>
      </c>
      <c r="B7" s="1">
        <v>0</v>
      </c>
      <c r="C7" s="1">
        <v>0.26484771087654779</v>
      </c>
      <c r="D7" s="1">
        <v>0</v>
      </c>
      <c r="E7" s="1">
        <v>0.77600000000000002</v>
      </c>
      <c r="F7" s="1">
        <v>0</v>
      </c>
    </row>
    <row r="8" spans="1:6" x14ac:dyDescent="0.2">
      <c r="A8" s="1">
        <v>2.4280000000000004</v>
      </c>
      <c r="B8" s="1">
        <v>3</v>
      </c>
      <c r="C8" s="1">
        <v>0.26484771087654779</v>
      </c>
      <c r="D8" s="1">
        <v>2</v>
      </c>
      <c r="E8" s="1">
        <v>0.77600000000000002</v>
      </c>
      <c r="F8" s="1">
        <v>1</v>
      </c>
    </row>
    <row r="9" spans="1:6" x14ac:dyDescent="0.2">
      <c r="A9" s="1">
        <v>2.492</v>
      </c>
      <c r="B9" s="1">
        <v>3</v>
      </c>
      <c r="C9" s="1">
        <v>0.39727156631482174</v>
      </c>
      <c r="D9" s="1">
        <v>2</v>
      </c>
      <c r="E9" s="1">
        <v>0.8640000000000001</v>
      </c>
      <c r="F9" s="1">
        <v>1</v>
      </c>
    </row>
    <row r="10" spans="1:6" x14ac:dyDescent="0.2">
      <c r="A10" s="1">
        <v>2.492</v>
      </c>
      <c r="B10" s="1">
        <v>0</v>
      </c>
      <c r="C10" s="1">
        <v>0.39727156631482174</v>
      </c>
      <c r="D10" s="1">
        <v>0</v>
      </c>
      <c r="E10" s="1">
        <v>0.8640000000000001</v>
      </c>
      <c r="F10" s="1">
        <v>0</v>
      </c>
    </row>
    <row r="11" spans="1:6" x14ac:dyDescent="0.2">
      <c r="A11" s="1">
        <v>2.492</v>
      </c>
      <c r="B11" s="1">
        <v>3</v>
      </c>
      <c r="C11" s="1">
        <v>0.39727156631482174</v>
      </c>
      <c r="D11" s="1">
        <v>0</v>
      </c>
      <c r="E11" s="1">
        <v>0.8640000000000001</v>
      </c>
      <c r="F11" s="1">
        <v>4</v>
      </c>
    </row>
    <row r="12" spans="1:6" x14ac:dyDescent="0.2">
      <c r="A12" s="1">
        <v>2.556</v>
      </c>
      <c r="B12" s="1">
        <v>3</v>
      </c>
      <c r="C12" s="1">
        <v>0.52969542175309559</v>
      </c>
      <c r="D12" s="1">
        <v>0</v>
      </c>
      <c r="E12" s="1">
        <v>0.95200000000000007</v>
      </c>
      <c r="F12" s="1">
        <v>4</v>
      </c>
    </row>
    <row r="13" spans="1:6" x14ac:dyDescent="0.2">
      <c r="A13" s="1">
        <v>2.556</v>
      </c>
      <c r="B13" s="1">
        <v>0</v>
      </c>
      <c r="C13" s="1">
        <v>0.52969542175309559</v>
      </c>
      <c r="D13" s="1">
        <v>0</v>
      </c>
      <c r="E13" s="1">
        <v>0.95200000000000007</v>
      </c>
      <c r="F13" s="1">
        <v>0</v>
      </c>
    </row>
    <row r="14" spans="1:6" x14ac:dyDescent="0.2">
      <c r="A14" s="1">
        <v>2.556</v>
      </c>
      <c r="B14" s="1">
        <v>2</v>
      </c>
      <c r="C14" s="1">
        <v>0.52969542175309559</v>
      </c>
      <c r="D14" s="1">
        <v>0</v>
      </c>
      <c r="E14" s="1">
        <v>0.95200000000000007</v>
      </c>
      <c r="F14" s="1">
        <v>2</v>
      </c>
    </row>
    <row r="15" spans="1:6" x14ac:dyDescent="0.2">
      <c r="A15" s="1">
        <v>2.62</v>
      </c>
      <c r="B15" s="1">
        <v>2</v>
      </c>
      <c r="C15" s="1">
        <v>0.66211927719136954</v>
      </c>
      <c r="D15" s="1">
        <v>0</v>
      </c>
      <c r="E15" s="1">
        <v>1.04</v>
      </c>
      <c r="F15" s="1">
        <v>2</v>
      </c>
    </row>
    <row r="16" spans="1:6" x14ac:dyDescent="0.2">
      <c r="A16" s="1">
        <v>2.62</v>
      </c>
      <c r="B16" s="1">
        <v>0</v>
      </c>
      <c r="C16" s="1">
        <v>0.66211927719136954</v>
      </c>
      <c r="D16" s="1">
        <v>0</v>
      </c>
      <c r="E16" s="1">
        <v>1.04</v>
      </c>
      <c r="F16" s="1">
        <v>0</v>
      </c>
    </row>
    <row r="17" spans="1:6" x14ac:dyDescent="0.2">
      <c r="A17" s="1">
        <v>2.62</v>
      </c>
      <c r="B17" s="1">
        <v>1</v>
      </c>
      <c r="C17" s="1">
        <v>0.66211927719136954</v>
      </c>
      <c r="D17" s="1">
        <v>2</v>
      </c>
      <c r="E17" s="1">
        <v>1.04</v>
      </c>
      <c r="F17" s="1">
        <v>0</v>
      </c>
    </row>
    <row r="18" spans="1:6" x14ac:dyDescent="0.2">
      <c r="A18" s="1">
        <v>2.6840000000000002</v>
      </c>
      <c r="B18" s="1">
        <v>1</v>
      </c>
      <c r="C18" s="1">
        <v>0.79454313262964349</v>
      </c>
      <c r="D18" s="1">
        <v>2</v>
      </c>
      <c r="E18" s="1">
        <v>1.1280000000000001</v>
      </c>
      <c r="F18" s="1">
        <v>0</v>
      </c>
    </row>
    <row r="19" spans="1:6" x14ac:dyDescent="0.2">
      <c r="A19" s="1">
        <v>2.6840000000000002</v>
      </c>
      <c r="B19" s="1">
        <v>0</v>
      </c>
      <c r="C19" s="1">
        <v>0.79454313262964349</v>
      </c>
      <c r="D19" s="1">
        <v>0</v>
      </c>
      <c r="E19" s="1">
        <v>1.1280000000000001</v>
      </c>
      <c r="F19" s="1">
        <v>0</v>
      </c>
    </row>
    <row r="20" spans="1:6" x14ac:dyDescent="0.2">
      <c r="A20" s="1">
        <v>2.6840000000000002</v>
      </c>
      <c r="B20" s="1">
        <v>2</v>
      </c>
      <c r="C20" s="1">
        <v>0.79454313262964349</v>
      </c>
      <c r="D20" s="1">
        <v>0</v>
      </c>
      <c r="E20" s="1">
        <v>1.1280000000000001</v>
      </c>
      <c r="F20" s="1">
        <v>1</v>
      </c>
    </row>
    <row r="21" spans="1:6" x14ac:dyDescent="0.2">
      <c r="A21" s="1">
        <v>2.7480000000000002</v>
      </c>
      <c r="B21" s="1">
        <v>2</v>
      </c>
      <c r="C21" s="1">
        <v>0.92696698806791733</v>
      </c>
      <c r="D21" s="1">
        <v>0</v>
      </c>
      <c r="E21" s="1">
        <v>1.216</v>
      </c>
      <c r="F21" s="1">
        <v>1</v>
      </c>
    </row>
    <row r="22" spans="1:6" x14ac:dyDescent="0.2">
      <c r="A22" s="1">
        <v>2.7480000000000002</v>
      </c>
      <c r="B22" s="1">
        <v>0</v>
      </c>
      <c r="C22" s="1">
        <v>0.92696698806791733</v>
      </c>
      <c r="D22" s="1">
        <v>0</v>
      </c>
      <c r="E22" s="1">
        <v>1.216</v>
      </c>
      <c r="F22" s="1">
        <v>0</v>
      </c>
    </row>
    <row r="23" spans="1:6" x14ac:dyDescent="0.2">
      <c r="A23" s="1">
        <v>2.7480000000000002</v>
      </c>
      <c r="B23" s="1">
        <v>2</v>
      </c>
      <c r="C23" s="1">
        <v>0.92696698806791733</v>
      </c>
      <c r="D23" s="1">
        <v>2</v>
      </c>
      <c r="E23" s="1">
        <v>1.216</v>
      </c>
      <c r="F23" s="1">
        <v>5</v>
      </c>
    </row>
    <row r="24" spans="1:6" x14ac:dyDescent="0.2">
      <c r="A24" s="1">
        <v>2.8119999999999998</v>
      </c>
      <c r="B24" s="1">
        <v>2</v>
      </c>
      <c r="C24" s="1">
        <v>1.0593908435061912</v>
      </c>
      <c r="D24" s="1">
        <v>2</v>
      </c>
      <c r="E24" s="1">
        <v>1.304</v>
      </c>
      <c r="F24" s="1">
        <v>5</v>
      </c>
    </row>
    <row r="25" spans="1:6" x14ac:dyDescent="0.2">
      <c r="A25" s="1">
        <v>2.8119999999999998</v>
      </c>
      <c r="B25" s="1">
        <v>0</v>
      </c>
      <c r="C25" s="1">
        <v>1.0593908435061912</v>
      </c>
      <c r="D25" s="1">
        <v>0</v>
      </c>
      <c r="E25" s="1">
        <v>1.304</v>
      </c>
      <c r="F25" s="1">
        <v>0</v>
      </c>
    </row>
    <row r="26" spans="1:6" x14ac:dyDescent="0.2">
      <c r="A26" s="1">
        <v>2.8119999999999998</v>
      </c>
      <c r="B26" s="1">
        <v>1</v>
      </c>
      <c r="C26" s="1">
        <v>1.0593908435061912</v>
      </c>
      <c r="D26" s="1">
        <v>0</v>
      </c>
      <c r="E26" s="1">
        <v>1.304</v>
      </c>
      <c r="F26" s="1">
        <v>1</v>
      </c>
    </row>
    <row r="27" spans="1:6" x14ac:dyDescent="0.2">
      <c r="A27" s="1">
        <v>2.8759999999999999</v>
      </c>
      <c r="B27" s="1">
        <v>1</v>
      </c>
      <c r="C27" s="1">
        <v>1.1918146989444651</v>
      </c>
      <c r="D27" s="1">
        <v>0</v>
      </c>
      <c r="E27" s="1">
        <v>1.3919999999999999</v>
      </c>
      <c r="F27" s="1">
        <v>1</v>
      </c>
    </row>
    <row r="28" spans="1:6" x14ac:dyDescent="0.2">
      <c r="A28" s="1">
        <v>2.8759999999999999</v>
      </c>
      <c r="B28" s="1">
        <v>0</v>
      </c>
      <c r="C28" s="1">
        <v>1.1918146989444651</v>
      </c>
      <c r="D28" s="1">
        <v>0</v>
      </c>
      <c r="E28" s="1">
        <v>1.3919999999999999</v>
      </c>
      <c r="F28" s="1">
        <v>0</v>
      </c>
    </row>
    <row r="29" spans="1:6" x14ac:dyDescent="0.2">
      <c r="A29" s="1">
        <v>2.8759999999999999</v>
      </c>
      <c r="B29" s="1">
        <v>4</v>
      </c>
      <c r="C29" s="1">
        <v>1.1918146989444651</v>
      </c>
      <c r="D29" s="1">
        <v>1</v>
      </c>
      <c r="E29" s="1">
        <v>1.3919999999999999</v>
      </c>
      <c r="F29" s="1">
        <v>5</v>
      </c>
    </row>
    <row r="30" spans="1:6" x14ac:dyDescent="0.2">
      <c r="A30" s="1">
        <v>2.94</v>
      </c>
      <c r="B30" s="1">
        <v>4</v>
      </c>
      <c r="C30" s="1">
        <v>1.3242385543827391</v>
      </c>
      <c r="D30" s="1">
        <v>1</v>
      </c>
      <c r="E30" s="1">
        <v>1.48</v>
      </c>
      <c r="F30" s="1">
        <v>5</v>
      </c>
    </row>
    <row r="31" spans="1:6" x14ac:dyDescent="0.2">
      <c r="A31" s="1">
        <v>2.94</v>
      </c>
      <c r="B31" s="1">
        <v>0</v>
      </c>
      <c r="C31" s="1">
        <v>1.3242385543827391</v>
      </c>
      <c r="D31" s="1">
        <v>0</v>
      </c>
      <c r="E31" s="1">
        <v>1.48</v>
      </c>
      <c r="F31" s="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61"/>
  <dimension ref="D1:W21"/>
  <sheetViews>
    <sheetView workbookViewId="0"/>
  </sheetViews>
  <sheetFormatPr defaultRowHeight="12.75" x14ac:dyDescent="0.2"/>
  <sheetData>
    <row r="1" spans="4:23" x14ac:dyDescent="0.2">
      <c r="D1" s="1">
        <v>0.96788690376184416</v>
      </c>
      <c r="E1" s="1">
        <v>2.8933784948981955</v>
      </c>
      <c r="G1" s="1">
        <v>1.4236725980526734</v>
      </c>
      <c r="H1" s="1">
        <v>2.8933784948981955</v>
      </c>
      <c r="J1" s="1">
        <v>2.8933784948981955</v>
      </c>
      <c r="K1" s="1">
        <v>0.96788690376184416</v>
      </c>
      <c r="P1" s="1">
        <v>1.4236725980526734</v>
      </c>
      <c r="Q1" s="1">
        <v>0.96788690376184416</v>
      </c>
      <c r="S1" s="1">
        <v>2.8933784948981955</v>
      </c>
      <c r="T1" s="1">
        <v>1.4236725980526734</v>
      </c>
      <c r="V1" s="1">
        <v>0.96788690376184416</v>
      </c>
      <c r="W1" s="1">
        <v>1.4236725980526734</v>
      </c>
    </row>
    <row r="2" spans="4:23" x14ac:dyDescent="0.2">
      <c r="D2" s="1">
        <v>0.68809357313491604</v>
      </c>
      <c r="E2" s="1">
        <v>2.8222218396546053</v>
      </c>
      <c r="G2" s="1">
        <v>1.3018496699828446</v>
      </c>
      <c r="H2" s="1">
        <v>2.8222218396546053</v>
      </c>
      <c r="J2" s="1">
        <v>2.8222218396546053</v>
      </c>
      <c r="K2" s="1">
        <v>0.68809357313491604</v>
      </c>
      <c r="P2" s="1">
        <v>1.3018496699828446</v>
      </c>
      <c r="Q2" s="1">
        <v>0.68809357313491604</v>
      </c>
      <c r="S2" s="1">
        <v>2.8222218396546053</v>
      </c>
      <c r="T2" s="1">
        <v>1.3018496699828446</v>
      </c>
      <c r="V2" s="1">
        <v>0.68809357313491604</v>
      </c>
      <c r="W2" s="1">
        <v>1.3018496699828446</v>
      </c>
    </row>
    <row r="3" spans="4:23" x14ac:dyDescent="0.2">
      <c r="D3" s="1">
        <v>0.13310179737667155</v>
      </c>
      <c r="E3" s="1">
        <v>2.9329366823671981</v>
      </c>
      <c r="G3" s="1">
        <v>1.321631197706441</v>
      </c>
      <c r="H3" s="1">
        <v>2.9329366823671981</v>
      </c>
      <c r="J3" s="1">
        <v>2.9329366823671981</v>
      </c>
      <c r="K3" s="1">
        <v>0.13310179737667155</v>
      </c>
      <c r="P3" s="1">
        <v>1.321631197706441</v>
      </c>
      <c r="Q3" s="1">
        <v>0.13310179737667155</v>
      </c>
      <c r="S3" s="1">
        <v>2.9329366823671981</v>
      </c>
      <c r="T3" s="1">
        <v>1.321631197706441</v>
      </c>
      <c r="V3" s="1">
        <v>0.13310179737667155</v>
      </c>
      <c r="W3" s="1">
        <v>1.321631197706441</v>
      </c>
    </row>
    <row r="4" spans="4:23" x14ac:dyDescent="0.2">
      <c r="D4" s="1">
        <v>0.78329660908634724</v>
      </c>
      <c r="E4" s="1">
        <v>2.9097704133886073</v>
      </c>
      <c r="G4" s="1">
        <v>1.4412308455097476</v>
      </c>
      <c r="H4" s="1">
        <v>2.9097704133886073</v>
      </c>
      <c r="J4" s="1">
        <v>2.9097704133886073</v>
      </c>
      <c r="K4" s="1">
        <v>0.78329660908634724</v>
      </c>
      <c r="P4" s="1">
        <v>1.4412308455097476</v>
      </c>
      <c r="Q4" s="1">
        <v>0.78329660908634724</v>
      </c>
      <c r="S4" s="1">
        <v>2.9097704133886073</v>
      </c>
      <c r="T4" s="1">
        <v>1.4412308455097476</v>
      </c>
      <c r="V4" s="1">
        <v>0.78329660908634724</v>
      </c>
      <c r="W4" s="1">
        <v>1.4412308455097476</v>
      </c>
    </row>
    <row r="5" spans="4:23" x14ac:dyDescent="0.2">
      <c r="D5" s="1">
        <v>1.0309477140515677</v>
      </c>
      <c r="E5" s="1">
        <v>2.9043751107883824</v>
      </c>
      <c r="G5" s="1">
        <v>1.2925440606039935</v>
      </c>
      <c r="H5" s="1">
        <v>2.9043751107883824</v>
      </c>
      <c r="J5" s="1">
        <v>2.9043751107883824</v>
      </c>
      <c r="K5" s="1">
        <v>1.0309477140515677</v>
      </c>
      <c r="P5" s="1">
        <v>1.2925440606039935</v>
      </c>
      <c r="Q5" s="1">
        <v>1.0309477140515677</v>
      </c>
      <c r="S5" s="1">
        <v>2.9043751107883824</v>
      </c>
      <c r="T5" s="1">
        <v>1.2925440606039935</v>
      </c>
      <c r="V5" s="1">
        <v>1.0309477140515677</v>
      </c>
      <c r="W5" s="1">
        <v>1.2925440606039935</v>
      </c>
    </row>
    <row r="6" spans="4:23" x14ac:dyDescent="0.2">
      <c r="D6" s="1">
        <v>1.224238554382739</v>
      </c>
      <c r="E6" s="1">
        <v>2.7500089888679136</v>
      </c>
      <c r="G6" s="1">
        <v>1.4717516235847878</v>
      </c>
      <c r="H6" s="1">
        <v>2.7500089888679136</v>
      </c>
      <c r="J6" s="1">
        <v>2.7500089888679136</v>
      </c>
      <c r="K6" s="1">
        <v>1.224238554382739</v>
      </c>
      <c r="P6" s="1">
        <v>1.4717516235847878</v>
      </c>
      <c r="Q6" s="1">
        <v>1.224238554382739</v>
      </c>
      <c r="S6" s="1">
        <v>2.7500089888679136</v>
      </c>
      <c r="T6" s="1">
        <v>1.4717516235847878</v>
      </c>
      <c r="V6" s="1">
        <v>1.224238554382739</v>
      </c>
      <c r="W6" s="1">
        <v>1.4717516235847878</v>
      </c>
    </row>
    <row r="7" spans="4:23" x14ac:dyDescent="0.2">
      <c r="D7" s="1">
        <v>4.2469906198190381E-3</v>
      </c>
      <c r="E7" s="1">
        <v>2.584273313461142</v>
      </c>
      <c r="G7" s="1">
        <v>0.95970228710217209</v>
      </c>
      <c r="H7" s="1">
        <v>2.584273313461142</v>
      </c>
      <c r="J7" s="1">
        <v>2.584273313461142</v>
      </c>
      <c r="K7" s="1">
        <v>4.2469906198190381E-3</v>
      </c>
      <c r="P7" s="1">
        <v>0.95970228710217209</v>
      </c>
      <c r="Q7" s="1">
        <v>4.2469906198190381E-3</v>
      </c>
      <c r="S7" s="1">
        <v>2.584273313461142</v>
      </c>
      <c r="T7" s="1">
        <v>0.95970228710217209</v>
      </c>
      <c r="V7" s="1">
        <v>4.2469906198190381E-3</v>
      </c>
      <c r="W7" s="1">
        <v>0.95970228710217209</v>
      </c>
    </row>
    <row r="8" spans="4:23" x14ac:dyDescent="0.2">
      <c r="D8" s="1">
        <v>0</v>
      </c>
      <c r="E8" s="1">
        <v>2.7720110839682133</v>
      </c>
      <c r="G8" s="1">
        <v>0.93318510295028001</v>
      </c>
      <c r="H8" s="1">
        <v>2.7720110839682133</v>
      </c>
      <c r="J8" s="1">
        <v>2.7720110839682133</v>
      </c>
      <c r="K8" s="1">
        <v>0</v>
      </c>
      <c r="P8" s="1">
        <v>0.93318510295028001</v>
      </c>
      <c r="Q8" s="1">
        <v>0</v>
      </c>
      <c r="S8" s="1">
        <v>2.7720110839682133</v>
      </c>
      <c r="T8" s="1">
        <v>0.93318510295028001</v>
      </c>
      <c r="V8" s="1">
        <v>0</v>
      </c>
      <c r="W8" s="1">
        <v>0.93318510295028001</v>
      </c>
    </row>
    <row r="9" spans="4:23" x14ac:dyDescent="0.2">
      <c r="D9" s="1">
        <v>0</v>
      </c>
      <c r="E9" s="1">
        <v>2.4054654069505723</v>
      </c>
      <c r="G9" s="1">
        <v>0.86152668580429759</v>
      </c>
      <c r="H9" s="1">
        <v>2.4054654069505723</v>
      </c>
      <c r="J9" s="1">
        <v>2.4054654069505723</v>
      </c>
      <c r="K9" s="1">
        <v>0</v>
      </c>
      <c r="P9" s="1">
        <v>0.86152668580429759</v>
      </c>
      <c r="Q9" s="1">
        <v>0</v>
      </c>
      <c r="S9" s="1">
        <v>2.4054654069505723</v>
      </c>
      <c r="T9" s="1">
        <v>0.86152668580429759</v>
      </c>
      <c r="V9" s="1">
        <v>0</v>
      </c>
      <c r="W9" s="1">
        <v>0.86152668580429759</v>
      </c>
    </row>
    <row r="10" spans="4:23" x14ac:dyDescent="0.2">
      <c r="D10" s="1">
        <v>0</v>
      </c>
      <c r="E10" s="1">
        <v>2.3590981952868302</v>
      </c>
      <c r="G10" s="1">
        <v>1.1617104763571808</v>
      </c>
      <c r="H10" s="1">
        <v>2.3590981952868302</v>
      </c>
      <c r="J10" s="1">
        <v>2.3590981952868302</v>
      </c>
      <c r="K10" s="1">
        <v>0</v>
      </c>
      <c r="P10" s="1">
        <v>1.1617104763571808</v>
      </c>
      <c r="Q10" s="1">
        <v>0</v>
      </c>
      <c r="S10" s="1">
        <v>2.3590981952868302</v>
      </c>
      <c r="T10" s="1">
        <v>1.1617104763571808</v>
      </c>
      <c r="V10" s="1">
        <v>0</v>
      </c>
      <c r="W10" s="1">
        <v>1.1617104763571808</v>
      </c>
    </row>
    <row r="11" spans="4:23" x14ac:dyDescent="0.2">
      <c r="D11" s="1">
        <v>0</v>
      </c>
      <c r="E11" s="1">
        <v>2.387380461759002</v>
      </c>
      <c r="G11" s="1">
        <v>1.2686273398010346</v>
      </c>
      <c r="H11" s="1">
        <v>2.387380461759002</v>
      </c>
      <c r="J11" s="1">
        <v>2.387380461759002</v>
      </c>
      <c r="K11" s="1">
        <v>0</v>
      </c>
      <c r="P11" s="1">
        <v>1.2686273398010346</v>
      </c>
      <c r="Q11" s="1">
        <v>0</v>
      </c>
      <c r="S11" s="1">
        <v>2.387380461759002</v>
      </c>
      <c r="T11" s="1">
        <v>1.2686273398010346</v>
      </c>
      <c r="V11" s="1">
        <v>0</v>
      </c>
      <c r="W11" s="1">
        <v>1.2686273398010346</v>
      </c>
    </row>
    <row r="12" spans="4:23" x14ac:dyDescent="0.2">
      <c r="D12" s="1">
        <v>1.0513149190221088E-2</v>
      </c>
      <c r="E12" s="1">
        <v>2.7372642441084958</v>
      </c>
      <c r="G12" s="1">
        <v>0.89375629705608262</v>
      </c>
      <c r="H12" s="1">
        <v>2.7372642441084958</v>
      </c>
      <c r="J12" s="1">
        <v>2.7372642441084958</v>
      </c>
      <c r="K12" s="1">
        <v>1.0513149190221088E-2</v>
      </c>
      <c r="P12" s="1">
        <v>0.89375629705608262</v>
      </c>
      <c r="Q12" s="1">
        <v>1.0513149190221088E-2</v>
      </c>
      <c r="S12" s="1">
        <v>2.7372642441084958</v>
      </c>
      <c r="T12" s="1">
        <v>0.89375629705608262</v>
      </c>
      <c r="V12" s="1">
        <v>1.0513149190221088E-2</v>
      </c>
      <c r="W12" s="1">
        <v>0.89375629705608262</v>
      </c>
    </row>
    <row r="13" spans="4:23" x14ac:dyDescent="0.2">
      <c r="D13" s="1">
        <v>4.632188728219986E-2</v>
      </c>
      <c r="E13" s="1">
        <v>2.641698326083219</v>
      </c>
      <c r="G13" s="1">
        <v>1.2303187610207396</v>
      </c>
      <c r="H13" s="1">
        <v>2.641698326083219</v>
      </c>
      <c r="J13" s="1">
        <v>2.641698326083219</v>
      </c>
      <c r="K13" s="1">
        <v>4.632188728219986E-2</v>
      </c>
      <c r="P13" s="1">
        <v>1.2303187610207396</v>
      </c>
      <c r="Q13" s="1">
        <v>4.632188728219986E-2</v>
      </c>
      <c r="S13" s="1">
        <v>2.641698326083219</v>
      </c>
      <c r="T13" s="1">
        <v>1.2303187610207396</v>
      </c>
      <c r="V13" s="1">
        <v>4.632188728219986E-2</v>
      </c>
      <c r="W13" s="1">
        <v>1.2303187610207396</v>
      </c>
    </row>
    <row r="14" spans="4:23" x14ac:dyDescent="0.2">
      <c r="D14" s="1">
        <v>0.3047480182381741</v>
      </c>
      <c r="E14" s="1">
        <v>2.5234530271092313</v>
      </c>
      <c r="G14" s="1">
        <v>0.97788945183596865</v>
      </c>
      <c r="H14" s="1">
        <v>2.5234530271092313</v>
      </c>
      <c r="J14" s="1">
        <v>2.5234530271092313</v>
      </c>
      <c r="K14" s="1">
        <v>0.3047480182381741</v>
      </c>
      <c r="P14" s="1">
        <v>0.97788945183596865</v>
      </c>
      <c r="Q14" s="1">
        <v>0.3047480182381741</v>
      </c>
      <c r="S14" s="1">
        <v>2.5234530271092313</v>
      </c>
      <c r="T14" s="1">
        <v>0.97788945183596865</v>
      </c>
      <c r="V14" s="1">
        <v>0.3047480182381741</v>
      </c>
      <c r="W14" s="1">
        <v>0.97788945183596865</v>
      </c>
    </row>
    <row r="15" spans="4:23" x14ac:dyDescent="0.2">
      <c r="D15" s="1">
        <v>0</v>
      </c>
      <c r="E15" s="1">
        <v>2.4990410342280702</v>
      </c>
      <c r="G15" s="1">
        <v>1.2935765610084957</v>
      </c>
      <c r="H15" s="1">
        <v>2.4990410342280702</v>
      </c>
      <c r="J15" s="1">
        <v>2.4990410342280702</v>
      </c>
      <c r="K15" s="1">
        <v>0</v>
      </c>
      <c r="P15" s="1">
        <v>1.2935765610084957</v>
      </c>
      <c r="Q15" s="1">
        <v>0</v>
      </c>
      <c r="S15" s="1">
        <v>2.4990410342280702</v>
      </c>
      <c r="T15" s="1">
        <v>1.2935765610084957</v>
      </c>
      <c r="V15" s="1">
        <v>0</v>
      </c>
      <c r="W15" s="1">
        <v>1.2935765610084957</v>
      </c>
    </row>
    <row r="16" spans="4:23" x14ac:dyDescent="0.2">
      <c r="D16" s="1">
        <v>5.8497873350754313E-3</v>
      </c>
      <c r="E16" s="1">
        <v>2.4844018360916418</v>
      </c>
      <c r="G16" s="1">
        <v>1.4317337665226557</v>
      </c>
      <c r="H16" s="1">
        <v>2.4844018360916418</v>
      </c>
      <c r="J16" s="1">
        <v>2.4844018360916418</v>
      </c>
      <c r="K16" s="1">
        <v>5.8497873350754313E-3</v>
      </c>
      <c r="P16" s="1">
        <v>1.4317337665226557</v>
      </c>
      <c r="Q16" s="1">
        <v>5.8497873350754313E-3</v>
      </c>
      <c r="S16" s="1">
        <v>2.4844018360916418</v>
      </c>
      <c r="T16" s="1">
        <v>1.4317337665226557</v>
      </c>
      <c r="V16" s="1">
        <v>5.8497873350754313E-3</v>
      </c>
      <c r="W16" s="1">
        <v>1.4317337665226557</v>
      </c>
    </row>
    <row r="17" spans="4:23" x14ac:dyDescent="0.2">
      <c r="D17" s="1">
        <v>0</v>
      </c>
      <c r="E17" s="1">
        <v>2.7468498677375019</v>
      </c>
      <c r="G17" s="1">
        <v>0.87294416905333683</v>
      </c>
      <c r="H17" s="1">
        <v>2.7468498677375019</v>
      </c>
      <c r="J17" s="1">
        <v>2.7468498677375019</v>
      </c>
      <c r="K17" s="1">
        <v>0</v>
      </c>
      <c r="P17" s="1">
        <v>0.87294416905333683</v>
      </c>
      <c r="Q17" s="1">
        <v>0</v>
      </c>
      <c r="S17" s="1">
        <v>2.7468498677375019</v>
      </c>
      <c r="T17" s="1">
        <v>0.87294416905333683</v>
      </c>
      <c r="V17" s="1">
        <v>0</v>
      </c>
      <c r="W17" s="1">
        <v>0.87294416905333683</v>
      </c>
    </row>
    <row r="18" spans="4:23" x14ac:dyDescent="0.2">
      <c r="D18" s="1">
        <v>0</v>
      </c>
      <c r="E18" s="1">
        <v>2.4470764000480121</v>
      </c>
      <c r="G18" s="1">
        <v>0.74261407709052918</v>
      </c>
      <c r="H18" s="1">
        <v>2.4470764000480121</v>
      </c>
      <c r="J18" s="1">
        <v>2.4470764000480121</v>
      </c>
      <c r="K18" s="1">
        <v>0</v>
      </c>
      <c r="P18" s="1">
        <v>0.74261407709052918</v>
      </c>
      <c r="Q18" s="1">
        <v>0</v>
      </c>
      <c r="S18" s="1">
        <v>2.4470764000480121</v>
      </c>
      <c r="T18" s="1">
        <v>0.74261407709052918</v>
      </c>
      <c r="V18" s="1">
        <v>0</v>
      </c>
      <c r="W18" s="1">
        <v>0.74261407709052918</v>
      </c>
    </row>
    <row r="19" spans="4:23" x14ac:dyDescent="0.2">
      <c r="D19" s="1">
        <v>0</v>
      </c>
      <c r="E19" s="1">
        <v>2.4712407925864674</v>
      </c>
      <c r="G19" s="1">
        <v>0.92803619777323476</v>
      </c>
      <c r="H19" s="1">
        <v>2.4712407925864674</v>
      </c>
      <c r="J19" s="1">
        <v>2.4712407925864674</v>
      </c>
      <c r="K19" s="1">
        <v>0</v>
      </c>
      <c r="P19" s="1">
        <v>0.92803619777323476</v>
      </c>
      <c r="Q19" s="1">
        <v>0</v>
      </c>
      <c r="S19" s="1">
        <v>2.4712407925864674</v>
      </c>
      <c r="T19" s="1">
        <v>0.92803619777323476</v>
      </c>
      <c r="V19" s="1">
        <v>0</v>
      </c>
      <c r="W19" s="1">
        <v>0.92803619777323476</v>
      </c>
    </row>
    <row r="20" spans="4:23" x14ac:dyDescent="0.2">
      <c r="D20" s="1">
        <v>0</v>
      </c>
      <c r="E20" s="1">
        <v>2.6030127974244137</v>
      </c>
      <c r="G20" s="1">
        <v>0.66628174567158283</v>
      </c>
      <c r="H20" s="1">
        <v>2.6030127974244137</v>
      </c>
      <c r="J20" s="1">
        <v>2.6030127974244137</v>
      </c>
      <c r="K20" s="1">
        <v>0</v>
      </c>
      <c r="P20" s="1">
        <v>0.66628174567158283</v>
      </c>
      <c r="Q20" s="1">
        <v>0</v>
      </c>
      <c r="S20" s="1">
        <v>2.6030127974244137</v>
      </c>
      <c r="T20" s="1">
        <v>0.66628174567158283</v>
      </c>
      <c r="V20" s="1">
        <v>0</v>
      </c>
      <c r="W20" s="1">
        <v>0.66628174567158283</v>
      </c>
    </row>
    <row r="21" spans="4:23" x14ac:dyDescent="0.2">
      <c r="D21" s="1">
        <v>0.34476500936018334</v>
      </c>
      <c r="E21" s="1">
        <v>2.5370609508984123</v>
      </c>
      <c r="G21" s="1">
        <v>1.4113251131283633</v>
      </c>
      <c r="H21" s="1">
        <v>2.5370609508984123</v>
      </c>
      <c r="J21" s="1">
        <v>2.5370609508984123</v>
      </c>
      <c r="K21" s="1">
        <v>0.34476500936018334</v>
      </c>
      <c r="P21" s="1">
        <v>1.4113251131283633</v>
      </c>
      <c r="Q21" s="1">
        <v>0.34476500936018334</v>
      </c>
      <c r="S21" s="1">
        <v>2.5370609508984123</v>
      </c>
      <c r="T21" s="1">
        <v>1.4113251131283633</v>
      </c>
      <c r="V21" s="1">
        <v>0.34476500936018334</v>
      </c>
      <c r="W21" s="1">
        <v>1.4113251131283633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la42"/>
  <dimension ref="A1:AH27"/>
  <sheetViews>
    <sheetView workbookViewId="0">
      <selection activeCell="AJ13" sqref="AJ13"/>
    </sheetView>
  </sheetViews>
  <sheetFormatPr defaultRowHeight="12.75" x14ac:dyDescent="0.2"/>
  <cols>
    <col min="1" max="1" width="25.85546875" customWidth="1"/>
    <col min="10" max="13" width="9.5703125" bestFit="1" customWidth="1"/>
  </cols>
  <sheetData>
    <row r="1" spans="1:34" x14ac:dyDescent="0.2">
      <c r="B1" t="s">
        <v>311</v>
      </c>
      <c r="J1" t="s">
        <v>298</v>
      </c>
      <c r="R1" t="s">
        <v>312</v>
      </c>
      <c r="Z1" t="s">
        <v>317</v>
      </c>
      <c r="AE1" s="18" t="s">
        <v>297</v>
      </c>
    </row>
    <row r="2" spans="1:34" s="18" customFormat="1" x14ac:dyDescent="0.2">
      <c r="A2" s="18" t="s">
        <v>310</v>
      </c>
      <c r="B2" s="18" t="s">
        <v>294</v>
      </c>
      <c r="C2" s="18" t="s">
        <v>295</v>
      </c>
      <c r="D2" s="18" t="s">
        <v>296</v>
      </c>
      <c r="E2" s="18" t="s">
        <v>297</v>
      </c>
      <c r="J2" s="18" t="s">
        <v>294</v>
      </c>
      <c r="K2" s="18" t="s">
        <v>295</v>
      </c>
      <c r="L2" s="18" t="s">
        <v>296</v>
      </c>
      <c r="M2" s="18" t="s">
        <v>297</v>
      </c>
      <c r="R2" s="18" t="s">
        <v>294</v>
      </c>
      <c r="S2" s="18" t="s">
        <v>295</v>
      </c>
      <c r="T2" s="18" t="s">
        <v>296</v>
      </c>
      <c r="U2" s="18" t="s">
        <v>297</v>
      </c>
      <c r="Z2" s="18" t="s">
        <v>294</v>
      </c>
      <c r="AA2" s="18" t="s">
        <v>295</v>
      </c>
      <c r="AB2" s="18" t="s">
        <v>296</v>
      </c>
      <c r="AC2" s="18" t="s">
        <v>297</v>
      </c>
      <c r="AE2" t="s">
        <v>361</v>
      </c>
      <c r="AF2" t="s">
        <v>362</v>
      </c>
      <c r="AG2" s="9" t="s">
        <v>363</v>
      </c>
      <c r="AH2"/>
    </row>
    <row r="3" spans="1:34" x14ac:dyDescent="0.2">
      <c r="A3" s="24" t="s">
        <v>35</v>
      </c>
      <c r="B3" s="1">
        <f>AVERAGE('Fires data'!B9:B21)</f>
        <v>315.84615384615387</v>
      </c>
      <c r="C3" s="1">
        <f>AVERAGE('Fires data'!B22:B31)</f>
        <v>939.1</v>
      </c>
      <c r="D3" s="1">
        <f>AVERAGE('Fires data'!B32:B41)</f>
        <v>2398.1999999999998</v>
      </c>
      <c r="E3" s="1">
        <f>AVERAGE('Fires data'!B42:B53)</f>
        <v>1617.6666666666667</v>
      </c>
      <c r="J3" s="125">
        <f>AVERAGE('Fires data'!ET$9:ET$21)</f>
        <v>0.18413508595459704</v>
      </c>
      <c r="K3" s="125">
        <f>AVERAGE('Fires data'!ET$22:ET$31)</f>
        <v>0.34297044558295997</v>
      </c>
      <c r="L3" s="125">
        <f>AVERAGE('Fires data'!ET$32:ET$41)</f>
        <v>0.47726862559536543</v>
      </c>
      <c r="M3" s="125">
        <f>AVERAGE('Fires data'!ET$42:ET$53)</f>
        <v>0.67846412930004296</v>
      </c>
      <c r="R3">
        <f>AVERAGE('Fires data'!EV$9:EV$21)</f>
        <v>0.79325860266718762</v>
      </c>
      <c r="S3">
        <f>AVERAGE('Fires data'!EV$22:EV$31)</f>
        <v>0.64370299349999349</v>
      </c>
      <c r="T3">
        <f>AVERAGE('Fires data'!EV$32:EV$41)</f>
        <v>0.50851320158320901</v>
      </c>
      <c r="U3">
        <f>AVERAGE('Fires data'!EV$42:EV$53)</f>
        <v>0.3000462034351325</v>
      </c>
      <c r="Z3" s="125">
        <f t="shared" ref="Z3:Z23" si="0">J3+R3</f>
        <v>0.97739368862178466</v>
      </c>
      <c r="AA3" s="125">
        <f t="shared" ref="AA3:AA23" si="1">K3+S3</f>
        <v>0.98667343908295346</v>
      </c>
      <c r="AB3" s="125">
        <f t="shared" ref="AB3:AB23" si="2">L3+T3</f>
        <v>0.98578182717857443</v>
      </c>
      <c r="AC3" s="125">
        <f t="shared" ref="AC3:AC23" si="3">M3+U3</f>
        <v>0.9785103327351754</v>
      </c>
      <c r="AE3" s="8">
        <v>2.8933784948981955</v>
      </c>
      <c r="AF3" s="9">
        <f>ASIN(SQRT(M3))</f>
        <v>0.96788690376184416</v>
      </c>
      <c r="AG3">
        <f>ASIN(SQRT(AC3))</f>
        <v>1.4236725980526734</v>
      </c>
    </row>
    <row r="4" spans="1:34" x14ac:dyDescent="0.2">
      <c r="A4" t="s">
        <v>0</v>
      </c>
      <c r="B4" s="1">
        <f>AVERAGE('Fires data'!C$9:C$21)</f>
        <v>264</v>
      </c>
      <c r="C4" s="1">
        <f>AVERAGE('Fires data'!C$22:C$31)</f>
        <v>645.79999999999995</v>
      </c>
      <c r="D4" s="1">
        <f>AVERAGE('Fires data'!C$32:C$41)</f>
        <v>1581.5</v>
      </c>
      <c r="E4" s="1">
        <f>AVERAGE('Fires data'!C$42:C$53)</f>
        <v>853.41666666666663</v>
      </c>
      <c r="J4" s="125">
        <f>AVERAGE('Fires data'!EZ$9:EZ$21)</f>
        <v>0.15270644564564609</v>
      </c>
      <c r="K4" s="125">
        <f>AVERAGE('Fires data'!EZ$22:EZ$31)</f>
        <v>0.317881391847046</v>
      </c>
      <c r="L4" s="125">
        <f>AVERAGE('Fires data'!EZ$32:EZ$41)</f>
        <v>0.34684461845850079</v>
      </c>
      <c r="M4" s="125">
        <f>AVERAGE('Fires data'!EZ$42:EZ$53)</f>
        <v>0.40330844618042705</v>
      </c>
      <c r="R4">
        <f>AVERAGE('Fires data'!FB$9:FB$21)</f>
        <v>0.73513958923848977</v>
      </c>
      <c r="S4">
        <f>AVERAGE('Fires data'!FB$22:FB$31)</f>
        <v>0.65316672662852748</v>
      </c>
      <c r="T4">
        <f>AVERAGE('Fires data'!FB$32:FB$41)</f>
        <v>0.61268953446365271</v>
      </c>
      <c r="U4">
        <f>AVERAGE('Fires data'!FB$42:FB$53)</f>
        <v>0.52608650409061863</v>
      </c>
      <c r="Z4" s="125">
        <f t="shared" si="0"/>
        <v>0.88784603488413583</v>
      </c>
      <c r="AA4" s="125">
        <f t="shared" si="1"/>
        <v>0.97104811847557349</v>
      </c>
      <c r="AB4" s="125">
        <f t="shared" si="2"/>
        <v>0.95953415292215349</v>
      </c>
      <c r="AC4" s="125">
        <f t="shared" si="3"/>
        <v>0.92939495027104568</v>
      </c>
      <c r="AE4" s="7">
        <v>2.8222218396546053</v>
      </c>
      <c r="AF4" s="9">
        <f t="shared" ref="AF4:AF23" si="4">ASIN(SQRT(M4))</f>
        <v>0.68809357313491604</v>
      </c>
      <c r="AG4">
        <f t="shared" ref="AG4:AG23" si="5">ASIN(SQRT(AC4))</f>
        <v>1.3018496699828446</v>
      </c>
    </row>
    <row r="5" spans="1:34" x14ac:dyDescent="0.2">
      <c r="A5" t="s">
        <v>1</v>
      </c>
      <c r="B5" s="1">
        <f>AVERAGE('Fires data'!D$9:D$21)</f>
        <v>276.61538461538464</v>
      </c>
      <c r="C5" s="1">
        <f>AVERAGE('Fires data'!D$22:D$31)</f>
        <v>755</v>
      </c>
      <c r="D5" s="1">
        <f>AVERAGE('Fires data'!D$32:D$41)</f>
        <v>3324.8</v>
      </c>
      <c r="E5" s="1">
        <f>AVERAGE('Fires data'!D$42:D$53)</f>
        <v>2460.8333333333335</v>
      </c>
      <c r="J5" s="125">
        <f>AVERAGE('Fires data'!FF$9:FF$21)</f>
        <v>2.7058907507171146E-3</v>
      </c>
      <c r="K5" s="125">
        <f>AVERAGE('Fires data'!FF$22:FF$31)</f>
        <v>6.090918701632763E-3</v>
      </c>
      <c r="L5" s="125">
        <f>AVERAGE('Fires data'!FF$32:FF$41)</f>
        <v>1.5013215854412072E-2</v>
      </c>
      <c r="M5" s="125">
        <f>AVERAGE('Fires data'!FF$42:FF$53)</f>
        <v>1.7611715349715926E-2</v>
      </c>
      <c r="R5">
        <f>AVERAGE('Fires data'!FH$9:FH$21)</f>
        <v>0.93762068588549852</v>
      </c>
      <c r="S5">
        <f>AVERAGE('Fires data'!FH$22:FH$31)</f>
        <v>0.96436503214137614</v>
      </c>
      <c r="T5">
        <f>AVERAGE('Fires data'!FH$32:FH$41)</f>
        <v>0.93547968344989008</v>
      </c>
      <c r="U5">
        <f>AVERAGE('Fires data'!FH$42:FH$53)</f>
        <v>0.92157921216272631</v>
      </c>
      <c r="Z5" s="125">
        <f t="shared" si="0"/>
        <v>0.94032657663621566</v>
      </c>
      <c r="AA5" s="125">
        <f t="shared" si="1"/>
        <v>0.97045595084300895</v>
      </c>
      <c r="AB5" s="125">
        <f t="shared" si="2"/>
        <v>0.95049289930430214</v>
      </c>
      <c r="AC5" s="125">
        <f t="shared" si="3"/>
        <v>0.93919092751244226</v>
      </c>
      <c r="AE5" s="7">
        <v>2.9329366823671981</v>
      </c>
      <c r="AF5" s="9">
        <f t="shared" si="4"/>
        <v>0.13310179737667155</v>
      </c>
      <c r="AG5">
        <f t="shared" si="5"/>
        <v>1.321631197706441</v>
      </c>
    </row>
    <row r="6" spans="1:34" x14ac:dyDescent="0.2">
      <c r="A6" t="s">
        <v>2</v>
      </c>
      <c r="B6" s="1">
        <f>AVERAGE('Fires data'!E$9:E$21)</f>
        <v>687.61538461538464</v>
      </c>
      <c r="C6" s="1">
        <f>AVERAGE('Fires data'!E$22:E$31)</f>
        <v>1502</v>
      </c>
      <c r="D6" s="1">
        <f>AVERAGE('Fires data'!E$32:E$41)</f>
        <v>2884.5</v>
      </c>
      <c r="E6" s="1">
        <f>AVERAGE('Fires data'!E$42:E$53)</f>
        <v>1912.1666666666667</v>
      </c>
      <c r="J6" s="125">
        <f>AVERAGE('Fires data'!FL$9:FL$21)</f>
        <v>0.17404071691972658</v>
      </c>
      <c r="K6" s="125">
        <f>AVERAGE('Fires data'!FL$22:FL$31)</f>
        <v>0.36415926952516597</v>
      </c>
      <c r="L6" s="125">
        <f>AVERAGE('Fires data'!FL$32:FL$41)</f>
        <v>0.50237532445083255</v>
      </c>
      <c r="M6" s="125">
        <f>AVERAGE('Fires data'!FL$42:FL$53)</f>
        <v>0.49789845187661269</v>
      </c>
      <c r="R6">
        <f>AVERAGE('Fires data'!FN$9:FN$21)</f>
        <v>0.81041227292200546</v>
      </c>
      <c r="S6">
        <f>AVERAGE('Fires data'!FN$22:FN$31)</f>
        <v>0.62261804491154127</v>
      </c>
      <c r="T6">
        <f>AVERAGE('Fires data'!FN$32:FN$41)</f>
        <v>0.47367317900671996</v>
      </c>
      <c r="U6">
        <f>AVERAGE('Fires data'!FN$42:FN$53)</f>
        <v>0.48540806102689377</v>
      </c>
      <c r="Z6" s="125">
        <f t="shared" si="0"/>
        <v>0.98445298984173202</v>
      </c>
      <c r="AA6" s="125">
        <f t="shared" si="1"/>
        <v>0.98677731443670724</v>
      </c>
      <c r="AB6" s="125">
        <f t="shared" si="2"/>
        <v>0.97604850345755256</v>
      </c>
      <c r="AC6" s="125">
        <f t="shared" si="3"/>
        <v>0.98330651290350646</v>
      </c>
      <c r="AE6" s="7">
        <v>2.9097704133886073</v>
      </c>
      <c r="AF6" s="9">
        <f t="shared" si="4"/>
        <v>0.78329660908634724</v>
      </c>
      <c r="AG6">
        <f t="shared" si="5"/>
        <v>1.4412308455097476</v>
      </c>
    </row>
    <row r="7" spans="1:34" x14ac:dyDescent="0.2">
      <c r="A7" s="42" t="s">
        <v>50</v>
      </c>
      <c r="B7" s="1">
        <f>AVERAGE('Fires data'!H$9:H$21)</f>
        <v>211</v>
      </c>
      <c r="C7" s="1">
        <f>AVERAGE('Fires data'!H$22:H$31)</f>
        <v>570.1</v>
      </c>
      <c r="D7" s="1">
        <f>AVERAGE('Fires data'!H$32:H$41)</f>
        <v>1023.5</v>
      </c>
      <c r="E7" s="1">
        <f>AVERAGE('Fires data'!H$42:H$53)</f>
        <v>1808</v>
      </c>
      <c r="J7" s="125">
        <f>AVERAGE('Fires data'!BD$9:BD$21)</f>
        <v>0.4883502019958908</v>
      </c>
      <c r="K7" s="125">
        <f>AVERAGE('Fires data'!BD$22:BD$31)</f>
        <v>0.52965164132500475</v>
      </c>
      <c r="L7" s="125">
        <f>AVERAGE('Fires data'!BD$32:BD$41)</f>
        <v>0.52522190692699966</v>
      </c>
      <c r="M7" s="125">
        <f>AVERAGE('Fires data'!BD$42:BD$53)</f>
        <v>0.73579768845576277</v>
      </c>
      <c r="R7">
        <f>AVERAGE('Fires data'!BF$9:BF$21)</f>
        <v>0.36969406063721832</v>
      </c>
      <c r="S7">
        <f>AVERAGE('Fires data'!BF$22:BF$31)</f>
        <v>0.36090157103419779</v>
      </c>
      <c r="T7">
        <f>AVERAGE('Fires data'!BF$32:BF$41)</f>
        <v>0.29386608486824017</v>
      </c>
      <c r="U7">
        <f>AVERAGE('Fires data'!BF$42:BF$53)</f>
        <v>0.18875564923711075</v>
      </c>
      <c r="Z7" s="125">
        <f t="shared" si="0"/>
        <v>0.85804426263310907</v>
      </c>
      <c r="AA7" s="125">
        <f t="shared" si="1"/>
        <v>0.8905532123592026</v>
      </c>
      <c r="AB7" s="125">
        <f t="shared" si="2"/>
        <v>0.81908799179523983</v>
      </c>
      <c r="AC7" s="125">
        <f t="shared" si="3"/>
        <v>0.92455333769287351</v>
      </c>
      <c r="AE7" s="7">
        <v>2.9043751107883824</v>
      </c>
      <c r="AF7" s="9">
        <f t="shared" si="4"/>
        <v>1.0309477140515677</v>
      </c>
      <c r="AG7">
        <f t="shared" si="5"/>
        <v>1.2925440606039935</v>
      </c>
    </row>
    <row r="8" spans="1:34" x14ac:dyDescent="0.2">
      <c r="A8" s="42" t="s">
        <v>41</v>
      </c>
      <c r="B8" s="1">
        <f>AVERAGE('Fires data'!I$9:I$21)</f>
        <v>149.07692307692307</v>
      </c>
      <c r="C8" s="1">
        <f>AVERAGE('Fires data'!I$22:I$31)</f>
        <v>346.8</v>
      </c>
      <c r="D8" s="1">
        <f>AVERAGE('Fires data'!I$32:I$41)</f>
        <v>294.3</v>
      </c>
      <c r="E8" s="1">
        <f>AVERAGE('Fires data'!I$42:I$53)</f>
        <v>497.08333333333331</v>
      </c>
      <c r="J8" s="125">
        <f>AVERAGE('Fires data'!BK$9:BK$21)</f>
        <v>0.80819221239268269</v>
      </c>
      <c r="K8" s="125">
        <f>AVERAGE('Fires data'!BK$22:BK$31)</f>
        <v>0.79702633047282223</v>
      </c>
      <c r="L8" s="125">
        <f>AVERAGE('Fires data'!BK$32:BK$41)</f>
        <v>0.826560256564426</v>
      </c>
      <c r="M8" s="125">
        <f>AVERAGE('Fires data'!BK$42:BK$53)</f>
        <v>0.88462955749452465</v>
      </c>
      <c r="R8">
        <f>AVERAGE('Fires data'!BM$9:BM$21)</f>
        <v>0.11472304616930419</v>
      </c>
      <c r="S8">
        <f>AVERAGE('Fires data'!BM$22:BM$31)</f>
        <v>0.17053344273857726</v>
      </c>
      <c r="T8">
        <f>AVERAGE('Fires data'!BM$32:BM$41)</f>
        <v>0.16009106275166973</v>
      </c>
      <c r="U8">
        <f>AVERAGE('Fires data'!BM$42:BM$53)</f>
        <v>0.10559262508398443</v>
      </c>
      <c r="Z8" s="125">
        <f t="shared" si="0"/>
        <v>0.92291525856198686</v>
      </c>
      <c r="AA8" s="125">
        <f t="shared" si="1"/>
        <v>0.96755977321139952</v>
      </c>
      <c r="AB8" s="125">
        <f t="shared" si="2"/>
        <v>0.98665131931609573</v>
      </c>
      <c r="AC8" s="125">
        <f t="shared" si="3"/>
        <v>0.99022218257850914</v>
      </c>
      <c r="AE8" s="7">
        <v>2.7500089888679136</v>
      </c>
      <c r="AF8" s="9">
        <f t="shared" si="4"/>
        <v>1.224238554382739</v>
      </c>
      <c r="AG8">
        <f t="shared" si="5"/>
        <v>1.4717516235847878</v>
      </c>
    </row>
    <row r="9" spans="1:34" x14ac:dyDescent="0.2">
      <c r="A9" s="42" t="s">
        <v>42</v>
      </c>
      <c r="B9" s="1">
        <f>AVERAGE('Fires data'!J$9:J$21)</f>
        <v>96.384615384615387</v>
      </c>
      <c r="C9" s="1">
        <f>AVERAGE('Fires data'!J$22:J$31)</f>
        <v>137.5</v>
      </c>
      <c r="D9" s="1">
        <f>AVERAGE('Fires data'!J$32:J$41)</f>
        <v>168</v>
      </c>
      <c r="E9" s="1">
        <f>AVERAGE('Fires data'!J$42:J$53)</f>
        <v>187.08333333333334</v>
      </c>
      <c r="J9" s="125">
        <f>AVERAGE('Fires data'!BR$9:BR$21)</f>
        <v>0</v>
      </c>
      <c r="K9" s="125">
        <f>AVERAGE('Fires data'!BR$22:BR$31)</f>
        <v>0</v>
      </c>
      <c r="L9" s="125">
        <f>AVERAGE('Fires data'!BR$32:BR$41)</f>
        <v>0</v>
      </c>
      <c r="M9" s="125">
        <f>AVERAGE('Fires data'!BR$42:BR$53)</f>
        <v>1.8036820881485204E-5</v>
      </c>
      <c r="R9">
        <f>AVERAGE('Fires data'!BS$9:BS$21)</f>
        <v>0.71329203273810993</v>
      </c>
      <c r="S9">
        <f>AVERAGE('Fires data'!BS$22:BS$31)</f>
        <v>0.70290891899872709</v>
      </c>
      <c r="T9">
        <f>AVERAGE('Fires data'!BS$32:BS$41)</f>
        <v>0.70335998764591667</v>
      </c>
      <c r="U9">
        <f>AVERAGE('Fires data'!BS$42:BS$53)</f>
        <v>0.67077701386845678</v>
      </c>
      <c r="Z9" s="125">
        <f t="shared" si="0"/>
        <v>0.71329203273810993</v>
      </c>
      <c r="AA9" s="125">
        <f t="shared" si="1"/>
        <v>0.70290891899872709</v>
      </c>
      <c r="AB9" s="125">
        <f t="shared" si="2"/>
        <v>0.70335998764591667</v>
      </c>
      <c r="AC9" s="125">
        <f t="shared" si="3"/>
        <v>0.67079505068933831</v>
      </c>
      <c r="AE9" s="7">
        <v>2.584273313461142</v>
      </c>
      <c r="AF9" s="9">
        <f t="shared" si="4"/>
        <v>4.2469906198190381E-3</v>
      </c>
      <c r="AG9">
        <f t="shared" si="5"/>
        <v>0.95970228710217209</v>
      </c>
    </row>
    <row r="10" spans="1:34" x14ac:dyDescent="0.2">
      <c r="A10" s="42" t="s">
        <v>43</v>
      </c>
      <c r="B10" s="1">
        <f>AVERAGE('Fires data'!K$9:K$21)</f>
        <v>142.84615384615384</v>
      </c>
      <c r="C10" s="1">
        <f>AVERAGE('Fires data'!K$22:K$31)</f>
        <v>463.3</v>
      </c>
      <c r="D10" s="1">
        <f>AVERAGE('Fires data'!K$32:K$41)</f>
        <v>600.9</v>
      </c>
      <c r="E10" s="1">
        <f>AVERAGE('Fires data'!K$42:K$53)</f>
        <v>580.58333333333337</v>
      </c>
      <c r="J10" s="125">
        <f>AVERAGE('Fires data'!BX$9:BX$21)</f>
        <v>0</v>
      </c>
      <c r="K10" s="125">
        <f>AVERAGE('Fires data'!BX$22:BX$31)</f>
        <v>0</v>
      </c>
      <c r="L10" s="125">
        <f>AVERAGE('Fires data'!BX$32:BX$41)</f>
        <v>0</v>
      </c>
      <c r="M10" s="125">
        <f>AVERAGE('Fires data'!BX$42:BX$53)</f>
        <v>0</v>
      </c>
      <c r="R10">
        <f>AVERAGE('Fires data'!BY$9:BY$21)</f>
        <v>0.24145643814554321</v>
      </c>
      <c r="S10">
        <f>AVERAGE('Fires data'!BY$22:BY$31)</f>
        <v>0.33887624611027184</v>
      </c>
      <c r="T10">
        <f>AVERAGE('Fires data'!BY$32:BY$41)</f>
        <v>0.49831534783353337</v>
      </c>
      <c r="U10">
        <f>AVERAGE('Fires data'!BY$42:BY$53)</f>
        <v>0.64564444548775435</v>
      </c>
      <c r="Z10" s="125">
        <f t="shared" si="0"/>
        <v>0.24145643814554321</v>
      </c>
      <c r="AA10" s="125">
        <f t="shared" si="1"/>
        <v>0.33887624611027184</v>
      </c>
      <c r="AB10" s="125">
        <f t="shared" si="2"/>
        <v>0.49831534783353337</v>
      </c>
      <c r="AC10" s="125">
        <f t="shared" si="3"/>
        <v>0.64564444548775435</v>
      </c>
      <c r="AE10" s="7">
        <v>2.7720110839682133</v>
      </c>
      <c r="AF10" s="9">
        <f t="shared" si="4"/>
        <v>0</v>
      </c>
      <c r="AG10">
        <f t="shared" si="5"/>
        <v>0.93318510295028001</v>
      </c>
    </row>
    <row r="11" spans="1:34" x14ac:dyDescent="0.2">
      <c r="A11" s="42" t="s">
        <v>52</v>
      </c>
      <c r="B11" s="1">
        <f>AVERAGE('Fires data'!L$9:L$21)</f>
        <v>50.46153846153846</v>
      </c>
      <c r="C11" s="1">
        <f>AVERAGE('Fires data'!L$22:L$31)</f>
        <v>129.9</v>
      </c>
      <c r="D11" s="1">
        <f>AVERAGE('Fires data'!L$32:L$41)</f>
        <v>69.8</v>
      </c>
      <c r="E11" s="1">
        <f>AVERAGE('Fires data'!L$42:L$53)</f>
        <v>84</v>
      </c>
      <c r="J11" s="125">
        <f>AVERAGE('Fires data'!CJ$9:CJ$21)</f>
        <v>0</v>
      </c>
      <c r="K11" s="125">
        <f>AVERAGE('Fires data'!CJ$22:CJ$31)</f>
        <v>0</v>
      </c>
      <c r="L11" s="125">
        <f>AVERAGE('Fires data'!CJ$32:CJ$41)</f>
        <v>0</v>
      </c>
      <c r="M11" s="125">
        <f>AVERAGE('Fires data'!CJ$42:CJ$53)</f>
        <v>0</v>
      </c>
      <c r="R11">
        <f>AVERAGE('Fires data'!CK$9:CK$21)</f>
        <v>3.1725661198846053E-2</v>
      </c>
      <c r="S11">
        <f>AVERAGE('Fires data'!CK$22:CK$31)</f>
        <v>0.18904852697216964</v>
      </c>
      <c r="T11">
        <f>AVERAGE('Fires data'!CK$32:CK$41)</f>
        <v>0.21888272674277276</v>
      </c>
      <c r="U11">
        <f>AVERAGE('Fires data'!CK$42:CK$53)</f>
        <v>0.5758347252873226</v>
      </c>
      <c r="Z11" s="125">
        <f t="shared" si="0"/>
        <v>3.1725661198846053E-2</v>
      </c>
      <c r="AA11" s="125">
        <f t="shared" si="1"/>
        <v>0.18904852697216964</v>
      </c>
      <c r="AB11" s="125">
        <f t="shared" si="2"/>
        <v>0.21888272674277276</v>
      </c>
      <c r="AC11" s="125">
        <f t="shared" si="3"/>
        <v>0.5758347252873226</v>
      </c>
      <c r="AE11" s="7">
        <v>2.4054654069505723</v>
      </c>
      <c r="AF11" s="9">
        <f t="shared" si="4"/>
        <v>0</v>
      </c>
      <c r="AG11">
        <f t="shared" si="5"/>
        <v>0.86152668580429759</v>
      </c>
    </row>
    <row r="12" spans="1:34" x14ac:dyDescent="0.2">
      <c r="A12" s="42" t="s">
        <v>320</v>
      </c>
      <c r="B12" s="1">
        <f>AVERAGE('Fires data'!N$9:N$21)</f>
        <v>39.92307692307692</v>
      </c>
      <c r="C12" s="1">
        <f>AVERAGE('Fires data'!N$22:N$31)</f>
        <v>92.4</v>
      </c>
      <c r="D12" s="1">
        <f>AVERAGE('Fires data'!N$32:N$41)</f>
        <v>86.3</v>
      </c>
      <c r="E12" s="1">
        <f>AVERAGE('Fires data'!N$42:N$53)</f>
        <v>70.25</v>
      </c>
      <c r="J12" s="125">
        <f>AVERAGE('Fires data'!CV$9:CV$21)</f>
        <v>0</v>
      </c>
      <c r="K12" s="125">
        <f>AVERAGE('Fires data'!CV$22:CV$31)</f>
        <v>0</v>
      </c>
      <c r="L12" s="125">
        <f>AVERAGE('Fires data'!CV$32:CV$41)</f>
        <v>0</v>
      </c>
      <c r="M12" s="125">
        <f>AVERAGE('Fires data'!CV$42:CV$53)</f>
        <v>0</v>
      </c>
      <c r="R12">
        <f>AVERAGE('Fires data'!CW$9:CW$21)</f>
        <v>0.89513852970715579</v>
      </c>
      <c r="S12">
        <f>AVERAGE('Fires data'!CW$22:CW$31)</f>
        <v>0.88873959119134682</v>
      </c>
      <c r="T12">
        <f>AVERAGE('Fires data'!CW$32:CW$41)</f>
        <v>0.89703040246875787</v>
      </c>
      <c r="U12">
        <f>AVERAGE('Fires data'!CW$42:CW$53)</f>
        <v>0.84177840980041296</v>
      </c>
      <c r="Z12" s="125">
        <f t="shared" si="0"/>
        <v>0.89513852970715579</v>
      </c>
      <c r="AA12" s="125">
        <f t="shared" si="1"/>
        <v>0.88873959119134682</v>
      </c>
      <c r="AB12" s="125">
        <f t="shared" si="2"/>
        <v>0.89703040246875787</v>
      </c>
      <c r="AC12" s="125">
        <f t="shared" si="3"/>
        <v>0.84177840980041296</v>
      </c>
      <c r="AE12" s="7">
        <v>2.3590981952868302</v>
      </c>
      <c r="AF12" s="9">
        <f t="shared" si="4"/>
        <v>0</v>
      </c>
      <c r="AG12">
        <f t="shared" si="5"/>
        <v>1.1617104763571808</v>
      </c>
    </row>
    <row r="13" spans="1:34" x14ac:dyDescent="0.2">
      <c r="A13" s="42" t="s">
        <v>53</v>
      </c>
      <c r="B13" s="1">
        <f>AVERAGE('Fires data'!M$9:M$21)</f>
        <v>17.307692307692307</v>
      </c>
      <c r="C13" s="1">
        <f>AVERAGE('Fires data'!M$22:M$31)</f>
        <v>38.6</v>
      </c>
      <c r="D13" s="1">
        <f>AVERAGE('Fires data'!M$32:M$41)</f>
        <v>59.1</v>
      </c>
      <c r="E13" s="1">
        <f>AVERAGE('Fires data'!M$42:M$53)</f>
        <v>78.25</v>
      </c>
      <c r="J13" s="125">
        <f>AVERAGE('Fires data'!CP$9:CP$21)</f>
        <v>0</v>
      </c>
      <c r="K13" s="125">
        <f>AVERAGE('Fires data'!CP$22:CP$31)</f>
        <v>0</v>
      </c>
      <c r="L13" s="125">
        <f>AVERAGE('Fires data'!CP$32:CP$41)</f>
        <v>0</v>
      </c>
      <c r="M13" s="125">
        <f>AVERAGE('Fires data'!CP$42:CP$53)</f>
        <v>0</v>
      </c>
      <c r="R13">
        <f>AVERAGE('Fires data'!CQ$9:CQ$21)</f>
        <v>0.94135415666634981</v>
      </c>
      <c r="S13">
        <f>AVERAGE('Fires data'!CQ$22:CQ$31)</f>
        <v>0.91034910988813422</v>
      </c>
      <c r="T13">
        <f>AVERAGE('Fires data'!CQ$32:CQ$41)</f>
        <v>0.91612568633356262</v>
      </c>
      <c r="U13">
        <f>AVERAGE('Fires data'!CQ$42:CQ$53)</f>
        <v>0.91143922632584651</v>
      </c>
      <c r="Z13" s="125">
        <f t="shared" si="0"/>
        <v>0.94135415666634981</v>
      </c>
      <c r="AA13" s="125">
        <f t="shared" si="1"/>
        <v>0.91034910988813422</v>
      </c>
      <c r="AB13" s="125">
        <f t="shared" si="2"/>
        <v>0.91612568633356262</v>
      </c>
      <c r="AC13" s="125">
        <f t="shared" si="3"/>
        <v>0.91143922632584651</v>
      </c>
      <c r="AE13" s="7">
        <v>2.387380461759002</v>
      </c>
      <c r="AF13" s="9">
        <f t="shared" si="4"/>
        <v>0</v>
      </c>
      <c r="AG13">
        <f t="shared" si="5"/>
        <v>1.2686273398010346</v>
      </c>
    </row>
    <row r="14" spans="1:34" x14ac:dyDescent="0.2">
      <c r="A14" s="42" t="s">
        <v>51</v>
      </c>
      <c r="B14" s="1">
        <f>AVERAGE('Fires data'!O$9:O$21)</f>
        <v>79.384615384615387</v>
      </c>
      <c r="C14" s="1">
        <f>AVERAGE('Fires data'!O$22:O$31)</f>
        <v>307.10000000000002</v>
      </c>
      <c r="D14" s="1">
        <f>AVERAGE('Fires data'!O$32:O$41)</f>
        <v>462.1</v>
      </c>
      <c r="E14" s="1">
        <f>AVERAGE('Fires data'!O$42:O$53)</f>
        <v>455.83333333333331</v>
      </c>
      <c r="J14" s="125">
        <f>AVERAGE('Fires data'!CD$9:CD$21)</f>
        <v>0</v>
      </c>
      <c r="K14" s="125">
        <f>AVERAGE('Fires data'!CD$22:CD$31)</f>
        <v>0</v>
      </c>
      <c r="L14" s="125">
        <f>AVERAGE('Fires data'!CD$32:CD$41)</f>
        <v>0</v>
      </c>
      <c r="M14" s="125">
        <f>AVERAGE('Fires data'!CD$42:CD$53)</f>
        <v>1.1052223393442298E-4</v>
      </c>
      <c r="R14">
        <f>AVERAGE('Fires data'!CE$9:CE$21)</f>
        <v>0.26861519717757043</v>
      </c>
      <c r="S14">
        <f>AVERAGE('Fires data'!CE$22:CE$31)</f>
        <v>0.25203750001787628</v>
      </c>
      <c r="T14">
        <f>AVERAGE('Fires data'!CE$32:CE$41)</f>
        <v>0.56678692540526165</v>
      </c>
      <c r="U14">
        <f>AVERAGE('Fires data'!CE$42:CE$53)</f>
        <v>0.60740141072483944</v>
      </c>
      <c r="Z14" s="125">
        <f t="shared" si="0"/>
        <v>0.26861519717757043</v>
      </c>
      <c r="AA14" s="125">
        <f t="shared" si="1"/>
        <v>0.25203750001787628</v>
      </c>
      <c r="AB14" s="125">
        <f t="shared" si="2"/>
        <v>0.56678692540526165</v>
      </c>
      <c r="AC14" s="125">
        <f t="shared" si="3"/>
        <v>0.60751193295877381</v>
      </c>
      <c r="AE14" s="7">
        <v>2.7372642441084958</v>
      </c>
      <c r="AF14" s="9">
        <f t="shared" si="4"/>
        <v>1.0513149190221088E-2</v>
      </c>
      <c r="AG14">
        <f t="shared" si="5"/>
        <v>0.89375629705608262</v>
      </c>
    </row>
    <row r="15" spans="1:34" x14ac:dyDescent="0.2">
      <c r="A15" s="42" t="s">
        <v>44</v>
      </c>
      <c r="B15" s="1">
        <f>AVERAGE('Fires data'!P$9:P$21)</f>
        <v>201.53846153846155</v>
      </c>
      <c r="C15" s="1">
        <f>AVERAGE('Fires data'!P$22:P$31)</f>
        <v>195.3</v>
      </c>
      <c r="D15" s="1">
        <f>AVERAGE('Fires data'!P$32:P$41)</f>
        <v>302.5</v>
      </c>
      <c r="E15" s="1">
        <f>AVERAGE('Fires data'!P$42:P$53)</f>
        <v>254.08333333333334</v>
      </c>
      <c r="J15" s="125">
        <f>AVERAGE('Fires data'!DT$9:DT$21)</f>
        <v>0</v>
      </c>
      <c r="K15" s="125">
        <f>AVERAGE('Fires data'!DT$22:DT$31)</f>
        <v>1.0621522141473125E-3</v>
      </c>
      <c r="L15" s="125">
        <f>AVERAGE('Fires data'!DT$32:DT$41)</f>
        <v>9.9622433992605495E-4</v>
      </c>
      <c r="M15" s="125">
        <f>AVERAGE('Fires data'!DT$42:DT$53)</f>
        <v>2.1441829795620852E-3</v>
      </c>
      <c r="R15">
        <f>AVERAGE('Fires data'!DV$9:DV$21)</f>
        <v>0.88999143168554895</v>
      </c>
      <c r="S15">
        <f>AVERAGE('Fires data'!DV$22:DV$31)</f>
        <v>0.90560635609334128</v>
      </c>
      <c r="T15">
        <f>AVERAGE('Fires data'!DV$32:DV$41)</f>
        <v>0.91696266203757781</v>
      </c>
      <c r="U15">
        <f>AVERAGE('Fires data'!DV$42:DV$53)</f>
        <v>0.88634170907398746</v>
      </c>
      <c r="Z15" s="125">
        <f t="shared" si="0"/>
        <v>0.88999143168554895</v>
      </c>
      <c r="AA15" s="125">
        <f t="shared" si="1"/>
        <v>0.90666850830748857</v>
      </c>
      <c r="AB15" s="125">
        <f t="shared" si="2"/>
        <v>0.91795888637750389</v>
      </c>
      <c r="AC15" s="125">
        <f t="shared" si="3"/>
        <v>0.88848589205354955</v>
      </c>
      <c r="AE15" s="7">
        <v>2.641698326083219</v>
      </c>
      <c r="AF15" s="9">
        <f t="shared" si="4"/>
        <v>4.632188728219986E-2</v>
      </c>
      <c r="AG15">
        <f t="shared" si="5"/>
        <v>1.2303187610207396</v>
      </c>
    </row>
    <row r="16" spans="1:34" x14ac:dyDescent="0.2">
      <c r="A16" s="42" t="s">
        <v>45</v>
      </c>
      <c r="B16" s="1">
        <f>AVERAGE('Fires data'!Q$9:Q$21)</f>
        <v>92.15384615384616</v>
      </c>
      <c r="C16" s="1">
        <f>AVERAGE('Fires data'!Q$22:Q$31)</f>
        <v>94.7</v>
      </c>
      <c r="D16" s="1">
        <f>AVERAGE('Fires data'!Q$32:Q$41)</f>
        <v>177.2</v>
      </c>
      <c r="E16" s="1">
        <f>AVERAGE('Fires data'!Q$42:Q$53)</f>
        <v>139.25</v>
      </c>
      <c r="J16" s="125">
        <f>AVERAGE('Fires data'!EA$9:EA$21)</f>
        <v>0</v>
      </c>
      <c r="K16" s="125">
        <f>AVERAGE('Fires data'!EA$22:EA$31)</f>
        <v>1.9857477392177705E-2</v>
      </c>
      <c r="L16" s="125">
        <f>AVERAGE('Fires data'!EA$32:EA$41)</f>
        <v>5.5625979025731048E-2</v>
      </c>
      <c r="M16" s="125">
        <f>AVERAGE('Fires data'!EA$42:EA$53)</f>
        <v>9.003169097487447E-2</v>
      </c>
      <c r="R16">
        <f>AVERAGE('Fires data'!EC$9:EC$21)</f>
        <v>0.61215657470714746</v>
      </c>
      <c r="S16">
        <f>AVERAGE('Fires data'!EC$22:EC$31)</f>
        <v>0.56232701369940419</v>
      </c>
      <c r="T16">
        <f>AVERAGE('Fires data'!EC$32:EC$41)</f>
        <v>0.46685793008852566</v>
      </c>
      <c r="U16">
        <f>AVERAGE('Fires data'!EC$42:EC$53)</f>
        <v>0.59773980350884937</v>
      </c>
      <c r="Z16" s="125">
        <f t="shared" si="0"/>
        <v>0.61215657470714746</v>
      </c>
      <c r="AA16" s="125">
        <f t="shared" si="1"/>
        <v>0.58218449109158188</v>
      </c>
      <c r="AB16" s="125">
        <f t="shared" si="2"/>
        <v>0.52248390911425668</v>
      </c>
      <c r="AC16" s="125">
        <f t="shared" si="3"/>
        <v>0.68777149448372388</v>
      </c>
      <c r="AE16" s="7">
        <v>2.5234530271092313</v>
      </c>
      <c r="AF16" s="9">
        <f t="shared" si="4"/>
        <v>0.3047480182381741</v>
      </c>
      <c r="AG16">
        <f t="shared" si="5"/>
        <v>0.97788945183596865</v>
      </c>
    </row>
    <row r="17" spans="1:33" x14ac:dyDescent="0.2">
      <c r="A17" s="42" t="s">
        <v>46</v>
      </c>
      <c r="B17" s="1">
        <f>AVERAGE('Fires data'!R$9:R$21)</f>
        <v>34.846153846153847</v>
      </c>
      <c r="C17" s="1">
        <f>AVERAGE('Fires data'!R$22:R$31)</f>
        <v>79.8</v>
      </c>
      <c r="D17" s="1">
        <f>AVERAGE('Fires data'!R$32:R$41)</f>
        <v>100.9</v>
      </c>
      <c r="E17" s="1">
        <f>AVERAGE('Fires data'!R$42:R$53)</f>
        <v>124.58333333333333</v>
      </c>
      <c r="J17" s="125">
        <f>AVERAGE('Fires data'!EH$9:EH$21)</f>
        <v>0</v>
      </c>
      <c r="K17" s="125">
        <f>AVERAGE('Fires data'!EH$22:EH$31)</f>
        <v>0</v>
      </c>
      <c r="L17" s="125">
        <f>AVERAGE('Fires data'!EH$32:EH$41)</f>
        <v>0</v>
      </c>
      <c r="M17" s="125">
        <f>AVERAGE('Fires data'!EH$42:EH$53)</f>
        <v>0</v>
      </c>
      <c r="R17">
        <f>AVERAGE('Fires data'!EI$9:EI$21)</f>
        <v>0.9574863840774227</v>
      </c>
      <c r="S17">
        <f>AVERAGE('Fires data'!EI$22:EI$31)</f>
        <v>0.93362389268715085</v>
      </c>
      <c r="T17">
        <f>AVERAGE('Fires data'!EI$32:EI$41)</f>
        <v>0.88407394310479293</v>
      </c>
      <c r="U17">
        <f>AVERAGE('Fires data'!EI$42:EI$53)</f>
        <v>0.92509782092481663</v>
      </c>
      <c r="Z17" s="125">
        <f t="shared" si="0"/>
        <v>0.9574863840774227</v>
      </c>
      <c r="AA17" s="125">
        <f t="shared" si="1"/>
        <v>0.93362389268715085</v>
      </c>
      <c r="AB17" s="125">
        <f t="shared" si="2"/>
        <v>0.88407394310479293</v>
      </c>
      <c r="AC17" s="125">
        <f t="shared" si="3"/>
        <v>0.92509782092481663</v>
      </c>
      <c r="AE17" s="7">
        <v>2.4990410342280702</v>
      </c>
      <c r="AF17" s="9">
        <f t="shared" si="4"/>
        <v>0</v>
      </c>
      <c r="AG17">
        <f t="shared" si="5"/>
        <v>1.2935765610084957</v>
      </c>
    </row>
    <row r="18" spans="1:33" x14ac:dyDescent="0.2">
      <c r="A18" s="42" t="s">
        <v>47</v>
      </c>
      <c r="B18" s="1">
        <f>AVERAGE('Fires data'!S$9:S$21)</f>
        <v>92.230769230769226</v>
      </c>
      <c r="C18" s="1">
        <f>AVERAGE('Fires data'!S$22:S$31)</f>
        <v>119.5</v>
      </c>
      <c r="D18" s="1">
        <f>AVERAGE('Fires data'!S$32:S$41)</f>
        <v>149.5</v>
      </c>
      <c r="E18" s="1">
        <f>AVERAGE('Fires data'!S$42:S$53)</f>
        <v>116.75</v>
      </c>
      <c r="J18" s="125">
        <f>AVERAGE('Fires data'!EN$9:EN$21)</f>
        <v>0</v>
      </c>
      <c r="K18" s="125">
        <f>AVERAGE('Fires data'!EN$22:EN$31)</f>
        <v>0</v>
      </c>
      <c r="L18" s="125">
        <f>AVERAGE('Fires data'!EN$32:EN$41)</f>
        <v>0</v>
      </c>
      <c r="M18" s="125">
        <f>AVERAGE('Fires data'!EN$42:EN$53)</f>
        <v>3.421962153098587E-5</v>
      </c>
      <c r="R18">
        <f>AVERAGE('Fires data'!EO$9:EO$21)</f>
        <v>0.96169136156419366</v>
      </c>
      <c r="S18">
        <f>AVERAGE('Fires data'!EO$22:EO$31)</f>
        <v>0.9804097413761933</v>
      </c>
      <c r="T18">
        <f>AVERAGE('Fires data'!EO$32:EO$41)</f>
        <v>0.86654318248004614</v>
      </c>
      <c r="U18">
        <f>AVERAGE('Fires data'!EO$42:EO$53)</f>
        <v>0.98075172157725377</v>
      </c>
      <c r="Z18" s="125">
        <f t="shared" si="0"/>
        <v>0.96169136156419366</v>
      </c>
      <c r="AA18" s="125">
        <f t="shared" si="1"/>
        <v>0.9804097413761933</v>
      </c>
      <c r="AB18" s="125">
        <f t="shared" si="2"/>
        <v>0.86654318248004614</v>
      </c>
      <c r="AC18" s="125">
        <f t="shared" si="3"/>
        <v>0.98078594119878471</v>
      </c>
      <c r="AE18" s="7">
        <v>2.4844018360916418</v>
      </c>
      <c r="AF18" s="9">
        <f t="shared" si="4"/>
        <v>5.8497873350754313E-3</v>
      </c>
      <c r="AG18">
        <f t="shared" si="5"/>
        <v>1.4317337665226557</v>
      </c>
    </row>
    <row r="19" spans="1:33" x14ac:dyDescent="0.2">
      <c r="A19" s="42" t="s">
        <v>48</v>
      </c>
      <c r="B19" s="1">
        <f>AVERAGE('Fires data'!W$9:W$21)</f>
        <v>97</v>
      </c>
      <c r="C19" s="1">
        <f>AVERAGE('Fires data'!W$22:W$31)</f>
        <v>145.57142857142858</v>
      </c>
      <c r="D19" s="1">
        <f>AVERAGE('Fires data'!W$32:W$41)</f>
        <v>263.11111111111109</v>
      </c>
      <c r="E19" s="1">
        <f>AVERAGE('Fires data'!W$42:W$53)</f>
        <v>486.41666666666669</v>
      </c>
      <c r="J19" s="125">
        <f>AVERAGE('Fires data'!FZ$9:FZ$21)</f>
        <v>0</v>
      </c>
      <c r="K19" s="125">
        <f>AVERAGE('Fires data'!FZ$22:FZ$31)</f>
        <v>0</v>
      </c>
      <c r="L19" s="125">
        <f>AVERAGE('Fires data'!FZ$32:FZ$41)</f>
        <v>0</v>
      </c>
      <c r="M19" s="125">
        <f>AVERAGE('Fires data'!FZ$42:FZ$53)</f>
        <v>0</v>
      </c>
      <c r="R19">
        <f>AVERAGE('Fires data'!GA$9:GA$21)</f>
        <v>0.33033561919413984</v>
      </c>
      <c r="S19">
        <f>AVERAGE('Fires data'!GA$22:GA$31)</f>
        <v>0.51801444191844048</v>
      </c>
      <c r="T19">
        <f>AVERAGE('Fires data'!GA$32:GA$41)</f>
        <v>0.5178935748529041</v>
      </c>
      <c r="U19">
        <f>AVERAGE('Fires data'!GA$42:GA$53)</f>
        <v>0.58709937141852375</v>
      </c>
      <c r="Z19" s="125">
        <f t="shared" si="0"/>
        <v>0.33033561919413984</v>
      </c>
      <c r="AA19" s="125">
        <f t="shared" si="1"/>
        <v>0.51801444191844048</v>
      </c>
      <c r="AB19" s="125">
        <f t="shared" si="2"/>
        <v>0.5178935748529041</v>
      </c>
      <c r="AC19" s="125">
        <f t="shared" si="3"/>
        <v>0.58709937141852375</v>
      </c>
      <c r="AE19" s="7">
        <v>2.7468498677375019</v>
      </c>
      <c r="AF19" s="9">
        <f t="shared" si="4"/>
        <v>0</v>
      </c>
      <c r="AG19">
        <f t="shared" si="5"/>
        <v>0.87294416905333683</v>
      </c>
    </row>
    <row r="20" spans="1:33" x14ac:dyDescent="0.2">
      <c r="A20" s="42" t="s">
        <v>54</v>
      </c>
      <c r="B20" s="1">
        <f>AVERAGE('Fires data'!X$9:X$21)</f>
        <v>24.53846153846154</v>
      </c>
      <c r="C20" s="1">
        <f>AVERAGE('Fires data'!X$22:X$31)</f>
        <v>72.2</v>
      </c>
      <c r="D20" s="1">
        <f>AVERAGE('Fires data'!X$32:X$41)</f>
        <v>108.3</v>
      </c>
      <c r="E20" s="1">
        <f>AVERAGE('Fires data'!X$42:X$53)</f>
        <v>99.5</v>
      </c>
      <c r="J20" s="125">
        <f>AVERAGE('Fires data'!DB$9:DB$21)</f>
        <v>0</v>
      </c>
      <c r="K20" s="125">
        <f>AVERAGE('Fires data'!DB$22:DB$31)</f>
        <v>0</v>
      </c>
      <c r="L20" s="125">
        <f>AVERAGE('Fires data'!DB$32:DB$41)</f>
        <v>0</v>
      </c>
      <c r="M20" s="125">
        <f>AVERAGE('Fires data'!DB$42:DB$53)</f>
        <v>0</v>
      </c>
      <c r="R20">
        <f>AVERAGE('Fires data'!DC$9:DC$21)</f>
        <v>0.16742824472028259</v>
      </c>
      <c r="S20">
        <f>AVERAGE('Fires data'!DC$22:DC$31)</f>
        <v>0.2074424773828438</v>
      </c>
      <c r="T20">
        <f>AVERAGE('Fires data'!DC$32:DC$41)</f>
        <v>0.34279320687835479</v>
      </c>
      <c r="U20">
        <f>AVERAGE('Fires data'!DC$42:DC$53)</f>
        <v>0.45726810480280972</v>
      </c>
      <c r="Z20" s="125">
        <f t="shared" si="0"/>
        <v>0.16742824472028259</v>
      </c>
      <c r="AA20" s="125">
        <f t="shared" si="1"/>
        <v>0.2074424773828438</v>
      </c>
      <c r="AB20" s="125">
        <f t="shared" si="2"/>
        <v>0.34279320687835479</v>
      </c>
      <c r="AC20" s="125">
        <f t="shared" si="3"/>
        <v>0.45726810480280972</v>
      </c>
      <c r="AE20" s="7">
        <v>2.4470764000480121</v>
      </c>
      <c r="AF20" s="9">
        <f t="shared" si="4"/>
        <v>0</v>
      </c>
      <c r="AG20">
        <f t="shared" si="5"/>
        <v>0.74261407709052918</v>
      </c>
    </row>
    <row r="21" spans="1:33" x14ac:dyDescent="0.2">
      <c r="A21" s="42" t="s">
        <v>319</v>
      </c>
      <c r="B21" s="1">
        <f>AVERAGE('Fires data'!V$9:V$21)</f>
        <v>25.23076923076923</v>
      </c>
      <c r="C21" s="1">
        <f>AVERAGE('Fires data'!V$22:V$31)</f>
        <v>74</v>
      </c>
      <c r="D21" s="1">
        <f>AVERAGE('Fires data'!V$32:V$41)</f>
        <v>103.9</v>
      </c>
      <c r="E21" s="1">
        <f>AVERAGE('Fires data'!V$42:V$53)</f>
        <v>110.25</v>
      </c>
      <c r="J21" s="125">
        <f>AVERAGE('Fires data'!DN$9:DN$21)</f>
        <v>0</v>
      </c>
      <c r="K21" s="125">
        <f>AVERAGE('Fires data'!DN$22:DN$31)</f>
        <v>0</v>
      </c>
      <c r="L21" s="125">
        <f>AVERAGE('Fires data'!DN$32:DN$41)</f>
        <v>0</v>
      </c>
      <c r="M21" s="125">
        <f>AVERAGE('Fires data'!DN$42:DN$53)</f>
        <v>0</v>
      </c>
      <c r="R21">
        <f>AVERAGE('Fires data'!DO$9:DO$21)</f>
        <v>0.89218621361628381</v>
      </c>
      <c r="S21">
        <f>AVERAGE('Fires data'!DO$22:DO$31)</f>
        <v>0.83397508398284415</v>
      </c>
      <c r="T21">
        <f>AVERAGE('Fires data'!DO$32:DO$41)</f>
        <v>0.7597108806907491</v>
      </c>
      <c r="U21">
        <f>AVERAGE('Fires data'!DO$42:DO$53)</f>
        <v>0.64071118658612491</v>
      </c>
      <c r="Z21" s="125">
        <f t="shared" si="0"/>
        <v>0.89218621361628381</v>
      </c>
      <c r="AA21" s="125">
        <f t="shared" si="1"/>
        <v>0.83397508398284415</v>
      </c>
      <c r="AB21" s="125">
        <f t="shared" si="2"/>
        <v>0.7597108806907491</v>
      </c>
      <c r="AC21" s="125">
        <f t="shared" si="3"/>
        <v>0.64071118658612491</v>
      </c>
      <c r="AE21" s="7">
        <v>2.4712407925864674</v>
      </c>
      <c r="AF21" s="9">
        <f t="shared" si="4"/>
        <v>0</v>
      </c>
      <c r="AG21">
        <f t="shared" si="5"/>
        <v>0.92803619777323476</v>
      </c>
    </row>
    <row r="22" spans="1:33" x14ac:dyDescent="0.2">
      <c r="A22" s="42" t="s">
        <v>318</v>
      </c>
      <c r="B22" s="1">
        <f>AVERAGE('Fires data'!U$9:U$21)</f>
        <v>21.307692307692307</v>
      </c>
      <c r="C22" s="1">
        <f>AVERAGE('Fires data'!U$22:U$31)</f>
        <v>60.5</v>
      </c>
      <c r="D22" s="1">
        <f>AVERAGE('Fires data'!U$32:U$41)</f>
        <v>111.3</v>
      </c>
      <c r="E22" s="1">
        <f>AVERAGE('Fires data'!U$42:U$53)</f>
        <v>206.08333333333334</v>
      </c>
      <c r="J22" s="125">
        <f>AVERAGE('Fires data'!DH$9:DH$21)</f>
        <v>0</v>
      </c>
      <c r="K22" s="125">
        <f>AVERAGE('Fires data'!DH$22:DH$31)</f>
        <v>0</v>
      </c>
      <c r="L22" s="125">
        <f>AVERAGE('Fires data'!DH$32:DH$41)</f>
        <v>0</v>
      </c>
      <c r="M22" s="125">
        <f>AVERAGE('Fires data'!DH$42:DH$53)</f>
        <v>0</v>
      </c>
      <c r="R22">
        <f>AVERAGE('Fires data'!DI$9:DI$21)</f>
        <v>0.46730891061610685</v>
      </c>
      <c r="S22">
        <f>AVERAGE('Fires data'!DI$22:DI$31)</f>
        <v>0.41253766793384172</v>
      </c>
      <c r="T22">
        <f>AVERAGE('Fires data'!DI$32:DI$41)</f>
        <v>0.50665236611245035</v>
      </c>
      <c r="U22">
        <f>AVERAGE('Fires data'!DI$42:DI$53)</f>
        <v>0.38200712893508554</v>
      </c>
      <c r="Z22" s="125">
        <f t="shared" si="0"/>
        <v>0.46730891061610685</v>
      </c>
      <c r="AA22" s="125">
        <f t="shared" si="1"/>
        <v>0.41253766793384172</v>
      </c>
      <c r="AB22" s="125">
        <f t="shared" si="2"/>
        <v>0.50665236611245035</v>
      </c>
      <c r="AC22" s="125">
        <f t="shared" si="3"/>
        <v>0.38200712893508554</v>
      </c>
      <c r="AE22" s="7">
        <v>2.6030127974244137</v>
      </c>
      <c r="AF22" s="9">
        <f t="shared" si="4"/>
        <v>0</v>
      </c>
      <c r="AG22">
        <f t="shared" si="5"/>
        <v>0.66628174567158283</v>
      </c>
    </row>
    <row r="23" spans="1:33" ht="13.5" thickBot="1" x14ac:dyDescent="0.25">
      <c r="A23" s="42" t="s">
        <v>349</v>
      </c>
      <c r="B23" s="1">
        <f>AVERAGE('Fires data'!AB$9:AB$21)</f>
        <v>124.11111111111111</v>
      </c>
      <c r="C23" s="1">
        <f>AVERAGE('Fires data'!AB$22:AB$31)</f>
        <v>505</v>
      </c>
      <c r="D23" s="1">
        <f>AVERAGE('Fires data'!AB$32:AB$41)</f>
        <v>169.22222222222223</v>
      </c>
      <c r="E23" s="1">
        <f>AVERAGE('Fires data'!AB$42:AB$53)</f>
        <v>148.41666666666666</v>
      </c>
      <c r="J23" s="125">
        <f>AVERAGE('Fires data'!HA$9:HA$21)</f>
        <v>1.2385517919264205E-2</v>
      </c>
      <c r="K23" s="125">
        <f>AVERAGE('Fires data'!HA$22:HA$31)</f>
        <v>1.3991465241569587E-2</v>
      </c>
      <c r="L23" s="125">
        <f>AVERAGE('Fires data'!HA$32:HA$41)</f>
        <v>2.0394272876447007E-2</v>
      </c>
      <c r="M23" s="125">
        <f>AVERAGE('Fires data'!HA$42:HA$53)</f>
        <v>0.11422745481590343</v>
      </c>
      <c r="R23">
        <f>AVERAGE('Fires data'!HB$9:HB$21)</f>
        <v>0.92325035453187576</v>
      </c>
      <c r="S23">
        <f>AVERAGE('Fires data'!HB$22:HB$31)</f>
        <v>0.96083054886066732</v>
      </c>
      <c r="T23">
        <f>AVERAGE('Fires data'!HB$32:HB$41)</f>
        <v>0.95392137595821047</v>
      </c>
      <c r="U23">
        <f>AVERAGE('Fires data'!HB$42:HB$53)</f>
        <v>0.8605563272721054</v>
      </c>
      <c r="Z23" s="125">
        <f t="shared" si="0"/>
        <v>0.93563587245113999</v>
      </c>
      <c r="AA23" s="125">
        <f t="shared" si="1"/>
        <v>0.9748220141022369</v>
      </c>
      <c r="AB23" s="125">
        <f t="shared" si="2"/>
        <v>0.97431564883465749</v>
      </c>
      <c r="AC23" s="125">
        <f t="shared" si="3"/>
        <v>0.97478378208800887</v>
      </c>
      <c r="AE23" s="3">
        <v>2.5370609508984123</v>
      </c>
      <c r="AF23" s="9">
        <f t="shared" si="4"/>
        <v>0.34476500936018334</v>
      </c>
      <c r="AG23">
        <f t="shared" si="5"/>
        <v>1.4113251131283633</v>
      </c>
    </row>
    <row r="24" spans="1:33" x14ac:dyDescent="0.2">
      <c r="A24" s="42"/>
      <c r="B24" s="1"/>
      <c r="C24" s="1"/>
      <c r="D24" s="1"/>
      <c r="E24" s="1"/>
      <c r="J24" s="125"/>
      <c r="K24" s="125"/>
      <c r="L24" s="125"/>
      <c r="M24" s="125"/>
      <c r="Z24" s="125"/>
      <c r="AA24" s="125"/>
      <c r="AB24" s="125"/>
      <c r="AC24" s="125"/>
    </row>
    <row r="25" spans="1:33" x14ac:dyDescent="0.2">
      <c r="A25" s="130" t="s">
        <v>49</v>
      </c>
      <c r="B25" s="131">
        <f>AVERAGE('Fires data'!AA$9:AA$21)</f>
        <v>68.461538461538467</v>
      </c>
      <c r="C25" s="131">
        <f>AVERAGE('Fires data'!AA$22:AA$31)</f>
        <v>211.14285714285714</v>
      </c>
      <c r="D25" s="131">
        <f>AVERAGE('Fires data'!AA$32:AA$41)</f>
        <v>49.222222222222221</v>
      </c>
      <c r="E25" s="131">
        <f>AVERAGE('Fires data'!AA$42:AA$53)</f>
        <v>67.416666666666671</v>
      </c>
      <c r="F25" s="132"/>
      <c r="G25" s="132"/>
      <c r="H25" s="132"/>
      <c r="I25" s="132"/>
      <c r="J25" s="133">
        <f>AVERAGE('Fires data'!GT$9:GT$21)</f>
        <v>2.2923320282395767E-2</v>
      </c>
      <c r="K25" s="133">
        <f>AVERAGE('Fires data'!GT$22:GT$31)</f>
        <v>2.9463241585416928E-2</v>
      </c>
      <c r="L25" s="133">
        <f>AVERAGE('Fires data'!GT$32:GT$41)</f>
        <v>4.039940632319669E-2</v>
      </c>
      <c r="M25" s="133">
        <f>AVERAGE('Fires data'!GT$42:GT$53)</f>
        <v>0.22836914176883089</v>
      </c>
      <c r="N25" s="132"/>
      <c r="O25" s="132"/>
      <c r="P25" s="132"/>
      <c r="Q25" s="132"/>
      <c r="R25" s="132">
        <f>AVERAGE('Fires data'!GV$9:GV$21)</f>
        <v>0.96576431792200113</v>
      </c>
      <c r="S25" s="132">
        <f>AVERAGE('Fires data'!GV$22:GV$31)</f>
        <v>0.96656599596515802</v>
      </c>
      <c r="T25" s="132">
        <f>AVERAGE('Fires data'!GV$32:GV$41)</f>
        <v>0.95431006319444456</v>
      </c>
      <c r="U25" s="132">
        <f>AVERAGE('Fires data'!GV$42:GV$53)</f>
        <v>0.74512729164254332</v>
      </c>
      <c r="Z25" s="125">
        <f t="shared" ref="Z25:Z27" si="6">J25+R25</f>
        <v>0.98868763820439687</v>
      </c>
      <c r="AA25" s="125">
        <f t="shared" ref="AA25:AA27" si="7">K25+S25</f>
        <v>0.99602923755057493</v>
      </c>
      <c r="AB25" s="125">
        <f t="shared" ref="AB25:AB27" si="8">L25+T25</f>
        <v>0.99470946951764128</v>
      </c>
      <c r="AC25" s="125">
        <f t="shared" ref="AC25:AC27" si="9">M25+U25</f>
        <v>0.97349643341137426</v>
      </c>
    </row>
    <row r="26" spans="1:33" x14ac:dyDescent="0.2">
      <c r="A26" s="130" t="s">
        <v>55</v>
      </c>
      <c r="B26" s="131">
        <f>AVERAGE('Fires data'!Y$9:Y$21)</f>
        <v>25.444444444444443</v>
      </c>
      <c r="C26" s="131">
        <f>AVERAGE('Fires data'!Y$22:Y$31)</f>
        <v>95</v>
      </c>
      <c r="D26" s="131">
        <f>AVERAGE('Fires data'!Y$32:Y$41)</f>
        <v>47.9</v>
      </c>
      <c r="E26" s="131">
        <f>AVERAGE('Fires data'!Y$42:Y$53)</f>
        <v>39</v>
      </c>
      <c r="F26" s="132"/>
      <c r="G26" s="132"/>
      <c r="H26" s="132"/>
      <c r="I26" s="132"/>
      <c r="J26" s="133">
        <f>AVERAGE('Fires data'!GF$9:GF$21)</f>
        <v>0</v>
      </c>
      <c r="K26" s="133">
        <f>AVERAGE('Fires data'!GF$22:GF$31)</f>
        <v>0</v>
      </c>
      <c r="L26" s="133">
        <f>AVERAGE('Fires data'!GF$32:GF$41)</f>
        <v>1.4064697609001408E-5</v>
      </c>
      <c r="M26" s="133">
        <f>AVERAGE('Fires data'!GF$42:GF$53)</f>
        <v>9.68909506540876E-3</v>
      </c>
      <c r="N26" s="132"/>
      <c r="O26" s="132"/>
      <c r="P26" s="132"/>
      <c r="Q26" s="132"/>
      <c r="R26" s="132">
        <f>AVERAGE('Fires data'!GH$9:GH$21)</f>
        <v>0.74432810982865094</v>
      </c>
      <c r="S26" s="132">
        <f>AVERAGE('Fires data'!GH$22:GH$31)</f>
        <v>0.89047998469049106</v>
      </c>
      <c r="T26" s="132">
        <f>AVERAGE('Fires data'!GH$32:GH$41)</f>
        <v>0.88800419188156854</v>
      </c>
      <c r="U26" s="132">
        <f>AVERAGE('Fires data'!GH$42:GH$53)</f>
        <v>0.93199031871885696</v>
      </c>
      <c r="Z26" s="125">
        <f t="shared" si="6"/>
        <v>0.74432810982865094</v>
      </c>
      <c r="AA26" s="125">
        <f t="shared" si="7"/>
        <v>0.89047998469049106</v>
      </c>
      <c r="AB26" s="125">
        <f t="shared" si="8"/>
        <v>0.88801825657917755</v>
      </c>
      <c r="AC26" s="125">
        <f t="shared" si="9"/>
        <v>0.94167941378426567</v>
      </c>
    </row>
    <row r="27" spans="1:33" x14ac:dyDescent="0.2">
      <c r="A27" s="130" t="s">
        <v>56</v>
      </c>
      <c r="B27" s="131">
        <f>AVERAGE('Fires data'!Z$9:Z$21)</f>
        <v>32.53846153846154</v>
      </c>
      <c r="C27" s="131">
        <f>AVERAGE('Fires data'!Z$22:Z$31)</f>
        <v>96</v>
      </c>
      <c r="D27" s="131">
        <f>AVERAGE('Fires data'!Z$32:Z$41)</f>
        <v>70</v>
      </c>
      <c r="E27" s="131">
        <f>AVERAGE('Fires data'!Z$42:Z$53)</f>
        <v>42</v>
      </c>
      <c r="F27" s="132"/>
      <c r="G27" s="132"/>
      <c r="H27" s="132"/>
      <c r="I27" s="132"/>
      <c r="J27" s="133">
        <f>AVERAGE('Fires data'!GM$9:GM$21)</f>
        <v>0</v>
      </c>
      <c r="K27" s="133">
        <f>AVERAGE('Fires data'!GM$22:GM$31)</f>
        <v>0</v>
      </c>
      <c r="L27" s="133">
        <f>AVERAGE('Fires data'!GM$32:GM$41)</f>
        <v>1.185127607902999E-3</v>
      </c>
      <c r="M27" s="133">
        <f>AVERAGE('Fires data'!GM$42:GM$53)</f>
        <v>9.2720021863692739E-3</v>
      </c>
      <c r="N27" s="132"/>
      <c r="O27" s="132"/>
      <c r="P27" s="132"/>
      <c r="Q27" s="132"/>
      <c r="R27" s="132">
        <f>AVERAGE('Fires data'!GO$9:GO$21)</f>
        <v>0.92305034711729572</v>
      </c>
      <c r="S27" s="132">
        <f>AVERAGE('Fires data'!GO$22:GO$31)</f>
        <v>0.97033154309013725</v>
      </c>
      <c r="T27" s="132">
        <f>AVERAGE('Fires data'!GO$32:GO$41)</f>
        <v>0.97261725785161479</v>
      </c>
      <c r="U27" s="132">
        <f>AVERAGE('Fires data'!GO$42:GO$53)</f>
        <v>0.97028611005345022</v>
      </c>
      <c r="Z27" s="125">
        <f t="shared" si="6"/>
        <v>0.92305034711729572</v>
      </c>
      <c r="AA27" s="125">
        <f t="shared" si="7"/>
        <v>0.97033154309013725</v>
      </c>
      <c r="AB27" s="125">
        <f t="shared" si="8"/>
        <v>0.97380238545951781</v>
      </c>
      <c r="AC27" s="125">
        <f t="shared" si="9"/>
        <v>0.97955811223981948</v>
      </c>
    </row>
  </sheetData>
  <pageMargins left="0.7" right="0.7" top="0.75" bottom="0.75" header="0.3" footer="0.3"/>
  <pageSetup paperSize="9" orientation="portrait" verticalDpi="1200" r:id="rId1"/>
  <ignoredErrors>
    <ignoredError sqref="A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4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0</v>
      </c>
      <c r="D1" s="1">
        <v>0</v>
      </c>
    </row>
    <row r="2" spans="1:4" x14ac:dyDescent="0.2">
      <c r="A2" s="1">
        <v>0</v>
      </c>
      <c r="B2" s="1">
        <v>16</v>
      </c>
      <c r="C2" s="1">
        <v>0</v>
      </c>
      <c r="D2" s="1">
        <v>12</v>
      </c>
    </row>
    <row r="3" spans="1:4" x14ac:dyDescent="0.2">
      <c r="A3" s="1">
        <v>1600</v>
      </c>
      <c r="B3" s="1">
        <v>16</v>
      </c>
      <c r="C3" s="1">
        <v>2600</v>
      </c>
      <c r="D3" s="1">
        <v>12</v>
      </c>
    </row>
    <row r="4" spans="1:4" x14ac:dyDescent="0.2">
      <c r="A4" s="1">
        <v>1600</v>
      </c>
      <c r="B4" s="1">
        <v>0</v>
      </c>
      <c r="C4" s="1">
        <v>2600</v>
      </c>
      <c r="D4" s="1">
        <v>0</v>
      </c>
    </row>
    <row r="5" spans="1:4" x14ac:dyDescent="0.2">
      <c r="A5" s="1">
        <v>1600</v>
      </c>
      <c r="B5" s="1">
        <v>8</v>
      </c>
      <c r="C5" s="1">
        <v>2600</v>
      </c>
      <c r="D5" s="1">
        <v>6</v>
      </c>
    </row>
    <row r="6" spans="1:4" x14ac:dyDescent="0.2">
      <c r="A6" s="1">
        <v>3200</v>
      </c>
      <c r="B6" s="1">
        <v>8</v>
      </c>
      <c r="C6" s="1">
        <v>5200</v>
      </c>
      <c r="D6" s="1">
        <v>6</v>
      </c>
    </row>
    <row r="7" spans="1:4" x14ac:dyDescent="0.2">
      <c r="A7" s="1">
        <v>3200</v>
      </c>
      <c r="B7" s="1">
        <v>0</v>
      </c>
      <c r="C7" s="1">
        <v>5200</v>
      </c>
      <c r="D7" s="1">
        <v>0</v>
      </c>
    </row>
    <row r="8" spans="1:4" x14ac:dyDescent="0.2">
      <c r="A8" s="1">
        <v>3200</v>
      </c>
      <c r="B8" s="1">
        <v>10</v>
      </c>
      <c r="C8" s="1">
        <v>5200</v>
      </c>
      <c r="D8" s="1">
        <v>5</v>
      </c>
    </row>
    <row r="9" spans="1:4" x14ac:dyDescent="0.2">
      <c r="A9" s="1">
        <v>4800</v>
      </c>
      <c r="B9" s="1">
        <v>10</v>
      </c>
      <c r="C9" s="1">
        <v>7800</v>
      </c>
      <c r="D9" s="1">
        <v>5</v>
      </c>
    </row>
    <row r="10" spans="1:4" x14ac:dyDescent="0.2">
      <c r="A10" s="1">
        <v>4800</v>
      </c>
      <c r="B10" s="1">
        <v>0</v>
      </c>
      <c r="C10" s="1">
        <v>7800</v>
      </c>
      <c r="D10" s="1">
        <v>0</v>
      </c>
    </row>
    <row r="11" spans="1:4" x14ac:dyDescent="0.2">
      <c r="A11" s="1">
        <v>4800</v>
      </c>
      <c r="B11" s="1">
        <v>3</v>
      </c>
      <c r="C11" s="1">
        <v>7800</v>
      </c>
      <c r="D11" s="1">
        <v>4</v>
      </c>
    </row>
    <row r="12" spans="1:4" x14ac:dyDescent="0.2">
      <c r="A12" s="1">
        <v>6400</v>
      </c>
      <c r="B12" s="1">
        <v>3</v>
      </c>
      <c r="C12" s="1">
        <v>10400</v>
      </c>
      <c r="D12" s="1">
        <v>4</v>
      </c>
    </row>
    <row r="13" spans="1:4" x14ac:dyDescent="0.2">
      <c r="A13" s="1">
        <v>6400</v>
      </c>
      <c r="B13" s="1">
        <v>0</v>
      </c>
      <c r="C13" s="1">
        <v>10400</v>
      </c>
      <c r="D13" s="1">
        <v>0</v>
      </c>
    </row>
    <row r="14" spans="1:4" x14ac:dyDescent="0.2">
      <c r="A14" s="1">
        <v>6400</v>
      </c>
      <c r="B14" s="1">
        <v>1</v>
      </c>
      <c r="C14" s="1">
        <v>10400</v>
      </c>
      <c r="D14" s="1">
        <v>7</v>
      </c>
    </row>
    <row r="15" spans="1:4" x14ac:dyDescent="0.2">
      <c r="A15" s="1">
        <v>8000</v>
      </c>
      <c r="B15" s="1">
        <v>1</v>
      </c>
      <c r="C15" s="1">
        <v>13000</v>
      </c>
      <c r="D15" s="1">
        <v>7</v>
      </c>
    </row>
    <row r="16" spans="1:4" x14ac:dyDescent="0.2">
      <c r="A16" s="1">
        <v>8000</v>
      </c>
      <c r="B16" s="1">
        <v>0</v>
      </c>
      <c r="C16" s="1">
        <v>13000</v>
      </c>
      <c r="D16" s="1">
        <v>0</v>
      </c>
    </row>
    <row r="17" spans="1:4" x14ac:dyDescent="0.2">
      <c r="A17" s="1">
        <v>8000</v>
      </c>
      <c r="B17" s="1">
        <v>5</v>
      </c>
      <c r="C17" s="1">
        <v>13000</v>
      </c>
      <c r="D17" s="1">
        <v>2</v>
      </c>
    </row>
    <row r="18" spans="1:4" x14ac:dyDescent="0.2">
      <c r="A18" s="1">
        <v>9600</v>
      </c>
      <c r="B18" s="1">
        <v>5</v>
      </c>
      <c r="C18" s="1">
        <v>15600</v>
      </c>
      <c r="D18" s="1">
        <v>2</v>
      </c>
    </row>
    <row r="19" spans="1:4" x14ac:dyDescent="0.2">
      <c r="A19" s="1">
        <v>9600</v>
      </c>
      <c r="B19" s="1">
        <v>0</v>
      </c>
      <c r="C19" s="1">
        <v>15600</v>
      </c>
      <c r="D19" s="1">
        <v>0</v>
      </c>
    </row>
    <row r="20" spans="1:4" x14ac:dyDescent="0.2">
      <c r="A20" s="1">
        <v>9600</v>
      </c>
      <c r="B20" s="1">
        <v>4</v>
      </c>
      <c r="C20" s="1">
        <v>15600</v>
      </c>
      <c r="D20" s="1">
        <v>6</v>
      </c>
    </row>
    <row r="21" spans="1:4" x14ac:dyDescent="0.2">
      <c r="A21" s="1">
        <v>11200</v>
      </c>
      <c r="B21" s="1">
        <v>4</v>
      </c>
      <c r="C21" s="1">
        <v>18200</v>
      </c>
      <c r="D21" s="1">
        <v>6</v>
      </c>
    </row>
    <row r="22" spans="1:4" x14ac:dyDescent="0.2">
      <c r="A22" s="1">
        <v>11200</v>
      </c>
      <c r="B22" s="1">
        <v>0</v>
      </c>
      <c r="C22" s="1">
        <v>18200</v>
      </c>
      <c r="D22" s="1">
        <v>0</v>
      </c>
    </row>
    <row r="23" spans="1:4" x14ac:dyDescent="0.2">
      <c r="A23" s="1">
        <v>11200</v>
      </c>
      <c r="B23" s="1">
        <v>2</v>
      </c>
      <c r="C23" s="1">
        <v>18200</v>
      </c>
      <c r="D23" s="1">
        <v>6</v>
      </c>
    </row>
    <row r="24" spans="1:4" x14ac:dyDescent="0.2">
      <c r="A24" s="1">
        <v>12800</v>
      </c>
      <c r="B24" s="1">
        <v>2</v>
      </c>
      <c r="C24" s="1">
        <v>20800</v>
      </c>
      <c r="D24" s="1">
        <v>6</v>
      </c>
    </row>
    <row r="25" spans="1:4" x14ac:dyDescent="0.2">
      <c r="A25" s="1">
        <v>12800</v>
      </c>
      <c r="B25" s="1">
        <v>0</v>
      </c>
      <c r="C25" s="1">
        <v>20800</v>
      </c>
      <c r="D25" s="1">
        <v>0</v>
      </c>
    </row>
    <row r="26" spans="1:4" x14ac:dyDescent="0.2">
      <c r="A26" s="1">
        <v>12800</v>
      </c>
      <c r="B26" s="1">
        <v>2</v>
      </c>
      <c r="C26" s="1">
        <v>20800</v>
      </c>
      <c r="D26" s="1">
        <v>3</v>
      </c>
    </row>
    <row r="27" spans="1:4" x14ac:dyDescent="0.2">
      <c r="A27" s="1">
        <v>14400</v>
      </c>
      <c r="B27" s="1">
        <v>2</v>
      </c>
      <c r="C27" s="1">
        <v>23400</v>
      </c>
      <c r="D27" s="1">
        <v>3</v>
      </c>
    </row>
    <row r="28" spans="1:4" x14ac:dyDescent="0.2">
      <c r="A28" s="1">
        <v>14400</v>
      </c>
      <c r="B28" s="1">
        <v>0</v>
      </c>
      <c r="C28" s="1">
        <v>23400</v>
      </c>
      <c r="D28" s="1">
        <v>0</v>
      </c>
    </row>
    <row r="29" spans="1:4" x14ac:dyDescent="0.2">
      <c r="A29" s="1">
        <v>14400</v>
      </c>
      <c r="B29" s="1">
        <v>1</v>
      </c>
      <c r="C29" s="1">
        <v>23400</v>
      </c>
      <c r="D29" s="1">
        <v>3</v>
      </c>
    </row>
    <row r="30" spans="1:4" x14ac:dyDescent="0.2">
      <c r="A30" s="1">
        <v>16000</v>
      </c>
      <c r="B30" s="1">
        <v>1</v>
      </c>
      <c r="C30" s="1">
        <v>26000</v>
      </c>
      <c r="D30" s="1">
        <v>3</v>
      </c>
    </row>
    <row r="31" spans="1:4" x14ac:dyDescent="0.2">
      <c r="A31" s="1">
        <v>16000</v>
      </c>
      <c r="B31" s="1">
        <v>0</v>
      </c>
      <c r="C31" s="1">
        <v>26000</v>
      </c>
      <c r="D31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5"/>
  <dimension ref="D1:H52"/>
  <sheetViews>
    <sheetView workbookViewId="0"/>
  </sheetViews>
  <sheetFormatPr defaultRowHeight="12.75" x14ac:dyDescent="0.2"/>
  <sheetData>
    <row r="1" spans="4:8" x14ac:dyDescent="0.2">
      <c r="D1" s="1">
        <v>1680</v>
      </c>
      <c r="E1" s="1">
        <v>356</v>
      </c>
      <c r="G1" s="1">
        <v>356</v>
      </c>
      <c r="H1" s="1">
        <v>1680</v>
      </c>
    </row>
    <row r="2" spans="4:8" x14ac:dyDescent="0.2">
      <c r="D2" s="1">
        <v>2022</v>
      </c>
      <c r="E2" s="1">
        <v>471</v>
      </c>
      <c r="G2" s="1">
        <v>471</v>
      </c>
      <c r="H2" s="1">
        <v>2022</v>
      </c>
    </row>
    <row r="3" spans="4:8" x14ac:dyDescent="0.2">
      <c r="D3" s="1">
        <v>1302</v>
      </c>
      <c r="E3" s="1">
        <v>230</v>
      </c>
      <c r="G3" s="1">
        <v>230</v>
      </c>
      <c r="H3" s="1">
        <v>1302</v>
      </c>
    </row>
    <row r="4" spans="4:8" x14ac:dyDescent="0.2">
      <c r="D4" s="1">
        <v>1645</v>
      </c>
      <c r="E4" s="1">
        <v>264</v>
      </c>
      <c r="G4" s="1">
        <v>264</v>
      </c>
      <c r="H4" s="1">
        <v>1645</v>
      </c>
    </row>
    <row r="5" spans="4:8" x14ac:dyDescent="0.2">
      <c r="D5" s="1">
        <v>1686</v>
      </c>
      <c r="E5" s="1">
        <v>212</v>
      </c>
      <c r="G5" s="1">
        <v>212</v>
      </c>
      <c r="H5" s="1">
        <v>1686</v>
      </c>
    </row>
    <row r="6" spans="4:8" x14ac:dyDescent="0.2">
      <c r="D6" s="1">
        <v>1443</v>
      </c>
      <c r="E6" s="1">
        <v>180</v>
      </c>
      <c r="G6" s="1">
        <v>180</v>
      </c>
      <c r="H6" s="1">
        <v>1443</v>
      </c>
    </row>
    <row r="7" spans="4:8" x14ac:dyDescent="0.2">
      <c r="D7" s="1">
        <v>2299</v>
      </c>
      <c r="E7" s="1">
        <v>400</v>
      </c>
      <c r="G7" s="1">
        <v>400</v>
      </c>
      <c r="H7" s="1">
        <v>2299</v>
      </c>
    </row>
    <row r="8" spans="4:8" x14ac:dyDescent="0.2">
      <c r="D8" s="1">
        <v>2109</v>
      </c>
      <c r="E8" s="1">
        <v>376</v>
      </c>
      <c r="G8" s="1">
        <v>376</v>
      </c>
      <c r="H8" s="1">
        <v>2109</v>
      </c>
    </row>
    <row r="9" spans="4:8" x14ac:dyDescent="0.2">
      <c r="D9" s="1">
        <v>1494</v>
      </c>
      <c r="E9" s="1">
        <v>513</v>
      </c>
      <c r="G9" s="1">
        <v>513</v>
      </c>
      <c r="H9" s="1">
        <v>1494</v>
      </c>
    </row>
    <row r="10" spans="4:8" x14ac:dyDescent="0.2">
      <c r="D10" s="1">
        <v>3203</v>
      </c>
      <c r="E10" s="1">
        <v>1165</v>
      </c>
      <c r="G10" s="1">
        <v>1165</v>
      </c>
      <c r="H10" s="1">
        <v>3203</v>
      </c>
    </row>
    <row r="11" spans="4:8" x14ac:dyDescent="0.2">
      <c r="D11" s="1">
        <v>1714</v>
      </c>
      <c r="E11" s="1">
        <v>459</v>
      </c>
      <c r="G11" s="1">
        <v>459</v>
      </c>
      <c r="H11" s="1">
        <v>1714</v>
      </c>
    </row>
    <row r="12" spans="4:8" x14ac:dyDescent="0.2">
      <c r="D12" s="1">
        <v>2148</v>
      </c>
      <c r="E12" s="1">
        <v>1104</v>
      </c>
      <c r="G12" s="1">
        <v>1104</v>
      </c>
      <c r="H12" s="1">
        <v>2148</v>
      </c>
    </row>
    <row r="13" spans="4:8" x14ac:dyDescent="0.2">
      <c r="D13" s="1">
        <v>3765</v>
      </c>
      <c r="E13" s="1">
        <v>1449</v>
      </c>
      <c r="G13" s="1">
        <v>1449</v>
      </c>
      <c r="H13" s="1">
        <v>3765</v>
      </c>
    </row>
    <row r="14" spans="4:8" x14ac:dyDescent="0.2">
      <c r="D14" s="1">
        <v>3980</v>
      </c>
      <c r="E14" s="1">
        <v>1414</v>
      </c>
      <c r="G14" s="1">
        <v>1414</v>
      </c>
      <c r="H14" s="1">
        <v>3980</v>
      </c>
    </row>
    <row r="15" spans="4:8" x14ac:dyDescent="0.2">
      <c r="D15" s="1">
        <v>4242</v>
      </c>
      <c r="E15" s="1">
        <v>1923</v>
      </c>
      <c r="G15" s="1">
        <v>1923</v>
      </c>
      <c r="H15" s="1">
        <v>4242</v>
      </c>
    </row>
    <row r="16" spans="4:8" x14ac:dyDescent="0.2">
      <c r="D16" s="1">
        <v>4596</v>
      </c>
      <c r="E16" s="1">
        <v>2146</v>
      </c>
      <c r="G16" s="1">
        <v>2146</v>
      </c>
      <c r="H16" s="1">
        <v>4596</v>
      </c>
    </row>
    <row r="17" spans="4:8" x14ac:dyDescent="0.2">
      <c r="D17" s="1">
        <v>2148</v>
      </c>
      <c r="E17" s="1">
        <v>402</v>
      </c>
      <c r="G17" s="1">
        <v>402</v>
      </c>
      <c r="H17" s="1">
        <v>2148</v>
      </c>
    </row>
    <row r="18" spans="4:8" x14ac:dyDescent="0.2">
      <c r="D18" s="1">
        <v>8324</v>
      </c>
      <c r="E18" s="1">
        <v>3642</v>
      </c>
      <c r="G18" s="1">
        <v>3642</v>
      </c>
      <c r="H18" s="1">
        <v>8324</v>
      </c>
    </row>
    <row r="19" spans="4:8" x14ac:dyDescent="0.2">
      <c r="D19" s="1">
        <v>7167</v>
      </c>
      <c r="E19" s="1">
        <v>3506</v>
      </c>
      <c r="G19" s="1">
        <v>3506</v>
      </c>
      <c r="H19" s="1">
        <v>7167</v>
      </c>
    </row>
    <row r="20" spans="4:8" x14ac:dyDescent="0.2">
      <c r="D20" s="1">
        <v>7193</v>
      </c>
      <c r="E20" s="1">
        <v>1974</v>
      </c>
      <c r="G20" s="1">
        <v>1974</v>
      </c>
      <c r="H20" s="1">
        <v>7193</v>
      </c>
    </row>
    <row r="21" spans="4:8" x14ac:dyDescent="0.2">
      <c r="D21" s="1">
        <v>10882</v>
      </c>
      <c r="E21" s="1">
        <v>5086</v>
      </c>
      <c r="G21" s="1">
        <v>5086</v>
      </c>
      <c r="H21" s="1">
        <v>10882</v>
      </c>
    </row>
    <row r="22" spans="4:8" x14ac:dyDescent="0.2">
      <c r="D22" s="1">
        <v>6443</v>
      </c>
      <c r="E22" s="1">
        <v>2394</v>
      </c>
      <c r="G22" s="1">
        <v>2394</v>
      </c>
      <c r="H22" s="1">
        <v>6443</v>
      </c>
    </row>
    <row r="23" spans="4:8" x14ac:dyDescent="0.2">
      <c r="D23" s="1">
        <v>4880</v>
      </c>
      <c r="E23" s="1">
        <v>841</v>
      </c>
      <c r="G23" s="1">
        <v>841</v>
      </c>
      <c r="H23" s="1">
        <v>4880</v>
      </c>
    </row>
    <row r="24" spans="4:8" x14ac:dyDescent="0.2">
      <c r="D24" s="1">
        <v>7224</v>
      </c>
      <c r="E24" s="1">
        <v>2924</v>
      </c>
      <c r="G24" s="1">
        <v>2924</v>
      </c>
      <c r="H24" s="1">
        <v>7224</v>
      </c>
    </row>
    <row r="25" spans="4:8" x14ac:dyDescent="0.2">
      <c r="D25" s="1">
        <v>12284</v>
      </c>
      <c r="E25" s="1">
        <v>4721</v>
      </c>
      <c r="G25" s="1">
        <v>4721</v>
      </c>
      <c r="H25" s="1">
        <v>12284</v>
      </c>
    </row>
    <row r="26" spans="4:8" x14ac:dyDescent="0.2">
      <c r="D26" s="1">
        <v>7574</v>
      </c>
      <c r="E26" s="1">
        <v>2370</v>
      </c>
      <c r="G26" s="1">
        <v>2370</v>
      </c>
      <c r="H26" s="1">
        <v>7574</v>
      </c>
    </row>
    <row r="27" spans="4:8" x14ac:dyDescent="0.2">
      <c r="D27" s="1">
        <v>8679</v>
      </c>
      <c r="E27" s="1">
        <v>3900</v>
      </c>
      <c r="G27" s="1">
        <v>3900</v>
      </c>
      <c r="H27" s="1">
        <v>8679</v>
      </c>
    </row>
    <row r="28" spans="4:8" x14ac:dyDescent="0.2">
      <c r="D28" s="1">
        <v>9595</v>
      </c>
      <c r="E28" s="1">
        <v>3895</v>
      </c>
      <c r="G28" s="1">
        <v>3895</v>
      </c>
      <c r="H28" s="1">
        <v>9595</v>
      </c>
    </row>
    <row r="29" spans="4:8" x14ac:dyDescent="0.2">
      <c r="D29" s="1">
        <v>20384</v>
      </c>
      <c r="E29" s="1">
        <v>8243</v>
      </c>
      <c r="G29" s="1">
        <v>8243</v>
      </c>
      <c r="H29" s="1">
        <v>20384</v>
      </c>
    </row>
    <row r="30" spans="4:8" x14ac:dyDescent="0.2">
      <c r="D30" s="1">
        <v>12474</v>
      </c>
      <c r="E30" s="1">
        <v>4045</v>
      </c>
      <c r="G30" s="1">
        <v>4045</v>
      </c>
      <c r="H30" s="1">
        <v>12474</v>
      </c>
    </row>
    <row r="31" spans="4:8" x14ac:dyDescent="0.2">
      <c r="D31" s="1">
        <v>13011</v>
      </c>
      <c r="E31" s="1">
        <v>4717</v>
      </c>
      <c r="G31" s="1">
        <v>4717</v>
      </c>
      <c r="H31" s="1">
        <v>13011</v>
      </c>
    </row>
    <row r="32" spans="4:8" x14ac:dyDescent="0.2">
      <c r="D32" s="1">
        <v>15895</v>
      </c>
      <c r="E32" s="1">
        <v>8145</v>
      </c>
      <c r="G32" s="1">
        <v>8145</v>
      </c>
      <c r="H32" s="1">
        <v>15895</v>
      </c>
    </row>
    <row r="33" spans="4:8" x14ac:dyDescent="0.2">
      <c r="D33" s="1">
        <v>14241</v>
      </c>
      <c r="E33" s="1">
        <v>6339</v>
      </c>
      <c r="G33" s="1">
        <v>6339</v>
      </c>
      <c r="H33" s="1">
        <v>14241</v>
      </c>
    </row>
    <row r="34" spans="4:8" x14ac:dyDescent="0.2">
      <c r="D34" s="1">
        <v>19263</v>
      </c>
      <c r="E34" s="1">
        <v>8480</v>
      </c>
      <c r="G34" s="1">
        <v>8480</v>
      </c>
      <c r="H34" s="1">
        <v>19263</v>
      </c>
    </row>
    <row r="35" spans="4:8" x14ac:dyDescent="0.2">
      <c r="D35" s="1">
        <v>25827</v>
      </c>
      <c r="E35" s="1">
        <v>15253</v>
      </c>
      <c r="G35" s="1">
        <v>15253</v>
      </c>
      <c r="H35" s="1">
        <v>25827</v>
      </c>
    </row>
    <row r="36" spans="4:8" x14ac:dyDescent="0.2">
      <c r="D36" s="1">
        <v>16772</v>
      </c>
      <c r="E36" s="1">
        <v>10261</v>
      </c>
      <c r="G36" s="1">
        <v>10261</v>
      </c>
      <c r="H36" s="1">
        <v>16772</v>
      </c>
    </row>
    <row r="37" spans="4:8" x14ac:dyDescent="0.2">
      <c r="D37" s="1">
        <v>22319</v>
      </c>
      <c r="E37" s="1">
        <v>14317</v>
      </c>
      <c r="G37" s="1">
        <v>14317</v>
      </c>
      <c r="H37" s="1">
        <v>22319</v>
      </c>
    </row>
    <row r="38" spans="4:8" x14ac:dyDescent="0.2">
      <c r="D38" s="1">
        <v>22338</v>
      </c>
      <c r="E38" s="1">
        <v>13196</v>
      </c>
      <c r="G38" s="1">
        <v>13196</v>
      </c>
      <c r="H38" s="1">
        <v>22338</v>
      </c>
    </row>
    <row r="39" spans="4:8" x14ac:dyDescent="0.2">
      <c r="D39" s="1">
        <v>18237</v>
      </c>
      <c r="E39" s="1">
        <v>8593</v>
      </c>
      <c r="G39" s="1">
        <v>8593</v>
      </c>
      <c r="H39" s="1">
        <v>18237</v>
      </c>
    </row>
    <row r="40" spans="4:8" x14ac:dyDescent="0.2">
      <c r="D40" s="1">
        <v>24117</v>
      </c>
      <c r="E40" s="1">
        <v>12589</v>
      </c>
      <c r="G40" s="1">
        <v>12589</v>
      </c>
      <c r="H40" s="1">
        <v>24117</v>
      </c>
    </row>
    <row r="41" spans="4:8" x14ac:dyDescent="0.2">
      <c r="D41" s="1">
        <v>19547</v>
      </c>
      <c r="E41" s="1">
        <v>10025</v>
      </c>
      <c r="G41" s="1">
        <v>10025</v>
      </c>
      <c r="H41" s="1">
        <v>19547</v>
      </c>
    </row>
    <row r="42" spans="4:8" x14ac:dyDescent="0.2">
      <c r="D42" s="1">
        <v>19929</v>
      </c>
      <c r="E42" s="1">
        <v>10773</v>
      </c>
      <c r="G42" s="1">
        <v>10773</v>
      </c>
      <c r="H42" s="1">
        <v>19929</v>
      </c>
    </row>
    <row r="43" spans="4:8" x14ac:dyDescent="0.2">
      <c r="D43" s="1">
        <v>18617</v>
      </c>
      <c r="E43" s="1">
        <v>8483</v>
      </c>
      <c r="G43" s="1">
        <v>8483</v>
      </c>
      <c r="H43" s="1">
        <v>18617</v>
      </c>
    </row>
    <row r="44" spans="4:8" x14ac:dyDescent="0.2">
      <c r="D44" s="1">
        <v>21394</v>
      </c>
      <c r="E44" s="1">
        <v>10618</v>
      </c>
      <c r="G44" s="1">
        <v>10618</v>
      </c>
      <c r="H44" s="1">
        <v>21394</v>
      </c>
    </row>
    <row r="45" spans="4:8" x14ac:dyDescent="0.2">
      <c r="D45" s="1">
        <v>25492</v>
      </c>
      <c r="E45" s="1">
        <v>11573</v>
      </c>
      <c r="G45" s="1">
        <v>11573</v>
      </c>
      <c r="H45" s="1">
        <v>25492</v>
      </c>
    </row>
    <row r="46" spans="4:8" x14ac:dyDescent="0.2">
      <c r="D46" s="1">
        <v>16334</v>
      </c>
      <c r="E46" s="1">
        <v>6996</v>
      </c>
      <c r="G46" s="1">
        <v>6996</v>
      </c>
      <c r="H46" s="1">
        <v>16334</v>
      </c>
    </row>
    <row r="47" spans="4:8" x14ac:dyDescent="0.2">
      <c r="D47" s="1">
        <v>10932</v>
      </c>
      <c r="E47" s="1">
        <v>3157</v>
      </c>
      <c r="G47" s="1">
        <v>3157</v>
      </c>
      <c r="H47" s="1">
        <v>10932</v>
      </c>
    </row>
    <row r="48" spans="4:8" x14ac:dyDescent="0.2">
      <c r="D48" s="1">
        <v>11656</v>
      </c>
      <c r="E48" s="1">
        <v>2546</v>
      </c>
      <c r="G48" s="1">
        <v>2546</v>
      </c>
      <c r="H48" s="1">
        <v>11656</v>
      </c>
    </row>
    <row r="49" spans="4:8" x14ac:dyDescent="0.2">
      <c r="D49" s="1">
        <v>15642</v>
      </c>
      <c r="E49" s="1">
        <v>3970</v>
      </c>
      <c r="G49" s="1">
        <v>3970</v>
      </c>
      <c r="H49" s="1">
        <v>15642</v>
      </c>
    </row>
    <row r="50" spans="4:8" x14ac:dyDescent="0.2">
      <c r="D50" s="1">
        <v>11722</v>
      </c>
      <c r="E50" s="1">
        <v>3852</v>
      </c>
      <c r="G50" s="1">
        <v>3852</v>
      </c>
      <c r="H50" s="1">
        <v>11722</v>
      </c>
    </row>
    <row r="51" spans="4:8" x14ac:dyDescent="0.2">
      <c r="D51" s="1">
        <v>16414</v>
      </c>
      <c r="E51" s="1">
        <v>6342</v>
      </c>
      <c r="G51" s="1">
        <v>6342</v>
      </c>
      <c r="H51" s="1">
        <v>16414</v>
      </c>
    </row>
    <row r="52" spans="4:8" x14ac:dyDescent="0.2">
      <c r="D52" s="1">
        <v>15978</v>
      </c>
      <c r="E52" s="1">
        <v>3794</v>
      </c>
      <c r="G52" s="1">
        <v>3794</v>
      </c>
      <c r="H52" s="1">
        <v>15978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12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0</v>
      </c>
      <c r="D1" s="1">
        <v>0</v>
      </c>
    </row>
    <row r="2" spans="1:4" x14ac:dyDescent="0.2">
      <c r="A2" s="1">
        <v>0</v>
      </c>
      <c r="B2" s="1">
        <v>16</v>
      </c>
      <c r="C2" s="1">
        <v>0</v>
      </c>
      <c r="D2" s="1">
        <v>18</v>
      </c>
    </row>
    <row r="3" spans="1:4" x14ac:dyDescent="0.2">
      <c r="A3" s="1">
        <v>1600</v>
      </c>
      <c r="B3" s="1">
        <v>16</v>
      </c>
      <c r="C3" s="1">
        <v>420000</v>
      </c>
      <c r="D3" s="1">
        <v>18</v>
      </c>
    </row>
    <row r="4" spans="1:4" x14ac:dyDescent="0.2">
      <c r="A4" s="1">
        <v>1600</v>
      </c>
      <c r="B4" s="1">
        <v>0</v>
      </c>
      <c r="C4" s="1">
        <v>420000</v>
      </c>
      <c r="D4" s="1">
        <v>0</v>
      </c>
    </row>
    <row r="5" spans="1:4" x14ac:dyDescent="0.2">
      <c r="A5" s="1">
        <v>1600</v>
      </c>
      <c r="B5" s="1">
        <v>8</v>
      </c>
      <c r="C5" s="1">
        <v>420000</v>
      </c>
      <c r="D5" s="1">
        <v>3</v>
      </c>
    </row>
    <row r="6" spans="1:4" x14ac:dyDescent="0.2">
      <c r="A6" s="1">
        <v>3200</v>
      </c>
      <c r="B6" s="1">
        <v>8</v>
      </c>
      <c r="C6" s="1">
        <v>840000</v>
      </c>
      <c r="D6" s="1">
        <v>3</v>
      </c>
    </row>
    <row r="7" spans="1:4" x14ac:dyDescent="0.2">
      <c r="A7" s="1">
        <v>3200</v>
      </c>
      <c r="B7" s="1">
        <v>0</v>
      </c>
      <c r="C7" s="1">
        <v>840000</v>
      </c>
      <c r="D7" s="1">
        <v>0</v>
      </c>
    </row>
    <row r="8" spans="1:4" x14ac:dyDescent="0.2">
      <c r="A8" s="1">
        <v>3200</v>
      </c>
      <c r="B8" s="1">
        <v>10</v>
      </c>
      <c r="C8" s="1">
        <v>840000</v>
      </c>
      <c r="D8" s="1">
        <v>5</v>
      </c>
    </row>
    <row r="9" spans="1:4" x14ac:dyDescent="0.2">
      <c r="A9" s="1">
        <v>4800</v>
      </c>
      <c r="B9" s="1">
        <v>10</v>
      </c>
      <c r="C9" s="1">
        <v>1260000</v>
      </c>
      <c r="D9" s="1">
        <v>5</v>
      </c>
    </row>
    <row r="10" spans="1:4" x14ac:dyDescent="0.2">
      <c r="A10" s="1">
        <v>4800</v>
      </c>
      <c r="B10" s="1">
        <v>0</v>
      </c>
      <c r="C10" s="1">
        <v>1260000</v>
      </c>
      <c r="D10" s="1">
        <v>0</v>
      </c>
    </row>
    <row r="11" spans="1:4" x14ac:dyDescent="0.2">
      <c r="A11" s="1">
        <v>4800</v>
      </c>
      <c r="B11" s="1">
        <v>3</v>
      </c>
      <c r="C11" s="1">
        <v>1260000</v>
      </c>
      <c r="D11" s="1">
        <v>1</v>
      </c>
    </row>
    <row r="12" spans="1:4" x14ac:dyDescent="0.2">
      <c r="A12" s="1">
        <v>6400</v>
      </c>
      <c r="B12" s="1">
        <v>3</v>
      </c>
      <c r="C12" s="1">
        <v>1680000</v>
      </c>
      <c r="D12" s="1">
        <v>1</v>
      </c>
    </row>
    <row r="13" spans="1:4" x14ac:dyDescent="0.2">
      <c r="A13" s="1">
        <v>6400</v>
      </c>
      <c r="B13" s="1">
        <v>0</v>
      </c>
      <c r="C13" s="1">
        <v>1680000</v>
      </c>
      <c r="D13" s="1">
        <v>0</v>
      </c>
    </row>
    <row r="14" spans="1:4" x14ac:dyDescent="0.2">
      <c r="A14" s="1">
        <v>6400</v>
      </c>
      <c r="B14" s="1">
        <v>1</v>
      </c>
      <c r="C14" s="1">
        <v>1680000</v>
      </c>
      <c r="D14" s="1">
        <v>5</v>
      </c>
    </row>
    <row r="15" spans="1:4" x14ac:dyDescent="0.2">
      <c r="A15" s="1">
        <v>8000</v>
      </c>
      <c r="B15" s="1">
        <v>1</v>
      </c>
      <c r="C15" s="1">
        <v>2100000</v>
      </c>
      <c r="D15" s="1">
        <v>5</v>
      </c>
    </row>
    <row r="16" spans="1:4" x14ac:dyDescent="0.2">
      <c r="A16" s="1">
        <v>8000</v>
      </c>
      <c r="B16" s="1">
        <v>0</v>
      </c>
      <c r="C16" s="1">
        <v>2100000</v>
      </c>
      <c r="D16" s="1">
        <v>0</v>
      </c>
    </row>
    <row r="17" spans="1:4" x14ac:dyDescent="0.2">
      <c r="A17" s="1">
        <v>8000</v>
      </c>
      <c r="B17" s="1">
        <v>5</v>
      </c>
      <c r="C17" s="1">
        <v>2100000</v>
      </c>
      <c r="D17" s="1">
        <v>2</v>
      </c>
    </row>
    <row r="18" spans="1:4" x14ac:dyDescent="0.2">
      <c r="A18" s="1">
        <v>9600</v>
      </c>
      <c r="B18" s="1">
        <v>5</v>
      </c>
      <c r="C18" s="1">
        <v>2520000</v>
      </c>
      <c r="D18" s="1">
        <v>2</v>
      </c>
    </row>
    <row r="19" spans="1:4" x14ac:dyDescent="0.2">
      <c r="A19" s="1">
        <v>9600</v>
      </c>
      <c r="B19" s="1">
        <v>0</v>
      </c>
      <c r="C19" s="1">
        <v>2520000</v>
      </c>
      <c r="D19" s="1">
        <v>0</v>
      </c>
    </row>
    <row r="20" spans="1:4" x14ac:dyDescent="0.2">
      <c r="A20" s="1">
        <v>9600</v>
      </c>
      <c r="B20" s="1">
        <v>4</v>
      </c>
      <c r="C20" s="1">
        <v>2520000</v>
      </c>
      <c r="D20" s="1">
        <v>7</v>
      </c>
    </row>
    <row r="21" spans="1:4" x14ac:dyDescent="0.2">
      <c r="A21" s="1">
        <v>11200</v>
      </c>
      <c r="B21" s="1">
        <v>4</v>
      </c>
      <c r="C21" s="1">
        <v>2940000</v>
      </c>
      <c r="D21" s="1">
        <v>7</v>
      </c>
    </row>
    <row r="22" spans="1:4" x14ac:dyDescent="0.2">
      <c r="A22" s="1">
        <v>11200</v>
      </c>
      <c r="B22" s="1">
        <v>0</v>
      </c>
      <c r="C22" s="1">
        <v>2940000</v>
      </c>
      <c r="D22" s="1">
        <v>0</v>
      </c>
    </row>
    <row r="23" spans="1:4" x14ac:dyDescent="0.2">
      <c r="A23" s="1">
        <v>11200</v>
      </c>
      <c r="B23" s="1">
        <v>2</v>
      </c>
      <c r="C23" s="1">
        <v>2940000</v>
      </c>
      <c r="D23" s="1">
        <v>4</v>
      </c>
    </row>
    <row r="24" spans="1:4" x14ac:dyDescent="0.2">
      <c r="A24" s="1">
        <v>12800</v>
      </c>
      <c r="B24" s="1">
        <v>2</v>
      </c>
      <c r="C24" s="1">
        <v>3360000</v>
      </c>
      <c r="D24" s="1">
        <v>4</v>
      </c>
    </row>
    <row r="25" spans="1:4" x14ac:dyDescent="0.2">
      <c r="A25" s="1">
        <v>12800</v>
      </c>
      <c r="B25" s="1">
        <v>0</v>
      </c>
      <c r="C25" s="1">
        <v>3360000</v>
      </c>
      <c r="D25" s="1">
        <v>0</v>
      </c>
    </row>
    <row r="26" spans="1:4" x14ac:dyDescent="0.2">
      <c r="A26" s="1">
        <v>12800</v>
      </c>
      <c r="B26" s="1">
        <v>2</v>
      </c>
      <c r="C26" s="1">
        <v>3360000</v>
      </c>
      <c r="D26" s="1">
        <v>2</v>
      </c>
    </row>
    <row r="27" spans="1:4" x14ac:dyDescent="0.2">
      <c r="A27" s="1">
        <v>14400</v>
      </c>
      <c r="B27" s="1">
        <v>2</v>
      </c>
      <c r="C27" s="1">
        <v>3780000</v>
      </c>
      <c r="D27" s="1">
        <v>2</v>
      </c>
    </row>
    <row r="28" spans="1:4" x14ac:dyDescent="0.2">
      <c r="A28" s="1">
        <v>14400</v>
      </c>
      <c r="B28" s="1">
        <v>0</v>
      </c>
      <c r="C28" s="1">
        <v>3780000</v>
      </c>
      <c r="D28" s="1">
        <v>0</v>
      </c>
    </row>
    <row r="29" spans="1:4" x14ac:dyDescent="0.2">
      <c r="A29" s="1">
        <v>14400</v>
      </c>
      <c r="B29" s="1">
        <v>1</v>
      </c>
      <c r="C29" s="1">
        <v>3780000</v>
      </c>
      <c r="D29" s="1">
        <v>2</v>
      </c>
    </row>
    <row r="30" spans="1:4" x14ac:dyDescent="0.2">
      <c r="A30" s="1">
        <v>16000</v>
      </c>
      <c r="B30" s="1">
        <v>1</v>
      </c>
      <c r="C30" s="1">
        <v>4200000</v>
      </c>
      <c r="D30" s="1">
        <v>2</v>
      </c>
    </row>
    <row r="31" spans="1:4" x14ac:dyDescent="0.2">
      <c r="A31" s="1">
        <v>16000</v>
      </c>
      <c r="B31" s="1">
        <v>0</v>
      </c>
      <c r="C31" s="1">
        <v>4200000</v>
      </c>
      <c r="D31" s="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13"/>
  <dimension ref="D1:H49"/>
  <sheetViews>
    <sheetView workbookViewId="0"/>
  </sheetViews>
  <sheetFormatPr defaultRowHeight="12.75" x14ac:dyDescent="0.2"/>
  <sheetData>
    <row r="1" spans="4:8" x14ac:dyDescent="0.2">
      <c r="D1" s="1">
        <v>90000</v>
      </c>
      <c r="E1" s="1">
        <v>356</v>
      </c>
      <c r="G1" s="1">
        <v>356</v>
      </c>
      <c r="H1" s="1">
        <v>90000</v>
      </c>
    </row>
    <row r="2" spans="4:8" x14ac:dyDescent="0.2">
      <c r="D2" s="1">
        <v>95000</v>
      </c>
      <c r="E2" s="1">
        <v>471</v>
      </c>
      <c r="G2" s="1">
        <v>471</v>
      </c>
      <c r="H2" s="1">
        <v>95000</v>
      </c>
    </row>
    <row r="3" spans="4:8" x14ac:dyDescent="0.2">
      <c r="D3" s="1">
        <v>74000</v>
      </c>
      <c r="E3" s="1">
        <v>230</v>
      </c>
      <c r="G3" s="1">
        <v>230</v>
      </c>
      <c r="H3" s="1">
        <v>74000</v>
      </c>
    </row>
    <row r="4" spans="4:8" x14ac:dyDescent="0.2">
      <c r="D4" s="1">
        <v>65000</v>
      </c>
      <c r="E4" s="1">
        <v>264</v>
      </c>
      <c r="G4" s="1">
        <v>264</v>
      </c>
      <c r="H4" s="1">
        <v>65000</v>
      </c>
    </row>
    <row r="5" spans="4:8" x14ac:dyDescent="0.2">
      <c r="D5" s="1">
        <v>92000</v>
      </c>
      <c r="E5" s="1">
        <v>212</v>
      </c>
      <c r="G5" s="1">
        <v>212</v>
      </c>
      <c r="H5" s="1">
        <v>92000</v>
      </c>
    </row>
    <row r="6" spans="4:8" x14ac:dyDescent="0.2">
      <c r="D6" s="1">
        <v>86000</v>
      </c>
      <c r="E6" s="1">
        <v>180</v>
      </c>
      <c r="G6" s="1">
        <v>180</v>
      </c>
      <c r="H6" s="1">
        <v>86000</v>
      </c>
    </row>
    <row r="7" spans="4:8" x14ac:dyDescent="0.2">
      <c r="D7" s="1">
        <v>92000</v>
      </c>
      <c r="E7" s="1">
        <v>400</v>
      </c>
      <c r="G7" s="1">
        <v>400</v>
      </c>
      <c r="H7" s="1">
        <v>92000</v>
      </c>
    </row>
    <row r="8" spans="4:8" x14ac:dyDescent="0.2">
      <c r="D8" s="1">
        <v>132000</v>
      </c>
      <c r="E8" s="1">
        <v>376</v>
      </c>
      <c r="G8" s="1">
        <v>376</v>
      </c>
      <c r="H8" s="1">
        <v>132000</v>
      </c>
    </row>
    <row r="9" spans="4:8" x14ac:dyDescent="0.2">
      <c r="D9" s="1">
        <v>148000</v>
      </c>
      <c r="E9" s="1">
        <v>513</v>
      </c>
      <c r="G9" s="1">
        <v>513</v>
      </c>
      <c r="H9" s="1">
        <v>148000</v>
      </c>
    </row>
    <row r="10" spans="4:8" x14ac:dyDescent="0.2">
      <c r="D10" s="1">
        <v>151000</v>
      </c>
      <c r="E10" s="1">
        <v>1165</v>
      </c>
      <c r="G10" s="1">
        <v>1165</v>
      </c>
      <c r="H10" s="1">
        <v>151000</v>
      </c>
    </row>
    <row r="11" spans="4:8" x14ac:dyDescent="0.2">
      <c r="D11" s="1">
        <v>152000</v>
      </c>
      <c r="E11" s="1">
        <v>459</v>
      </c>
      <c r="G11" s="1">
        <v>459</v>
      </c>
      <c r="H11" s="1">
        <v>152000</v>
      </c>
    </row>
    <row r="12" spans="4:8" x14ac:dyDescent="0.2">
      <c r="D12" s="1">
        <v>77000</v>
      </c>
      <c r="E12" s="1">
        <v>1104</v>
      </c>
      <c r="G12" s="1">
        <v>1104</v>
      </c>
      <c r="H12" s="1">
        <v>77000</v>
      </c>
    </row>
    <row r="13" spans="4:8" x14ac:dyDescent="0.2">
      <c r="D13" s="1">
        <v>197000</v>
      </c>
      <c r="E13" s="1">
        <v>1449</v>
      </c>
      <c r="G13" s="1">
        <v>1449</v>
      </c>
      <c r="H13" s="1">
        <v>197000</v>
      </c>
    </row>
    <row r="14" spans="4:8" x14ac:dyDescent="0.2">
      <c r="D14" s="1">
        <v>377000</v>
      </c>
      <c r="E14" s="1">
        <v>1414</v>
      </c>
      <c r="G14" s="1">
        <v>1414</v>
      </c>
      <c r="H14" s="1">
        <v>377000</v>
      </c>
    </row>
    <row r="15" spans="4:8" x14ac:dyDescent="0.2">
      <c r="D15" s="1">
        <v>252000</v>
      </c>
      <c r="E15" s="1">
        <v>1923</v>
      </c>
      <c r="G15" s="1">
        <v>1923</v>
      </c>
      <c r="H15" s="1">
        <v>252000</v>
      </c>
    </row>
    <row r="16" spans="4:8" x14ac:dyDescent="0.2">
      <c r="D16" s="1">
        <v>277000</v>
      </c>
      <c r="E16" s="1">
        <v>2146</v>
      </c>
      <c r="G16" s="1">
        <v>2146</v>
      </c>
      <c r="H16" s="1">
        <v>277000</v>
      </c>
    </row>
    <row r="17" spans="4:8" x14ac:dyDescent="0.2">
      <c r="D17" s="1">
        <v>332000</v>
      </c>
      <c r="E17" s="1">
        <v>3642</v>
      </c>
      <c r="G17" s="1">
        <v>3642</v>
      </c>
      <c r="H17" s="1">
        <v>332000</v>
      </c>
    </row>
    <row r="18" spans="4:8" x14ac:dyDescent="0.2">
      <c r="D18" s="1">
        <v>387000</v>
      </c>
      <c r="E18" s="1">
        <v>3506</v>
      </c>
      <c r="G18" s="1">
        <v>3506</v>
      </c>
      <c r="H18" s="1">
        <v>387000</v>
      </c>
    </row>
    <row r="19" spans="4:8" x14ac:dyDescent="0.2">
      <c r="D19" s="1">
        <v>438000</v>
      </c>
      <c r="E19" s="1">
        <v>1974</v>
      </c>
      <c r="G19" s="1">
        <v>1974</v>
      </c>
      <c r="H19" s="1">
        <v>438000</v>
      </c>
    </row>
    <row r="20" spans="4:8" x14ac:dyDescent="0.2">
      <c r="D20" s="1">
        <v>445000</v>
      </c>
      <c r="E20" s="1">
        <v>5086</v>
      </c>
      <c r="G20" s="1">
        <v>5086</v>
      </c>
      <c r="H20" s="1">
        <v>445000</v>
      </c>
    </row>
    <row r="21" spans="4:8" x14ac:dyDescent="0.2">
      <c r="D21" s="1">
        <v>436000</v>
      </c>
      <c r="E21" s="1">
        <v>2394</v>
      </c>
      <c r="G21" s="1">
        <v>2394</v>
      </c>
      <c r="H21" s="1">
        <v>436000</v>
      </c>
    </row>
    <row r="22" spans="4:8" x14ac:dyDescent="0.2">
      <c r="D22" s="1">
        <v>849000</v>
      </c>
      <c r="E22" s="1">
        <v>841</v>
      </c>
      <c r="G22" s="1">
        <v>841</v>
      </c>
      <c r="H22" s="1">
        <v>849000</v>
      </c>
    </row>
    <row r="23" spans="4:8" x14ac:dyDescent="0.2">
      <c r="D23" s="1">
        <v>1005131</v>
      </c>
      <c r="E23" s="1">
        <v>2924</v>
      </c>
      <c r="G23" s="1">
        <v>2924</v>
      </c>
      <c r="H23" s="1">
        <v>1005131</v>
      </c>
    </row>
    <row r="24" spans="4:8" x14ac:dyDescent="0.2">
      <c r="D24" s="1">
        <v>909000</v>
      </c>
      <c r="E24" s="1">
        <v>4721</v>
      </c>
      <c r="G24" s="1">
        <v>4721</v>
      </c>
      <c r="H24" s="1">
        <v>909000</v>
      </c>
    </row>
    <row r="25" spans="4:8" x14ac:dyDescent="0.2">
      <c r="D25" s="1">
        <v>862000</v>
      </c>
      <c r="E25" s="1">
        <v>2370</v>
      </c>
      <c r="G25" s="1">
        <v>2370</v>
      </c>
      <c r="H25" s="1">
        <v>862000</v>
      </c>
    </row>
    <row r="26" spans="4:8" x14ac:dyDescent="0.2">
      <c r="D26" s="1">
        <v>1081000</v>
      </c>
      <c r="E26" s="1">
        <v>3895</v>
      </c>
      <c r="G26" s="1">
        <v>3895</v>
      </c>
      <c r="H26" s="1">
        <v>1081000</v>
      </c>
    </row>
    <row r="27" spans="4:8" x14ac:dyDescent="0.2">
      <c r="D27" s="1">
        <v>1604195</v>
      </c>
      <c r="E27" s="1">
        <v>8243</v>
      </c>
      <c r="G27" s="1">
        <v>8243</v>
      </c>
      <c r="H27" s="1">
        <v>1604195</v>
      </c>
    </row>
    <row r="28" spans="4:8" x14ac:dyDescent="0.2">
      <c r="D28" s="1">
        <v>2059721</v>
      </c>
      <c r="E28" s="1">
        <v>4045</v>
      </c>
      <c r="G28" s="1">
        <v>4045</v>
      </c>
      <c r="H28" s="1">
        <v>2059721</v>
      </c>
    </row>
    <row r="29" spans="4:8" x14ac:dyDescent="0.2">
      <c r="D29" s="1">
        <v>2029120</v>
      </c>
      <c r="E29" s="1">
        <v>4717</v>
      </c>
      <c r="G29" s="1">
        <v>4717</v>
      </c>
      <c r="H29" s="1">
        <v>2029120</v>
      </c>
    </row>
    <row r="30" spans="4:8" x14ac:dyDescent="0.2">
      <c r="D30" s="1">
        <v>1808223</v>
      </c>
      <c r="E30" s="1">
        <v>8145</v>
      </c>
      <c r="G30" s="1">
        <v>8145</v>
      </c>
      <c r="H30" s="1">
        <v>1808223</v>
      </c>
    </row>
    <row r="31" spans="4:8" x14ac:dyDescent="0.2">
      <c r="D31" s="1">
        <v>2069015</v>
      </c>
      <c r="E31" s="1">
        <v>6339</v>
      </c>
      <c r="G31" s="1">
        <v>6339</v>
      </c>
      <c r="H31" s="1">
        <v>2069015</v>
      </c>
    </row>
    <row r="32" spans="4:8" x14ac:dyDescent="0.2">
      <c r="D32" s="1">
        <v>1707175</v>
      </c>
      <c r="E32" s="1">
        <v>8480</v>
      </c>
      <c r="G32" s="1">
        <v>8480</v>
      </c>
      <c r="H32" s="1">
        <v>1707175</v>
      </c>
    </row>
    <row r="33" spans="4:8" x14ac:dyDescent="0.2">
      <c r="D33" s="1">
        <v>2343384</v>
      </c>
      <c r="E33" s="1">
        <v>15253</v>
      </c>
      <c r="G33" s="1">
        <v>15253</v>
      </c>
      <c r="H33" s="1">
        <v>2343384</v>
      </c>
    </row>
    <row r="34" spans="4:8" x14ac:dyDescent="0.2">
      <c r="D34" s="1">
        <v>2393384</v>
      </c>
      <c r="E34" s="1">
        <v>10261</v>
      </c>
      <c r="G34" s="1">
        <v>10261</v>
      </c>
      <c r="H34" s="1">
        <v>2393384</v>
      </c>
    </row>
    <row r="35" spans="4:8" x14ac:dyDescent="0.2">
      <c r="D35" s="1">
        <v>2764858</v>
      </c>
      <c r="E35" s="1">
        <v>13196</v>
      </c>
      <c r="G35" s="1">
        <v>13196</v>
      </c>
      <c r="H35" s="1">
        <v>2764858</v>
      </c>
    </row>
    <row r="36" spans="4:8" x14ac:dyDescent="0.2">
      <c r="D36" s="1">
        <v>2800800</v>
      </c>
      <c r="E36" s="1">
        <v>8593</v>
      </c>
      <c r="G36" s="1">
        <v>8593</v>
      </c>
      <c r="H36" s="1">
        <v>2800800</v>
      </c>
    </row>
    <row r="37" spans="4:8" x14ac:dyDescent="0.2">
      <c r="D37" s="1">
        <v>2678069</v>
      </c>
      <c r="E37" s="1">
        <v>12589</v>
      </c>
      <c r="G37" s="1">
        <v>12589</v>
      </c>
      <c r="H37" s="1">
        <v>2678069</v>
      </c>
    </row>
    <row r="38" spans="4:8" x14ac:dyDescent="0.2">
      <c r="D38" s="1">
        <v>2552362</v>
      </c>
      <c r="E38" s="1">
        <v>10025</v>
      </c>
      <c r="G38" s="1">
        <v>10025</v>
      </c>
      <c r="H38" s="1">
        <v>2552362</v>
      </c>
    </row>
    <row r="39" spans="4:8" x14ac:dyDescent="0.2">
      <c r="D39" s="1">
        <v>2654191</v>
      </c>
      <c r="E39" s="1">
        <v>10773</v>
      </c>
      <c r="G39" s="1">
        <v>10773</v>
      </c>
      <c r="H39" s="1">
        <v>2654191</v>
      </c>
    </row>
    <row r="40" spans="4:8" x14ac:dyDescent="0.2">
      <c r="D40" s="1">
        <v>2693095</v>
      </c>
      <c r="E40" s="1">
        <v>8483</v>
      </c>
      <c r="G40" s="1">
        <v>8483</v>
      </c>
      <c r="H40" s="1">
        <v>2693095</v>
      </c>
    </row>
    <row r="41" spans="4:8" x14ac:dyDescent="0.2">
      <c r="D41" s="1">
        <v>2795691</v>
      </c>
      <c r="E41" s="1">
        <v>10618</v>
      </c>
      <c r="G41" s="1">
        <v>10618</v>
      </c>
      <c r="H41" s="1">
        <v>2795691</v>
      </c>
    </row>
    <row r="42" spans="4:8" x14ac:dyDescent="0.2">
      <c r="D42" s="1">
        <v>3047626.09</v>
      </c>
      <c r="E42" s="1">
        <v>11573</v>
      </c>
      <c r="G42" s="1">
        <v>11573</v>
      </c>
      <c r="H42" s="1">
        <v>3047626.09</v>
      </c>
    </row>
    <row r="43" spans="4:8" x14ac:dyDescent="0.2">
      <c r="D43" s="1">
        <v>2961456</v>
      </c>
      <c r="E43" s="1">
        <v>6996</v>
      </c>
      <c r="G43" s="1">
        <v>6996</v>
      </c>
      <c r="H43" s="1">
        <v>2961456</v>
      </c>
    </row>
    <row r="44" spans="4:8" x14ac:dyDescent="0.2">
      <c r="D44" s="1">
        <v>3171000</v>
      </c>
      <c r="E44" s="1">
        <v>3157</v>
      </c>
      <c r="G44" s="1">
        <v>3157</v>
      </c>
      <c r="H44" s="1">
        <v>3171000</v>
      </c>
    </row>
    <row r="45" spans="4:8" x14ac:dyDescent="0.2">
      <c r="D45" s="1">
        <v>3678000</v>
      </c>
      <c r="E45" s="1">
        <v>2546</v>
      </c>
      <c r="G45" s="1">
        <v>2546</v>
      </c>
      <c r="H45" s="1">
        <v>3678000</v>
      </c>
    </row>
    <row r="46" spans="4:8" x14ac:dyDescent="0.2">
      <c r="D46" s="1">
        <v>3084295</v>
      </c>
      <c r="E46" s="1">
        <v>3970</v>
      </c>
      <c r="G46" s="1">
        <v>3970</v>
      </c>
      <c r="H46" s="1">
        <v>3084295</v>
      </c>
    </row>
    <row r="47" spans="4:8" x14ac:dyDescent="0.2">
      <c r="D47" s="1">
        <v>3546896</v>
      </c>
      <c r="E47" s="1">
        <v>3852</v>
      </c>
      <c r="G47" s="1">
        <v>3852</v>
      </c>
      <c r="H47" s="1">
        <v>3546896</v>
      </c>
    </row>
    <row r="48" spans="4:8" x14ac:dyDescent="0.2">
      <c r="D48" s="1">
        <v>4145388</v>
      </c>
      <c r="E48" s="1">
        <v>6342</v>
      </c>
      <c r="G48" s="1">
        <v>6342</v>
      </c>
      <c r="H48" s="1">
        <v>4145388</v>
      </c>
    </row>
    <row r="49" spans="4:8" x14ac:dyDescent="0.2">
      <c r="D49" s="1">
        <v>3952283</v>
      </c>
      <c r="E49" s="1">
        <v>3794</v>
      </c>
      <c r="G49" s="1">
        <v>3794</v>
      </c>
      <c r="H49" s="1">
        <v>3952283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15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0</v>
      </c>
      <c r="D1" s="1">
        <v>0</v>
      </c>
    </row>
    <row r="2" spans="1:4" x14ac:dyDescent="0.2">
      <c r="A2" s="1">
        <v>0</v>
      </c>
      <c r="B2" s="1">
        <v>13</v>
      </c>
      <c r="C2" s="1">
        <v>0</v>
      </c>
      <c r="D2" s="1">
        <v>1</v>
      </c>
    </row>
    <row r="3" spans="1:4" x14ac:dyDescent="0.2">
      <c r="A3" s="1">
        <v>510</v>
      </c>
      <c r="B3" s="1">
        <v>13</v>
      </c>
      <c r="C3" s="1">
        <v>0.10600000000000001</v>
      </c>
      <c r="D3" s="1">
        <v>1</v>
      </c>
    </row>
    <row r="4" spans="1:4" x14ac:dyDescent="0.2">
      <c r="A4" s="1">
        <v>510</v>
      </c>
      <c r="B4" s="1">
        <v>0</v>
      </c>
      <c r="C4" s="1">
        <v>0.10600000000000001</v>
      </c>
      <c r="D4" s="1">
        <v>0</v>
      </c>
    </row>
    <row r="5" spans="1:4" x14ac:dyDescent="0.2">
      <c r="A5" s="1">
        <v>510</v>
      </c>
      <c r="B5" s="1">
        <v>13</v>
      </c>
      <c r="C5" s="1">
        <v>0.10600000000000001</v>
      </c>
      <c r="D5" s="1">
        <v>2</v>
      </c>
    </row>
    <row r="6" spans="1:4" x14ac:dyDescent="0.2">
      <c r="A6" s="1">
        <v>1020</v>
      </c>
      <c r="B6" s="1">
        <v>13</v>
      </c>
      <c r="C6" s="1">
        <v>0.21200000000000002</v>
      </c>
      <c r="D6" s="1">
        <v>2</v>
      </c>
    </row>
    <row r="7" spans="1:4" x14ac:dyDescent="0.2">
      <c r="A7" s="1">
        <v>1020</v>
      </c>
      <c r="B7" s="1">
        <v>0</v>
      </c>
      <c r="C7" s="1">
        <v>0.21200000000000002</v>
      </c>
      <c r="D7" s="1">
        <v>0</v>
      </c>
    </row>
    <row r="8" spans="1:4" x14ac:dyDescent="0.2">
      <c r="A8" s="1">
        <v>1020</v>
      </c>
      <c r="B8" s="1">
        <v>3</v>
      </c>
      <c r="C8" s="1">
        <v>0.21200000000000002</v>
      </c>
      <c r="D8" s="1">
        <v>3</v>
      </c>
    </row>
    <row r="9" spans="1:4" x14ac:dyDescent="0.2">
      <c r="A9" s="1">
        <v>1530</v>
      </c>
      <c r="B9" s="1">
        <v>3</v>
      </c>
      <c r="C9" s="1">
        <v>0.318</v>
      </c>
      <c r="D9" s="1">
        <v>3</v>
      </c>
    </row>
    <row r="10" spans="1:4" x14ac:dyDescent="0.2">
      <c r="A10" s="1">
        <v>1530</v>
      </c>
      <c r="B10" s="1">
        <v>0</v>
      </c>
      <c r="C10" s="1">
        <v>0.318</v>
      </c>
      <c r="D10" s="1">
        <v>0</v>
      </c>
    </row>
    <row r="11" spans="1:4" x14ac:dyDescent="0.2">
      <c r="A11" s="1">
        <v>1530</v>
      </c>
      <c r="B11" s="1">
        <v>4</v>
      </c>
      <c r="C11" s="1">
        <v>0.318</v>
      </c>
      <c r="D11" s="1">
        <v>7</v>
      </c>
    </row>
    <row r="12" spans="1:4" x14ac:dyDescent="0.2">
      <c r="A12" s="1">
        <v>2040</v>
      </c>
      <c r="B12" s="1">
        <v>4</v>
      </c>
      <c r="C12" s="1">
        <v>0.42400000000000004</v>
      </c>
      <c r="D12" s="1">
        <v>7</v>
      </c>
    </row>
    <row r="13" spans="1:4" x14ac:dyDescent="0.2">
      <c r="A13" s="1">
        <v>2040</v>
      </c>
      <c r="B13" s="1">
        <v>0</v>
      </c>
      <c r="C13" s="1">
        <v>0.42400000000000004</v>
      </c>
      <c r="D13" s="1">
        <v>0</v>
      </c>
    </row>
    <row r="14" spans="1:4" x14ac:dyDescent="0.2">
      <c r="A14" s="1">
        <v>2040</v>
      </c>
      <c r="B14" s="1">
        <v>6</v>
      </c>
      <c r="C14" s="1">
        <v>0.42400000000000004</v>
      </c>
      <c r="D14" s="1">
        <v>3</v>
      </c>
    </row>
    <row r="15" spans="1:4" x14ac:dyDescent="0.2">
      <c r="A15" s="1">
        <v>2550</v>
      </c>
      <c r="B15" s="1">
        <v>6</v>
      </c>
      <c r="C15" s="1">
        <v>0.53</v>
      </c>
      <c r="D15" s="1">
        <v>3</v>
      </c>
    </row>
    <row r="16" spans="1:4" x14ac:dyDescent="0.2">
      <c r="A16" s="1">
        <v>2550</v>
      </c>
      <c r="B16" s="1">
        <v>0</v>
      </c>
      <c r="C16" s="1">
        <v>0.53</v>
      </c>
      <c r="D16" s="1">
        <v>0</v>
      </c>
    </row>
    <row r="17" spans="1:4" x14ac:dyDescent="0.2">
      <c r="A17" s="1">
        <v>2550</v>
      </c>
      <c r="B17" s="1">
        <v>4</v>
      </c>
      <c r="C17" s="1">
        <v>0.53</v>
      </c>
      <c r="D17" s="1">
        <v>7</v>
      </c>
    </row>
    <row r="18" spans="1:4" x14ac:dyDescent="0.2">
      <c r="A18" s="1">
        <v>3060</v>
      </c>
      <c r="B18" s="1">
        <v>4</v>
      </c>
      <c r="C18" s="1">
        <v>0.63600000000000001</v>
      </c>
      <c r="D18" s="1">
        <v>7</v>
      </c>
    </row>
    <row r="19" spans="1:4" x14ac:dyDescent="0.2">
      <c r="A19" s="1">
        <v>3060</v>
      </c>
      <c r="B19" s="1">
        <v>0</v>
      </c>
      <c r="C19" s="1">
        <v>0.63600000000000001</v>
      </c>
      <c r="D19" s="1">
        <v>0</v>
      </c>
    </row>
    <row r="20" spans="1:4" x14ac:dyDescent="0.2">
      <c r="A20" s="1">
        <v>3060</v>
      </c>
      <c r="B20" s="1">
        <v>0</v>
      </c>
      <c r="C20" s="1">
        <v>0.63600000000000001</v>
      </c>
      <c r="D20" s="1">
        <v>7</v>
      </c>
    </row>
    <row r="21" spans="1:4" x14ac:dyDescent="0.2">
      <c r="A21" s="1">
        <v>3570</v>
      </c>
      <c r="B21" s="1">
        <v>0</v>
      </c>
      <c r="C21" s="1">
        <v>0.74199999999999999</v>
      </c>
      <c r="D21" s="1">
        <v>7</v>
      </c>
    </row>
    <row r="22" spans="1:4" x14ac:dyDescent="0.2">
      <c r="A22" s="1">
        <v>3570</v>
      </c>
      <c r="B22" s="1">
        <v>0</v>
      </c>
      <c r="C22" s="1">
        <v>0.74199999999999999</v>
      </c>
      <c r="D22" s="1">
        <v>0</v>
      </c>
    </row>
    <row r="23" spans="1:4" x14ac:dyDescent="0.2">
      <c r="A23" s="1">
        <v>3570</v>
      </c>
      <c r="B23" s="1">
        <v>1</v>
      </c>
      <c r="C23" s="1">
        <v>0.74199999999999999</v>
      </c>
      <c r="D23" s="1">
        <v>7</v>
      </c>
    </row>
    <row r="24" spans="1:4" x14ac:dyDescent="0.2">
      <c r="A24" s="1">
        <v>4080</v>
      </c>
      <c r="B24" s="1">
        <v>1</v>
      </c>
      <c r="C24" s="1">
        <v>0.84800000000000009</v>
      </c>
      <c r="D24" s="1">
        <v>7</v>
      </c>
    </row>
    <row r="25" spans="1:4" x14ac:dyDescent="0.2">
      <c r="A25" s="1">
        <v>4080</v>
      </c>
      <c r="B25" s="1">
        <v>0</v>
      </c>
      <c r="C25" s="1">
        <v>0.84800000000000009</v>
      </c>
      <c r="D25" s="1">
        <v>0</v>
      </c>
    </row>
    <row r="26" spans="1:4" x14ac:dyDescent="0.2">
      <c r="A26" s="1">
        <v>4080</v>
      </c>
      <c r="B26" s="1">
        <v>0</v>
      </c>
      <c r="C26" s="1">
        <v>0.84800000000000009</v>
      </c>
      <c r="D26" s="1">
        <v>4</v>
      </c>
    </row>
    <row r="27" spans="1:4" x14ac:dyDescent="0.2">
      <c r="A27" s="1">
        <v>4590</v>
      </c>
      <c r="B27" s="1">
        <v>0</v>
      </c>
      <c r="C27" s="1">
        <v>0.95400000000000007</v>
      </c>
      <c r="D27" s="1">
        <v>4</v>
      </c>
    </row>
    <row r="28" spans="1:4" x14ac:dyDescent="0.2">
      <c r="A28" s="1">
        <v>4590</v>
      </c>
      <c r="B28" s="1">
        <v>0</v>
      </c>
      <c r="C28" s="1">
        <v>0.95400000000000007</v>
      </c>
      <c r="D28" s="1">
        <v>0</v>
      </c>
    </row>
    <row r="29" spans="1:4" x14ac:dyDescent="0.2">
      <c r="A29" s="1">
        <v>4590</v>
      </c>
      <c r="B29" s="1">
        <v>1</v>
      </c>
      <c r="C29" s="1">
        <v>0.95400000000000007</v>
      </c>
      <c r="D29" s="1">
        <v>8</v>
      </c>
    </row>
    <row r="30" spans="1:4" x14ac:dyDescent="0.2">
      <c r="A30" s="1">
        <v>5100</v>
      </c>
      <c r="B30" s="1">
        <v>1</v>
      </c>
      <c r="C30" s="1">
        <v>1.06</v>
      </c>
      <c r="D30" s="1">
        <v>8</v>
      </c>
    </row>
    <row r="31" spans="1:4" x14ac:dyDescent="0.2">
      <c r="A31" s="1">
        <v>5100</v>
      </c>
      <c r="B31" s="1">
        <v>0</v>
      </c>
      <c r="C31" s="1">
        <v>1.06</v>
      </c>
      <c r="D31" s="1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16"/>
  <dimension ref="D1:H42"/>
  <sheetViews>
    <sheetView workbookViewId="0"/>
  </sheetViews>
  <sheetFormatPr defaultRowHeight="12.75" x14ac:dyDescent="0.2"/>
  <sheetData>
    <row r="1" spans="4:8" x14ac:dyDescent="0.2">
      <c r="D1" s="1">
        <v>0.39475432659863108</v>
      </c>
      <c r="E1" s="1">
        <v>67</v>
      </c>
      <c r="G1" s="1">
        <v>67</v>
      </c>
      <c r="H1" s="1">
        <v>0.39475432659863108</v>
      </c>
    </row>
    <row r="2" spans="4:8" x14ac:dyDescent="0.2">
      <c r="D2" s="1">
        <v>0.393564135328064</v>
      </c>
      <c r="E2" s="1">
        <v>136</v>
      </c>
      <c r="G2" s="1">
        <v>136</v>
      </c>
      <c r="H2" s="1">
        <v>0.393564135328064</v>
      </c>
    </row>
    <row r="3" spans="4:8" x14ac:dyDescent="0.2">
      <c r="D3" s="1">
        <v>0.38836636213652675</v>
      </c>
      <c r="E3" s="1">
        <v>121</v>
      </c>
      <c r="G3" s="1">
        <v>121</v>
      </c>
      <c r="H3" s="1">
        <v>0.38836636213652675</v>
      </c>
    </row>
    <row r="4" spans="4:8" x14ac:dyDescent="0.2">
      <c r="D4" s="1">
        <v>0.38086987477095163</v>
      </c>
      <c r="E4" s="1">
        <v>92</v>
      </c>
      <c r="G4" s="1">
        <v>92</v>
      </c>
      <c r="H4" s="1">
        <v>0.38086987477095163</v>
      </c>
    </row>
    <row r="5" spans="4:8" x14ac:dyDescent="0.2">
      <c r="D5" s="1">
        <v>9.9767810171403015E-2</v>
      </c>
      <c r="E5" s="1">
        <v>273</v>
      </c>
      <c r="G5" s="1">
        <v>273</v>
      </c>
      <c r="H5" s="1">
        <v>9.9767810171403015E-2</v>
      </c>
    </row>
    <row r="6" spans="4:8" x14ac:dyDescent="0.2">
      <c r="D6" s="1">
        <v>0.38206411544616731</v>
      </c>
      <c r="E6" s="1">
        <v>385</v>
      </c>
      <c r="G6" s="1">
        <v>385</v>
      </c>
      <c r="H6" s="1">
        <v>0.38206411544616731</v>
      </c>
    </row>
    <row r="7" spans="4:8" x14ac:dyDescent="0.2">
      <c r="D7" s="1">
        <v>0.53649457732649053</v>
      </c>
      <c r="E7" s="1">
        <v>387</v>
      </c>
      <c r="G7" s="1">
        <v>387</v>
      </c>
      <c r="H7" s="1">
        <v>0.53649457732649053</v>
      </c>
    </row>
    <row r="8" spans="4:8" x14ac:dyDescent="0.2">
      <c r="D8" s="1">
        <v>0.46567704594183434</v>
      </c>
      <c r="E8" s="1">
        <v>420</v>
      </c>
      <c r="G8" s="1">
        <v>420</v>
      </c>
      <c r="H8" s="1">
        <v>0.46567704594183434</v>
      </c>
    </row>
    <row r="9" spans="4:8" x14ac:dyDescent="0.2">
      <c r="D9" s="1">
        <v>0.4421452828983381</v>
      </c>
      <c r="E9" s="1">
        <v>537</v>
      </c>
      <c r="G9" s="1">
        <v>537</v>
      </c>
      <c r="H9" s="1">
        <v>0.4421452828983381</v>
      </c>
    </row>
    <row r="10" spans="4:8" x14ac:dyDescent="0.2">
      <c r="D10" s="1">
        <v>0.52318450841223962</v>
      </c>
      <c r="E10" s="1">
        <v>717</v>
      </c>
      <c r="G10" s="1">
        <v>717</v>
      </c>
      <c r="H10" s="1">
        <v>0.52318450841223962</v>
      </c>
    </row>
    <row r="11" spans="4:8" x14ac:dyDescent="0.2">
      <c r="D11" s="1">
        <v>0.54200546303688935</v>
      </c>
      <c r="E11" s="1">
        <v>640</v>
      </c>
      <c r="G11" s="1">
        <v>640</v>
      </c>
      <c r="H11" s="1">
        <v>0.54200546303688935</v>
      </c>
    </row>
    <row r="12" spans="4:8" x14ac:dyDescent="0.2">
      <c r="D12" s="1">
        <v>0.60388655354546716</v>
      </c>
      <c r="E12" s="1">
        <v>251</v>
      </c>
      <c r="G12" s="1">
        <v>251</v>
      </c>
      <c r="H12" s="1">
        <v>0.60388655354546716</v>
      </c>
    </row>
    <row r="13" spans="4:8" x14ac:dyDescent="0.2">
      <c r="D13" s="1">
        <v>0.60367832290932311</v>
      </c>
      <c r="E13" s="1">
        <v>1578</v>
      </c>
      <c r="G13" s="1">
        <v>1578</v>
      </c>
      <c r="H13" s="1">
        <v>0.60367832290932311</v>
      </c>
    </row>
    <row r="14" spans="4:8" x14ac:dyDescent="0.2">
      <c r="D14" s="1">
        <v>0.58922746984513119</v>
      </c>
      <c r="E14" s="1">
        <v>519</v>
      </c>
      <c r="G14" s="1">
        <v>519</v>
      </c>
      <c r="H14" s="1">
        <v>0.58922746984513119</v>
      </c>
    </row>
    <row r="15" spans="4:8" x14ac:dyDescent="0.2">
      <c r="D15" s="1">
        <v>0.66796029093918441</v>
      </c>
      <c r="E15" s="1">
        <v>153</v>
      </c>
      <c r="G15" s="1">
        <v>153</v>
      </c>
      <c r="H15" s="1">
        <v>0.66796029093918441</v>
      </c>
    </row>
    <row r="16" spans="4:8" x14ac:dyDescent="0.2">
      <c r="D16" s="1">
        <v>0.66192701692301814</v>
      </c>
      <c r="E16" s="1">
        <v>851</v>
      </c>
      <c r="G16" s="1">
        <v>851</v>
      </c>
      <c r="H16" s="1">
        <v>0.66192701692301814</v>
      </c>
    </row>
    <row r="17" spans="4:8" x14ac:dyDescent="0.2">
      <c r="D17" s="1">
        <v>0.67548275416546966</v>
      </c>
      <c r="E17" s="1">
        <v>802</v>
      </c>
      <c r="G17" s="1">
        <v>802</v>
      </c>
      <c r="H17" s="1">
        <v>0.67548275416546966</v>
      </c>
    </row>
    <row r="18" spans="4:8" x14ac:dyDescent="0.2">
      <c r="D18" s="1">
        <v>0.54148414289942293</v>
      </c>
      <c r="E18" s="1">
        <v>453</v>
      </c>
      <c r="G18" s="1">
        <v>453</v>
      </c>
      <c r="H18" s="1">
        <v>0.54148414289942293</v>
      </c>
    </row>
    <row r="19" spans="4:8" x14ac:dyDescent="0.2">
      <c r="D19" s="1">
        <v>0.55896889272566286</v>
      </c>
      <c r="E19" s="1">
        <v>858</v>
      </c>
      <c r="G19" s="1">
        <v>858</v>
      </c>
      <c r="H19" s="1">
        <v>0.55896889272566286</v>
      </c>
    </row>
    <row r="20" spans="4:8" x14ac:dyDescent="0.2">
      <c r="D20" s="1">
        <v>0.66233239760528806</v>
      </c>
      <c r="E20" s="1">
        <v>2111</v>
      </c>
      <c r="G20" s="1">
        <v>2111</v>
      </c>
      <c r="H20" s="1">
        <v>0.66233239760528806</v>
      </c>
    </row>
    <row r="21" spans="4:8" x14ac:dyDescent="0.2">
      <c r="D21" s="1">
        <v>0.66238036069037654</v>
      </c>
      <c r="E21" s="1">
        <v>896</v>
      </c>
      <c r="G21" s="1">
        <v>896</v>
      </c>
      <c r="H21" s="1">
        <v>0.66238036069037654</v>
      </c>
    </row>
    <row r="22" spans="4:8" x14ac:dyDescent="0.2">
      <c r="D22" s="1">
        <v>0.70478949074310326</v>
      </c>
      <c r="E22" s="1">
        <v>654</v>
      </c>
      <c r="G22" s="1">
        <v>654</v>
      </c>
      <c r="H22" s="1">
        <v>0.70478949074310326</v>
      </c>
    </row>
    <row r="23" spans="4:8" x14ac:dyDescent="0.2">
      <c r="D23" s="1">
        <v>0.69511742890883232</v>
      </c>
      <c r="E23" s="1">
        <v>1708</v>
      </c>
      <c r="G23" s="1">
        <v>1708</v>
      </c>
      <c r="H23" s="1">
        <v>0.69511742890883232</v>
      </c>
    </row>
    <row r="24" spans="4:8" x14ac:dyDescent="0.2">
      <c r="D24" s="1">
        <v>0.79317136635863761</v>
      </c>
      <c r="E24" s="1">
        <v>2071</v>
      </c>
      <c r="G24" s="1">
        <v>2071</v>
      </c>
      <c r="H24" s="1">
        <v>0.79317136635863761</v>
      </c>
    </row>
    <row r="25" spans="4:8" x14ac:dyDescent="0.2">
      <c r="D25" s="1">
        <v>0.76264339344500864</v>
      </c>
      <c r="E25" s="1">
        <v>1378</v>
      </c>
      <c r="G25" s="1">
        <v>1378</v>
      </c>
      <c r="H25" s="1">
        <v>0.76264339344500864</v>
      </c>
    </row>
    <row r="26" spans="4:8" x14ac:dyDescent="0.2">
      <c r="D26" s="1">
        <v>0.80513648966788653</v>
      </c>
      <c r="E26" s="1">
        <v>5009</v>
      </c>
      <c r="G26" s="1">
        <v>5009</v>
      </c>
      <c r="H26" s="1">
        <v>0.80513648966788653</v>
      </c>
    </row>
    <row r="27" spans="4:8" x14ac:dyDescent="0.2">
      <c r="D27" s="1">
        <v>0.79618258801737984</v>
      </c>
      <c r="E27" s="1">
        <v>2305</v>
      </c>
      <c r="G27" s="1">
        <v>2305</v>
      </c>
      <c r="H27" s="1">
        <v>0.79618258801737984</v>
      </c>
    </row>
    <row r="28" spans="4:8" x14ac:dyDescent="0.2">
      <c r="D28" s="1">
        <v>0.76234470036705659</v>
      </c>
      <c r="E28" s="1">
        <v>2756</v>
      </c>
      <c r="G28" s="1">
        <v>2756</v>
      </c>
      <c r="H28" s="1">
        <v>0.76234470036705659</v>
      </c>
    </row>
    <row r="29" spans="4:8" x14ac:dyDescent="0.2">
      <c r="D29" s="1">
        <v>0.76234450803713838</v>
      </c>
      <c r="E29" s="1">
        <v>1910</v>
      </c>
      <c r="G29" s="1">
        <v>1910</v>
      </c>
      <c r="H29" s="1">
        <v>0.76234450803713838</v>
      </c>
    </row>
    <row r="30" spans="4:8" x14ac:dyDescent="0.2">
      <c r="D30" s="1">
        <v>0.78141468718541107</v>
      </c>
      <c r="E30" s="1">
        <v>2289</v>
      </c>
      <c r="G30" s="1">
        <v>2289</v>
      </c>
      <c r="H30" s="1">
        <v>0.78141468718541107</v>
      </c>
    </row>
    <row r="31" spans="4:8" x14ac:dyDescent="0.2">
      <c r="D31" s="1">
        <v>0.96999420177578166</v>
      </c>
      <c r="E31" s="1">
        <v>2640</v>
      </c>
      <c r="G31" s="1">
        <v>2640</v>
      </c>
      <c r="H31" s="1">
        <v>0.96999420177578166</v>
      </c>
    </row>
    <row r="32" spans="4:8" x14ac:dyDescent="0.2">
      <c r="D32" s="1">
        <v>1.0545572398402554</v>
      </c>
      <c r="E32" s="1">
        <v>2326</v>
      </c>
      <c r="G32" s="1">
        <v>2326</v>
      </c>
      <c r="H32" s="1">
        <v>1.0545572398402554</v>
      </c>
    </row>
    <row r="33" spans="4:8" x14ac:dyDescent="0.2">
      <c r="D33" s="1">
        <v>0.98968202622428658</v>
      </c>
      <c r="E33" s="1">
        <v>1921</v>
      </c>
      <c r="G33" s="1">
        <v>1921</v>
      </c>
      <c r="H33" s="1">
        <v>0.98968202622428658</v>
      </c>
    </row>
    <row r="34" spans="4:8" x14ac:dyDescent="0.2">
      <c r="D34" s="1">
        <v>0.99754823974883589</v>
      </c>
      <c r="E34" s="1">
        <v>2993</v>
      </c>
      <c r="G34" s="1">
        <v>2993</v>
      </c>
      <c r="H34" s="1">
        <v>0.99754823974883589</v>
      </c>
    </row>
    <row r="35" spans="4:8" x14ac:dyDescent="0.2">
      <c r="D35" s="1">
        <v>0.93825596832505476</v>
      </c>
      <c r="E35" s="1">
        <v>2641</v>
      </c>
      <c r="G35" s="1">
        <v>2641</v>
      </c>
      <c r="H35" s="1">
        <v>0.93825596832505476</v>
      </c>
    </row>
    <row r="36" spans="4:8" x14ac:dyDescent="0.2">
      <c r="D36" s="1">
        <v>0.9431609303978965</v>
      </c>
      <c r="E36" s="1">
        <v>2387</v>
      </c>
      <c r="G36" s="1">
        <v>2387</v>
      </c>
      <c r="H36" s="1">
        <v>0.9431609303978965</v>
      </c>
    </row>
    <row r="37" spans="4:8" x14ac:dyDescent="0.2">
      <c r="D37" s="1">
        <v>0.90150524065914583</v>
      </c>
      <c r="E37" s="1">
        <v>557</v>
      </c>
      <c r="G37" s="1">
        <v>557</v>
      </c>
      <c r="H37" s="1">
        <v>0.90150524065914583</v>
      </c>
    </row>
    <row r="38" spans="4:8" x14ac:dyDescent="0.2">
      <c r="D38" s="1">
        <v>0.92057071755511488</v>
      </c>
      <c r="E38" s="1">
        <v>366</v>
      </c>
      <c r="G38" s="1">
        <v>366</v>
      </c>
      <c r="H38" s="1">
        <v>0.92057071755511488</v>
      </c>
    </row>
    <row r="39" spans="4:8" x14ac:dyDescent="0.2">
      <c r="D39" s="1">
        <v>0.95911272035301631</v>
      </c>
      <c r="E39" s="1">
        <v>738</v>
      </c>
      <c r="G39" s="1">
        <v>738</v>
      </c>
      <c r="H39" s="1">
        <v>0.95911272035301631</v>
      </c>
    </row>
    <row r="40" spans="4:8" x14ac:dyDescent="0.2">
      <c r="D40" s="1">
        <v>0.9743794438840957</v>
      </c>
      <c r="E40" s="1">
        <v>925</v>
      </c>
      <c r="G40" s="1">
        <v>925</v>
      </c>
      <c r="H40" s="1">
        <v>0.9743794438840957</v>
      </c>
    </row>
    <row r="41" spans="4:8" x14ac:dyDescent="0.2">
      <c r="D41" s="1">
        <v>0.99127251850809717</v>
      </c>
      <c r="E41" s="1">
        <v>1177</v>
      </c>
      <c r="G41" s="1">
        <v>1177</v>
      </c>
      <c r="H41" s="1">
        <v>0.99127251850809717</v>
      </c>
    </row>
    <row r="42" spans="4:8" x14ac:dyDescent="0.2">
      <c r="D42" s="1">
        <v>0.98159187888226151</v>
      </c>
      <c r="E42" s="1">
        <v>741</v>
      </c>
      <c r="G42" s="1">
        <v>741</v>
      </c>
      <c r="H42" s="1">
        <v>0.98159187888226151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18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0.1</v>
      </c>
      <c r="D1" s="1">
        <v>0</v>
      </c>
    </row>
    <row r="2" spans="1:4" x14ac:dyDescent="0.2">
      <c r="A2" s="1">
        <v>0</v>
      </c>
      <c r="B2" s="1">
        <v>10</v>
      </c>
      <c r="C2" s="1">
        <v>0.1</v>
      </c>
      <c r="D2" s="1">
        <v>0</v>
      </c>
    </row>
    <row r="3" spans="1:4" x14ac:dyDescent="0.2">
      <c r="A3" s="1">
        <v>250</v>
      </c>
      <c r="B3" s="1">
        <v>10</v>
      </c>
      <c r="C3" s="1">
        <v>0.16856055191651406</v>
      </c>
      <c r="D3" s="1">
        <v>0</v>
      </c>
    </row>
    <row r="4" spans="1:4" x14ac:dyDescent="0.2">
      <c r="A4" s="1">
        <v>250</v>
      </c>
      <c r="B4" s="1">
        <v>0</v>
      </c>
      <c r="C4" s="1">
        <v>0.16856055191651406</v>
      </c>
      <c r="D4" s="1">
        <v>0</v>
      </c>
    </row>
    <row r="5" spans="1:4" x14ac:dyDescent="0.2">
      <c r="A5" s="1">
        <v>250</v>
      </c>
      <c r="B5" s="1">
        <v>9</v>
      </c>
      <c r="C5" s="1">
        <v>0.16856055191651406</v>
      </c>
      <c r="D5" s="1">
        <v>2</v>
      </c>
    </row>
    <row r="6" spans="1:4" x14ac:dyDescent="0.2">
      <c r="A6" s="1">
        <v>500</v>
      </c>
      <c r="B6" s="1">
        <v>9</v>
      </c>
      <c r="C6" s="1">
        <v>0.23712110383302812</v>
      </c>
      <c r="D6" s="1">
        <v>2</v>
      </c>
    </row>
    <row r="7" spans="1:4" x14ac:dyDescent="0.2">
      <c r="A7" s="1">
        <v>500</v>
      </c>
      <c r="B7" s="1">
        <v>0</v>
      </c>
      <c r="C7" s="1">
        <v>0.23712110383302812</v>
      </c>
      <c r="D7" s="1">
        <v>0</v>
      </c>
    </row>
    <row r="8" spans="1:4" x14ac:dyDescent="0.2">
      <c r="A8" s="1">
        <v>500</v>
      </c>
      <c r="B8" s="1">
        <v>5</v>
      </c>
      <c r="C8" s="1">
        <v>0.23712110383302812</v>
      </c>
      <c r="D8" s="1">
        <v>4</v>
      </c>
    </row>
    <row r="9" spans="1:4" x14ac:dyDescent="0.2">
      <c r="A9" s="1">
        <v>750</v>
      </c>
      <c r="B9" s="1">
        <v>5</v>
      </c>
      <c r="C9" s="1">
        <v>0.30568165574954215</v>
      </c>
      <c r="D9" s="1">
        <v>4</v>
      </c>
    </row>
    <row r="10" spans="1:4" x14ac:dyDescent="0.2">
      <c r="A10" s="1">
        <v>750</v>
      </c>
      <c r="B10" s="1">
        <v>0</v>
      </c>
      <c r="C10" s="1">
        <v>0.30568165574954215</v>
      </c>
      <c r="D10" s="1">
        <v>0</v>
      </c>
    </row>
    <row r="11" spans="1:4" x14ac:dyDescent="0.2">
      <c r="A11" s="1">
        <v>750</v>
      </c>
      <c r="B11" s="1">
        <v>5</v>
      </c>
      <c r="C11" s="1">
        <v>0.30568165574954215</v>
      </c>
      <c r="D11" s="1">
        <v>6</v>
      </c>
    </row>
    <row r="12" spans="1:4" x14ac:dyDescent="0.2">
      <c r="A12" s="1">
        <v>1000</v>
      </c>
      <c r="B12" s="1">
        <v>5</v>
      </c>
      <c r="C12" s="1">
        <v>0.3742422076660562</v>
      </c>
      <c r="D12" s="1">
        <v>6</v>
      </c>
    </row>
    <row r="13" spans="1:4" x14ac:dyDescent="0.2">
      <c r="A13" s="1">
        <v>1000</v>
      </c>
      <c r="B13" s="1">
        <v>0</v>
      </c>
      <c r="C13" s="1">
        <v>0.3742422076660562</v>
      </c>
      <c r="D13" s="1">
        <v>0</v>
      </c>
    </row>
    <row r="14" spans="1:4" x14ac:dyDescent="0.2">
      <c r="A14" s="1">
        <v>1000</v>
      </c>
      <c r="B14" s="1">
        <v>7</v>
      </c>
      <c r="C14" s="1">
        <v>0.3742422076660562</v>
      </c>
      <c r="D14" s="1">
        <v>5</v>
      </c>
    </row>
    <row r="15" spans="1:4" x14ac:dyDescent="0.2">
      <c r="A15" s="1">
        <v>1250</v>
      </c>
      <c r="B15" s="1">
        <v>7</v>
      </c>
      <c r="C15" s="1">
        <v>0.44280275958257026</v>
      </c>
      <c r="D15" s="1">
        <v>5</v>
      </c>
    </row>
    <row r="16" spans="1:4" x14ac:dyDescent="0.2">
      <c r="A16" s="1">
        <v>1250</v>
      </c>
      <c r="B16" s="1">
        <v>0</v>
      </c>
      <c r="C16" s="1">
        <v>0.44280275958257026</v>
      </c>
      <c r="D16" s="1">
        <v>0</v>
      </c>
    </row>
    <row r="17" spans="1:4" x14ac:dyDescent="0.2">
      <c r="A17" s="1">
        <v>1250</v>
      </c>
      <c r="B17" s="1">
        <v>3</v>
      </c>
      <c r="C17" s="1">
        <v>0.44280275958257026</v>
      </c>
      <c r="D17" s="1">
        <v>2</v>
      </c>
    </row>
    <row r="18" spans="1:4" x14ac:dyDescent="0.2">
      <c r="A18" s="1">
        <v>1500</v>
      </c>
      <c r="B18" s="1">
        <v>3</v>
      </c>
      <c r="C18" s="1">
        <v>0.51136331149908432</v>
      </c>
      <c r="D18" s="1">
        <v>2</v>
      </c>
    </row>
    <row r="19" spans="1:4" x14ac:dyDescent="0.2">
      <c r="A19" s="1">
        <v>1500</v>
      </c>
      <c r="B19" s="1">
        <v>0</v>
      </c>
      <c r="C19" s="1">
        <v>0.51136331149908432</v>
      </c>
      <c r="D19" s="1">
        <v>0</v>
      </c>
    </row>
    <row r="20" spans="1:4" x14ac:dyDescent="0.2">
      <c r="A20" s="1">
        <v>1500</v>
      </c>
      <c r="B20" s="1">
        <v>1</v>
      </c>
      <c r="C20" s="1">
        <v>0.51136331149908432</v>
      </c>
      <c r="D20" s="1">
        <v>9</v>
      </c>
    </row>
    <row r="21" spans="1:4" x14ac:dyDescent="0.2">
      <c r="A21" s="1">
        <v>1750</v>
      </c>
      <c r="B21" s="1">
        <v>1</v>
      </c>
      <c r="C21" s="1">
        <v>0.57992386341559843</v>
      </c>
      <c r="D21" s="1">
        <v>9</v>
      </c>
    </row>
    <row r="22" spans="1:4" x14ac:dyDescent="0.2">
      <c r="A22" s="1">
        <v>1750</v>
      </c>
      <c r="B22" s="1">
        <v>0</v>
      </c>
      <c r="C22" s="1">
        <v>0.57992386341559843</v>
      </c>
      <c r="D22" s="1">
        <v>0</v>
      </c>
    </row>
    <row r="23" spans="1:4" x14ac:dyDescent="0.2">
      <c r="A23" s="1">
        <v>1750</v>
      </c>
      <c r="B23" s="1">
        <v>3</v>
      </c>
      <c r="C23" s="1">
        <v>0.57992386341559843</v>
      </c>
      <c r="D23" s="1">
        <v>6</v>
      </c>
    </row>
    <row r="24" spans="1:4" x14ac:dyDescent="0.2">
      <c r="A24" s="1">
        <v>2000</v>
      </c>
      <c r="B24" s="1">
        <v>3</v>
      </c>
      <c r="C24" s="1">
        <v>0.64848441533211243</v>
      </c>
      <c r="D24" s="1">
        <v>6</v>
      </c>
    </row>
    <row r="25" spans="1:4" x14ac:dyDescent="0.2">
      <c r="A25" s="1">
        <v>2000</v>
      </c>
      <c r="B25" s="1">
        <v>0</v>
      </c>
      <c r="C25" s="1">
        <v>0.64848441533211243</v>
      </c>
      <c r="D25" s="1">
        <v>0</v>
      </c>
    </row>
    <row r="26" spans="1:4" x14ac:dyDescent="0.2">
      <c r="A26" s="1">
        <v>2000</v>
      </c>
      <c r="B26" s="1">
        <v>1</v>
      </c>
      <c r="C26" s="1">
        <v>0.64848441533211243</v>
      </c>
      <c r="D26" s="1">
        <v>7</v>
      </c>
    </row>
    <row r="27" spans="1:4" x14ac:dyDescent="0.2">
      <c r="A27" s="1">
        <v>2250</v>
      </c>
      <c r="B27" s="1">
        <v>1</v>
      </c>
      <c r="C27" s="1">
        <v>0.71704496724862654</v>
      </c>
      <c r="D27" s="1">
        <v>7</v>
      </c>
    </row>
    <row r="28" spans="1:4" x14ac:dyDescent="0.2">
      <c r="A28" s="1">
        <v>2250</v>
      </c>
      <c r="B28" s="1">
        <v>0</v>
      </c>
      <c r="C28" s="1">
        <v>0.71704496724862654</v>
      </c>
      <c r="D28" s="1">
        <v>0</v>
      </c>
    </row>
    <row r="29" spans="1:4" x14ac:dyDescent="0.2">
      <c r="A29" s="1">
        <v>2250</v>
      </c>
      <c r="B29" s="1">
        <v>1</v>
      </c>
      <c r="C29" s="1">
        <v>0.71704496724862654</v>
      </c>
      <c r="D29" s="1">
        <v>8</v>
      </c>
    </row>
    <row r="30" spans="1:4" x14ac:dyDescent="0.2">
      <c r="A30" s="1">
        <v>2500</v>
      </c>
      <c r="B30" s="1">
        <v>1</v>
      </c>
      <c r="C30" s="1">
        <v>0.78560551916514054</v>
      </c>
      <c r="D30" s="1">
        <v>8</v>
      </c>
    </row>
    <row r="31" spans="1:4" x14ac:dyDescent="0.2">
      <c r="A31" s="1">
        <v>2500</v>
      </c>
      <c r="B31" s="1">
        <v>0</v>
      </c>
      <c r="C31" s="1">
        <v>0.78560551916514054</v>
      </c>
      <c r="D31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9"/>
  <dimension ref="D1:H49"/>
  <sheetViews>
    <sheetView workbookViewId="0"/>
  </sheetViews>
  <sheetFormatPr defaultRowHeight="12.75" x14ac:dyDescent="0.2"/>
  <sheetData>
    <row r="1" spans="4:8" x14ac:dyDescent="0.2">
      <c r="D1" s="1">
        <v>1072000</v>
      </c>
      <c r="E1" s="1">
        <v>356</v>
      </c>
      <c r="G1" s="1">
        <v>356</v>
      </c>
      <c r="H1" s="1">
        <v>1072000</v>
      </c>
    </row>
    <row r="2" spans="4:8" x14ac:dyDescent="0.2">
      <c r="D2" s="1">
        <v>1020100</v>
      </c>
      <c r="E2" s="1">
        <v>471</v>
      </c>
      <c r="G2" s="1">
        <v>471</v>
      </c>
      <c r="H2" s="1">
        <v>1020100</v>
      </c>
    </row>
    <row r="3" spans="4:8" x14ac:dyDescent="0.2">
      <c r="D3" s="1">
        <v>1028600</v>
      </c>
      <c r="E3" s="1">
        <v>230</v>
      </c>
      <c r="G3" s="1">
        <v>230</v>
      </c>
      <c r="H3" s="1">
        <v>1028600</v>
      </c>
    </row>
    <row r="4" spans="4:8" x14ac:dyDescent="0.2">
      <c r="D4" s="1">
        <v>1001500</v>
      </c>
      <c r="E4" s="1">
        <v>264</v>
      </c>
      <c r="G4" s="1">
        <v>264</v>
      </c>
      <c r="H4" s="1">
        <v>1001500</v>
      </c>
    </row>
    <row r="5" spans="4:8" x14ac:dyDescent="0.2">
      <c r="D5" s="1">
        <v>1071500</v>
      </c>
      <c r="E5" s="1">
        <v>212</v>
      </c>
      <c r="G5" s="1">
        <v>212</v>
      </c>
      <c r="H5" s="1">
        <v>1071500</v>
      </c>
    </row>
    <row r="6" spans="4:8" x14ac:dyDescent="0.2">
      <c r="D6" s="1">
        <v>1019600</v>
      </c>
      <c r="E6" s="1">
        <v>180</v>
      </c>
      <c r="G6" s="1">
        <v>180</v>
      </c>
      <c r="H6" s="1">
        <v>1019600</v>
      </c>
    </row>
    <row r="7" spans="4:8" x14ac:dyDescent="0.2">
      <c r="D7" s="1">
        <v>978000</v>
      </c>
      <c r="E7" s="1">
        <v>400</v>
      </c>
      <c r="G7" s="1">
        <v>400</v>
      </c>
      <c r="H7" s="1">
        <v>978000</v>
      </c>
    </row>
    <row r="8" spans="4:8" x14ac:dyDescent="0.2">
      <c r="D8" s="1">
        <v>1004000</v>
      </c>
      <c r="E8" s="1">
        <v>376</v>
      </c>
      <c r="G8" s="1">
        <v>376</v>
      </c>
      <c r="H8" s="1">
        <v>1004000</v>
      </c>
    </row>
    <row r="9" spans="4:8" x14ac:dyDescent="0.2">
      <c r="D9" s="1">
        <v>1100000</v>
      </c>
      <c r="E9" s="1">
        <v>513</v>
      </c>
      <c r="G9" s="1">
        <v>513</v>
      </c>
      <c r="H9" s="1">
        <v>1100000</v>
      </c>
    </row>
    <row r="10" spans="4:8" x14ac:dyDescent="0.2">
      <c r="D10" s="1">
        <v>1181000</v>
      </c>
      <c r="E10" s="1">
        <v>1165</v>
      </c>
      <c r="G10" s="1">
        <v>1165</v>
      </c>
      <c r="H10" s="1">
        <v>1181000</v>
      </c>
    </row>
    <row r="11" spans="4:8" x14ac:dyDescent="0.2">
      <c r="D11" s="1">
        <v>1171000</v>
      </c>
      <c r="E11" s="1">
        <v>459</v>
      </c>
      <c r="G11" s="1">
        <v>459</v>
      </c>
      <c r="H11" s="1">
        <v>1171000</v>
      </c>
    </row>
    <row r="12" spans="4:8" x14ac:dyDescent="0.2">
      <c r="D12" s="1">
        <v>1265000</v>
      </c>
      <c r="E12" s="1">
        <v>1104</v>
      </c>
      <c r="G12" s="1">
        <v>1104</v>
      </c>
      <c r="H12" s="1">
        <v>1265000</v>
      </c>
    </row>
    <row r="13" spans="4:8" x14ac:dyDescent="0.2">
      <c r="D13" s="1">
        <v>1512000</v>
      </c>
      <c r="E13" s="1">
        <v>1449</v>
      </c>
      <c r="G13" s="1">
        <v>1449</v>
      </c>
      <c r="H13" s="1">
        <v>1512000</v>
      </c>
    </row>
    <row r="14" spans="4:8" x14ac:dyDescent="0.2">
      <c r="D14" s="1">
        <v>1746000</v>
      </c>
      <c r="E14" s="1">
        <v>1414</v>
      </c>
      <c r="G14" s="1">
        <v>1414</v>
      </c>
      <c r="H14" s="1">
        <v>1746000</v>
      </c>
    </row>
    <row r="15" spans="4:8" x14ac:dyDescent="0.2">
      <c r="D15" s="1">
        <v>1530000</v>
      </c>
      <c r="E15" s="1">
        <v>1923</v>
      </c>
      <c r="G15" s="1">
        <v>1923</v>
      </c>
      <c r="H15" s="1">
        <v>1530000</v>
      </c>
    </row>
    <row r="16" spans="4:8" x14ac:dyDescent="0.2">
      <c r="D16" s="1">
        <v>1859000</v>
      </c>
      <c r="E16" s="1">
        <v>2146</v>
      </c>
      <c r="G16" s="1">
        <v>2146</v>
      </c>
      <c r="H16" s="1">
        <v>1859000</v>
      </c>
    </row>
    <row r="17" spans="4:8" x14ac:dyDescent="0.2">
      <c r="D17" s="1">
        <v>1703000</v>
      </c>
      <c r="E17" s="1">
        <v>3642</v>
      </c>
      <c r="G17" s="1">
        <v>3642</v>
      </c>
      <c r="H17" s="1">
        <v>1703000</v>
      </c>
    </row>
    <row r="18" spans="4:8" x14ac:dyDescent="0.2">
      <c r="D18" s="1">
        <v>1831000</v>
      </c>
      <c r="E18" s="1">
        <v>3506</v>
      </c>
      <c r="G18" s="1">
        <v>3506</v>
      </c>
      <c r="H18" s="1">
        <v>1831000</v>
      </c>
    </row>
    <row r="19" spans="4:8" x14ac:dyDescent="0.2">
      <c r="D19" s="1">
        <v>1726000</v>
      </c>
      <c r="E19" s="1">
        <v>1974</v>
      </c>
      <c r="G19" s="1">
        <v>1974</v>
      </c>
      <c r="H19" s="1">
        <v>1726000</v>
      </c>
    </row>
    <row r="20" spans="4:8" x14ac:dyDescent="0.2">
      <c r="D20" s="1">
        <v>1818000</v>
      </c>
      <c r="E20" s="1">
        <v>5086</v>
      </c>
      <c r="G20" s="1">
        <v>5086</v>
      </c>
      <c r="H20" s="1">
        <v>1818000</v>
      </c>
    </row>
    <row r="21" spans="4:8" x14ac:dyDescent="0.2">
      <c r="D21" s="1">
        <v>1778000</v>
      </c>
      <c r="E21" s="1">
        <v>2394</v>
      </c>
      <c r="G21" s="1">
        <v>2394</v>
      </c>
      <c r="H21" s="1">
        <v>1778000</v>
      </c>
    </row>
    <row r="22" spans="4:8" x14ac:dyDescent="0.2">
      <c r="D22" s="1">
        <v>2576000</v>
      </c>
      <c r="E22" s="1">
        <v>841</v>
      </c>
      <c r="G22" s="1">
        <v>841</v>
      </c>
      <c r="H22" s="1">
        <v>2576000</v>
      </c>
    </row>
    <row r="23" spans="4:8" x14ac:dyDescent="0.2">
      <c r="D23" s="1">
        <v>2778667</v>
      </c>
      <c r="E23" s="1">
        <v>2924</v>
      </c>
      <c r="G23" s="1">
        <v>2924</v>
      </c>
      <c r="H23" s="1">
        <v>2778667</v>
      </c>
    </row>
    <row r="24" spans="4:8" x14ac:dyDescent="0.2">
      <c r="D24" s="1">
        <v>2647000</v>
      </c>
      <c r="E24" s="1">
        <v>4721</v>
      </c>
      <c r="G24" s="1">
        <v>4721</v>
      </c>
      <c r="H24" s="1">
        <v>2647000</v>
      </c>
    </row>
    <row r="25" spans="4:8" x14ac:dyDescent="0.2">
      <c r="D25" s="1">
        <v>2974000</v>
      </c>
      <c r="E25" s="1">
        <v>2370</v>
      </c>
      <c r="G25" s="1">
        <v>2370</v>
      </c>
      <c r="H25" s="1">
        <v>2974000</v>
      </c>
    </row>
    <row r="26" spans="4:8" x14ac:dyDescent="0.2">
      <c r="D26" s="1">
        <v>3299000</v>
      </c>
      <c r="E26" s="1">
        <v>3895</v>
      </c>
      <c r="G26" s="1">
        <v>3895</v>
      </c>
      <c r="H26" s="1">
        <v>3299000</v>
      </c>
    </row>
    <row r="27" spans="4:8" x14ac:dyDescent="0.2">
      <c r="D27" s="1">
        <v>4679959</v>
      </c>
      <c r="E27" s="1">
        <v>8243</v>
      </c>
      <c r="G27" s="1">
        <v>8243</v>
      </c>
      <c r="H27" s="1">
        <v>4679959</v>
      </c>
    </row>
    <row r="28" spans="4:8" x14ac:dyDescent="0.2">
      <c r="D28" s="1">
        <v>6157494</v>
      </c>
      <c r="E28" s="1">
        <v>4045</v>
      </c>
      <c r="G28" s="1">
        <v>4045</v>
      </c>
      <c r="H28" s="1">
        <v>6157494</v>
      </c>
    </row>
    <row r="29" spans="4:8" x14ac:dyDescent="0.2">
      <c r="D29" s="1">
        <v>5812414</v>
      </c>
      <c r="E29" s="1">
        <v>4717</v>
      </c>
      <c r="G29" s="1">
        <v>4717</v>
      </c>
      <c r="H29" s="1">
        <v>5812414</v>
      </c>
    </row>
    <row r="30" spans="4:8" x14ac:dyDescent="0.2">
      <c r="D30" s="1">
        <v>5174769</v>
      </c>
      <c r="E30" s="1">
        <v>8145</v>
      </c>
      <c r="G30" s="1">
        <v>8145</v>
      </c>
      <c r="H30" s="1">
        <v>5174769</v>
      </c>
    </row>
    <row r="31" spans="4:8" x14ac:dyDescent="0.2">
      <c r="D31" s="1">
        <v>5167265</v>
      </c>
      <c r="E31" s="1">
        <v>6339</v>
      </c>
      <c r="G31" s="1">
        <v>6339</v>
      </c>
      <c r="H31" s="1">
        <v>5167265</v>
      </c>
    </row>
    <row r="32" spans="4:8" x14ac:dyDescent="0.2">
      <c r="D32" s="1">
        <v>4356245</v>
      </c>
      <c r="E32" s="1">
        <v>8480</v>
      </c>
      <c r="G32" s="1">
        <v>8480</v>
      </c>
      <c r="H32" s="1">
        <v>4356245</v>
      </c>
    </row>
    <row r="33" spans="4:8" x14ac:dyDescent="0.2">
      <c r="D33" s="1">
        <v>5585120</v>
      </c>
      <c r="E33" s="1">
        <v>15253</v>
      </c>
      <c r="G33" s="1">
        <v>15253</v>
      </c>
      <c r="H33" s="1">
        <v>5585120</v>
      </c>
    </row>
    <row r="34" spans="4:8" x14ac:dyDescent="0.2">
      <c r="D34" s="1">
        <v>5835684</v>
      </c>
      <c r="E34" s="1">
        <v>10261</v>
      </c>
      <c r="G34" s="1">
        <v>10261</v>
      </c>
      <c r="H34" s="1">
        <v>5835684</v>
      </c>
    </row>
    <row r="35" spans="4:8" x14ac:dyDescent="0.2">
      <c r="D35" s="1">
        <v>5838288</v>
      </c>
      <c r="E35" s="1">
        <v>13196</v>
      </c>
      <c r="G35" s="1">
        <v>13196</v>
      </c>
      <c r="H35" s="1">
        <v>5838288</v>
      </c>
    </row>
    <row r="36" spans="4:8" x14ac:dyDescent="0.2">
      <c r="D36" s="1">
        <v>5914185</v>
      </c>
      <c r="E36" s="1">
        <v>8593</v>
      </c>
      <c r="G36" s="1">
        <v>8593</v>
      </c>
      <c r="H36" s="1">
        <v>5914185</v>
      </c>
    </row>
    <row r="37" spans="4:8" x14ac:dyDescent="0.2">
      <c r="D37" s="1">
        <v>5733493</v>
      </c>
      <c r="E37" s="1">
        <v>12589</v>
      </c>
      <c r="G37" s="1">
        <v>12589</v>
      </c>
      <c r="H37" s="1">
        <v>5733493</v>
      </c>
    </row>
    <row r="38" spans="4:8" x14ac:dyDescent="0.2">
      <c r="D38" s="1">
        <v>5196064</v>
      </c>
      <c r="E38" s="1">
        <v>10025</v>
      </c>
      <c r="G38" s="1">
        <v>10025</v>
      </c>
      <c r="H38" s="1">
        <v>5196064</v>
      </c>
    </row>
    <row r="39" spans="4:8" x14ac:dyDescent="0.2">
      <c r="D39" s="1">
        <v>4910067</v>
      </c>
      <c r="E39" s="1">
        <v>10773</v>
      </c>
      <c r="G39" s="1">
        <v>10773</v>
      </c>
      <c r="H39" s="1">
        <v>4910067</v>
      </c>
    </row>
    <row r="40" spans="4:8" x14ac:dyDescent="0.2">
      <c r="D40" s="1">
        <v>6120874</v>
      </c>
      <c r="E40" s="1">
        <v>8483</v>
      </c>
      <c r="G40" s="1">
        <v>8483</v>
      </c>
      <c r="H40" s="1">
        <v>6120874</v>
      </c>
    </row>
    <row r="41" spans="4:8" x14ac:dyDescent="0.2">
      <c r="D41" s="1">
        <v>5490126</v>
      </c>
      <c r="E41" s="1">
        <v>10618</v>
      </c>
      <c r="G41" s="1">
        <v>10618</v>
      </c>
      <c r="H41" s="1">
        <v>5490126</v>
      </c>
    </row>
    <row r="42" spans="4:8" x14ac:dyDescent="0.2">
      <c r="D42" s="1">
        <v>6925043.9399999995</v>
      </c>
      <c r="E42" s="1">
        <v>11573</v>
      </c>
      <c r="G42" s="1">
        <v>11573</v>
      </c>
      <c r="H42" s="1">
        <v>6925043.9399999995</v>
      </c>
    </row>
    <row r="43" spans="4:8" x14ac:dyDescent="0.2">
      <c r="D43" s="1">
        <v>6686988</v>
      </c>
      <c r="E43" s="1">
        <v>6996</v>
      </c>
      <c r="G43" s="1">
        <v>6996</v>
      </c>
      <c r="H43" s="1">
        <v>6686988</v>
      </c>
    </row>
    <row r="44" spans="4:8" x14ac:dyDescent="0.2">
      <c r="D44" s="1">
        <v>7181500</v>
      </c>
      <c r="E44" s="1">
        <v>3157</v>
      </c>
      <c r="G44" s="1">
        <v>3157</v>
      </c>
      <c r="H44" s="1">
        <v>7181500</v>
      </c>
    </row>
    <row r="45" spans="4:8" x14ac:dyDescent="0.2">
      <c r="D45" s="1">
        <v>7377400</v>
      </c>
      <c r="E45" s="1">
        <v>2546</v>
      </c>
      <c r="G45" s="1">
        <v>2546</v>
      </c>
      <c r="H45" s="1">
        <v>7377400</v>
      </c>
    </row>
    <row r="46" spans="4:8" x14ac:dyDescent="0.2">
      <c r="D46" s="1">
        <v>6140667.4299999997</v>
      </c>
      <c r="E46" s="1">
        <v>3970</v>
      </c>
      <c r="G46" s="1">
        <v>3970</v>
      </c>
      <c r="H46" s="1">
        <v>6140667.4299999997</v>
      </c>
    </row>
    <row r="47" spans="4:8" x14ac:dyDescent="0.2">
      <c r="D47" s="1">
        <v>6876697</v>
      </c>
      <c r="E47" s="1">
        <v>3852</v>
      </c>
      <c r="G47" s="1">
        <v>3852</v>
      </c>
      <c r="H47" s="1">
        <v>6876697</v>
      </c>
    </row>
    <row r="48" spans="4:8" x14ac:dyDescent="0.2">
      <c r="D48" s="1">
        <v>7744446</v>
      </c>
      <c r="E48" s="1">
        <v>6342</v>
      </c>
      <c r="G48" s="1">
        <v>6342</v>
      </c>
      <c r="H48" s="1">
        <v>7744446</v>
      </c>
    </row>
    <row r="49" spans="4:8" x14ac:dyDescent="0.2">
      <c r="D49" s="1">
        <v>7519875</v>
      </c>
      <c r="E49" s="1">
        <v>3794</v>
      </c>
      <c r="G49" s="1">
        <v>3794</v>
      </c>
      <c r="H49" s="1">
        <v>7519875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19"/>
  <dimension ref="D1:H42"/>
  <sheetViews>
    <sheetView workbookViewId="0"/>
  </sheetViews>
  <sheetFormatPr defaultRowHeight="12.75" x14ac:dyDescent="0.2"/>
  <sheetData>
    <row r="1" spans="4:8" x14ac:dyDescent="0.2">
      <c r="D1" s="1">
        <v>0.35980250889625798</v>
      </c>
      <c r="E1" s="1">
        <v>77</v>
      </c>
      <c r="G1" s="1">
        <v>77</v>
      </c>
      <c r="H1" s="1">
        <v>0.35980250889625798</v>
      </c>
    </row>
    <row r="2" spans="4:8" x14ac:dyDescent="0.2">
      <c r="D2" s="1">
        <v>0.37452065893499087</v>
      </c>
      <c r="E2" s="1">
        <v>65</v>
      </c>
      <c r="G2" s="1">
        <v>65</v>
      </c>
      <c r="H2" s="1">
        <v>0.37452065893499087</v>
      </c>
    </row>
    <row r="3" spans="4:8" x14ac:dyDescent="0.2">
      <c r="D3" s="1">
        <v>0.3875966866551806</v>
      </c>
      <c r="E3" s="1">
        <v>136</v>
      </c>
      <c r="G3" s="1">
        <v>136</v>
      </c>
      <c r="H3" s="1">
        <v>0.3875966866551806</v>
      </c>
    </row>
    <row r="4" spans="4:8" x14ac:dyDescent="0.2">
      <c r="D4" s="1">
        <v>0.36831200100956424</v>
      </c>
      <c r="E4" s="1">
        <v>38</v>
      </c>
      <c r="G4" s="1">
        <v>38</v>
      </c>
      <c r="H4" s="1">
        <v>0.36831200100956424</v>
      </c>
    </row>
    <row r="5" spans="4:8" x14ac:dyDescent="0.2">
      <c r="D5" s="1">
        <v>0.33767530741977192</v>
      </c>
      <c r="E5" s="1">
        <v>87</v>
      </c>
      <c r="G5" s="1">
        <v>87</v>
      </c>
      <c r="H5" s="1">
        <v>0.33767530741977192</v>
      </c>
    </row>
    <row r="6" spans="4:8" x14ac:dyDescent="0.2">
      <c r="D6" s="1">
        <v>0.3700052056605978</v>
      </c>
      <c r="E6" s="1">
        <v>172</v>
      </c>
      <c r="G6" s="1">
        <v>172</v>
      </c>
      <c r="H6" s="1">
        <v>0.3700052056605978</v>
      </c>
    </row>
    <row r="7" spans="4:8" x14ac:dyDescent="0.2">
      <c r="D7" s="1">
        <v>0.4067798066686345</v>
      </c>
      <c r="E7" s="1">
        <v>193</v>
      </c>
      <c r="G7" s="1">
        <v>193</v>
      </c>
      <c r="H7" s="1">
        <v>0.4067798066686345</v>
      </c>
    </row>
    <row r="8" spans="4:8" x14ac:dyDescent="0.2">
      <c r="D8" s="1">
        <v>0.37805791323212684</v>
      </c>
      <c r="E8" s="1">
        <v>199</v>
      </c>
      <c r="G8" s="1">
        <v>199</v>
      </c>
      <c r="H8" s="1">
        <v>0.37805791323212684</v>
      </c>
    </row>
    <row r="9" spans="4:8" x14ac:dyDescent="0.2">
      <c r="D9" s="1">
        <v>0.35931263316747114</v>
      </c>
      <c r="E9" s="1">
        <v>394</v>
      </c>
      <c r="G9" s="1">
        <v>394</v>
      </c>
      <c r="H9" s="1">
        <v>0.35931263316747114</v>
      </c>
    </row>
    <row r="10" spans="4:8" x14ac:dyDescent="0.2">
      <c r="D10" s="1">
        <v>0.43963272299503375</v>
      </c>
      <c r="E10" s="1">
        <v>768</v>
      </c>
      <c r="G10" s="1">
        <v>768</v>
      </c>
      <c r="H10" s="1">
        <v>0.43963272299503375</v>
      </c>
    </row>
    <row r="11" spans="4:8" x14ac:dyDescent="0.2">
      <c r="D11" s="1">
        <v>0.48040619648549021</v>
      </c>
      <c r="E11" s="1">
        <v>729</v>
      </c>
      <c r="G11" s="1">
        <v>729</v>
      </c>
      <c r="H11" s="1">
        <v>0.48040619648549021</v>
      </c>
    </row>
    <row r="12" spans="4:8" x14ac:dyDescent="0.2">
      <c r="D12" s="1">
        <v>0.52420122827166371</v>
      </c>
      <c r="E12" s="1">
        <v>527</v>
      </c>
      <c r="G12" s="1">
        <v>527</v>
      </c>
      <c r="H12" s="1">
        <v>0.52420122827166371</v>
      </c>
    </row>
    <row r="13" spans="4:8" x14ac:dyDescent="0.2">
      <c r="D13" s="1">
        <v>0.51546654049309359</v>
      </c>
      <c r="E13" s="1">
        <v>776</v>
      </c>
      <c r="G13" s="1">
        <v>776</v>
      </c>
      <c r="H13" s="1">
        <v>0.51546654049309359</v>
      </c>
    </row>
    <row r="14" spans="4:8" x14ac:dyDescent="0.2">
      <c r="D14" s="1">
        <v>0.50505921014561561</v>
      </c>
      <c r="E14" s="1">
        <v>459</v>
      </c>
      <c r="G14" s="1">
        <v>459</v>
      </c>
      <c r="H14" s="1">
        <v>0.50505921014561561</v>
      </c>
    </row>
    <row r="15" spans="4:8" x14ac:dyDescent="0.2">
      <c r="D15" s="1">
        <v>0.5733043212711556</v>
      </c>
      <c r="E15" s="1">
        <v>172</v>
      </c>
      <c r="G15" s="1">
        <v>172</v>
      </c>
      <c r="H15" s="1">
        <v>0.5733043212711556</v>
      </c>
    </row>
    <row r="16" spans="4:8" x14ac:dyDescent="0.2">
      <c r="D16" s="1">
        <v>0.72151240032926423</v>
      </c>
      <c r="E16" s="1">
        <v>394</v>
      </c>
      <c r="G16" s="1">
        <v>394</v>
      </c>
      <c r="H16" s="1">
        <v>0.72151240032926423</v>
      </c>
    </row>
    <row r="17" spans="4:8" x14ac:dyDescent="0.2">
      <c r="D17" s="1">
        <v>0.59803142275275922</v>
      </c>
      <c r="E17" s="1">
        <v>1287</v>
      </c>
      <c r="G17" s="1">
        <v>1287</v>
      </c>
      <c r="H17" s="1">
        <v>0.59803142275275922</v>
      </c>
    </row>
    <row r="18" spans="4:8" x14ac:dyDescent="0.2">
      <c r="D18" s="1">
        <v>0.56394264136062888</v>
      </c>
      <c r="E18" s="1">
        <v>382</v>
      </c>
      <c r="G18" s="1">
        <v>382</v>
      </c>
      <c r="H18" s="1">
        <v>0.56394264136062888</v>
      </c>
    </row>
    <row r="19" spans="4:8" x14ac:dyDescent="0.2">
      <c r="D19" s="1">
        <v>0.66867375949586028</v>
      </c>
      <c r="E19" s="1">
        <v>671</v>
      </c>
      <c r="G19" s="1">
        <v>671</v>
      </c>
      <c r="H19" s="1">
        <v>0.66867375949586028</v>
      </c>
    </row>
    <row r="20" spans="4:8" x14ac:dyDescent="0.2">
      <c r="D20" s="1">
        <v>0.58621211176336374</v>
      </c>
      <c r="E20" s="1">
        <v>1461</v>
      </c>
      <c r="G20" s="1">
        <v>1461</v>
      </c>
      <c r="H20" s="1">
        <v>0.58621211176336374</v>
      </c>
    </row>
    <row r="21" spans="4:8" x14ac:dyDescent="0.2">
      <c r="D21" s="1">
        <v>0.64376018244230893</v>
      </c>
      <c r="E21" s="1">
        <v>372</v>
      </c>
      <c r="G21" s="1">
        <v>372</v>
      </c>
      <c r="H21" s="1">
        <v>0.64376018244230893</v>
      </c>
    </row>
    <row r="22" spans="4:8" x14ac:dyDescent="0.2">
      <c r="D22" s="1">
        <v>0.58012651326150233</v>
      </c>
      <c r="E22" s="1">
        <v>1106</v>
      </c>
      <c r="G22" s="1">
        <v>1106</v>
      </c>
      <c r="H22" s="1">
        <v>0.58012651326150233</v>
      </c>
    </row>
    <row r="23" spans="4:8" x14ac:dyDescent="0.2">
      <c r="D23" s="1">
        <v>0.59031421494461944</v>
      </c>
      <c r="E23" s="1">
        <v>2084</v>
      </c>
      <c r="G23" s="1">
        <v>2084</v>
      </c>
      <c r="H23" s="1">
        <v>0.59031421494461944</v>
      </c>
    </row>
    <row r="24" spans="4:8" x14ac:dyDescent="0.2">
      <c r="D24" s="1">
        <v>0.57569975196260581</v>
      </c>
      <c r="E24" s="1">
        <v>931</v>
      </c>
      <c r="G24" s="1">
        <v>931</v>
      </c>
      <c r="H24" s="1">
        <v>0.57569975196260581</v>
      </c>
    </row>
    <row r="25" spans="4:8" x14ac:dyDescent="0.2">
      <c r="D25" s="1">
        <v>0.57872711647500541</v>
      </c>
      <c r="E25" s="1">
        <v>1228</v>
      </c>
      <c r="G25" s="1">
        <v>1228</v>
      </c>
      <c r="H25" s="1">
        <v>0.57872711647500541</v>
      </c>
    </row>
    <row r="26" spans="4:8" x14ac:dyDescent="0.2">
      <c r="D26" s="1">
        <v>0.56839398006439767</v>
      </c>
      <c r="E26" s="1">
        <v>2465</v>
      </c>
      <c r="G26" s="1">
        <v>2465</v>
      </c>
      <c r="H26" s="1">
        <v>0.56839398006439767</v>
      </c>
    </row>
    <row r="27" spans="4:8" x14ac:dyDescent="0.2">
      <c r="D27" s="1">
        <v>0.55935476994498268</v>
      </c>
      <c r="E27" s="1">
        <v>1187</v>
      </c>
      <c r="G27" s="1">
        <v>1187</v>
      </c>
      <c r="H27" s="1">
        <v>0.55935476994498268</v>
      </c>
    </row>
    <row r="28" spans="4:8" x14ac:dyDescent="0.2">
      <c r="D28" s="1">
        <v>0.73620061950306059</v>
      </c>
      <c r="E28" s="1">
        <v>1787</v>
      </c>
      <c r="G28" s="1">
        <v>1787</v>
      </c>
      <c r="H28" s="1">
        <v>0.73620061950306059</v>
      </c>
    </row>
    <row r="29" spans="4:8" x14ac:dyDescent="0.2">
      <c r="D29" s="1">
        <v>0.73620058873340544</v>
      </c>
      <c r="E29" s="1">
        <v>1119</v>
      </c>
      <c r="G29" s="1">
        <v>1119</v>
      </c>
      <c r="H29" s="1">
        <v>0.73620058873340544</v>
      </c>
    </row>
    <row r="30" spans="4:8" x14ac:dyDescent="0.2">
      <c r="D30" s="1">
        <v>0.72795366674930184</v>
      </c>
      <c r="E30" s="1">
        <v>1940</v>
      </c>
      <c r="G30" s="1">
        <v>1940</v>
      </c>
      <c r="H30" s="1">
        <v>0.72795366674930184</v>
      </c>
    </row>
    <row r="31" spans="4:8" x14ac:dyDescent="0.2">
      <c r="D31" s="1">
        <v>0.65773575831882469</v>
      </c>
      <c r="E31" s="1">
        <v>945</v>
      </c>
      <c r="G31" s="1">
        <v>945</v>
      </c>
      <c r="H31" s="1">
        <v>0.65773575831882469</v>
      </c>
    </row>
    <row r="32" spans="4:8" x14ac:dyDescent="0.2">
      <c r="D32" s="1">
        <v>0.68468534343525755</v>
      </c>
      <c r="E32" s="1">
        <v>1275</v>
      </c>
      <c r="G32" s="1">
        <v>1275</v>
      </c>
      <c r="H32" s="1">
        <v>0.68468534343525755</v>
      </c>
    </row>
    <row r="33" spans="4:8" x14ac:dyDescent="0.2">
      <c r="D33" s="1">
        <v>0.52561414731966338</v>
      </c>
      <c r="E33" s="1">
        <v>1609</v>
      </c>
      <c r="G33" s="1">
        <v>1609</v>
      </c>
      <c r="H33" s="1">
        <v>0.52561414731966338</v>
      </c>
    </row>
    <row r="34" spans="4:8" x14ac:dyDescent="0.2">
      <c r="D34" s="1">
        <v>0.67700482092287451</v>
      </c>
      <c r="E34" s="1">
        <v>1043</v>
      </c>
      <c r="G34" s="1">
        <v>1043</v>
      </c>
      <c r="H34" s="1">
        <v>0.67700482092287451</v>
      </c>
    </row>
    <row r="35" spans="4:8" x14ac:dyDescent="0.2">
      <c r="D35" s="1">
        <v>0.6462596230011306</v>
      </c>
      <c r="E35" s="1">
        <v>1141</v>
      </c>
      <c r="G35" s="1">
        <v>1141</v>
      </c>
      <c r="H35" s="1">
        <v>0.6462596230011306</v>
      </c>
    </row>
    <row r="36" spans="4:8" x14ac:dyDescent="0.2">
      <c r="D36" s="1">
        <v>0.65169182463355946</v>
      </c>
      <c r="E36" s="1">
        <v>897</v>
      </c>
      <c r="G36" s="1">
        <v>897</v>
      </c>
      <c r="H36" s="1">
        <v>0.65169182463355946</v>
      </c>
    </row>
    <row r="37" spans="4:8" x14ac:dyDescent="0.2">
      <c r="D37" s="1">
        <v>0.67861784630605604</v>
      </c>
      <c r="E37" s="1">
        <v>350</v>
      </c>
      <c r="G37" s="1">
        <v>350</v>
      </c>
      <c r="H37" s="1">
        <v>0.67861784630605604</v>
      </c>
    </row>
    <row r="38" spans="4:8" x14ac:dyDescent="0.2">
      <c r="D38" s="1">
        <v>0.69291895069945131</v>
      </c>
      <c r="E38" s="1">
        <v>292</v>
      </c>
      <c r="G38" s="1">
        <v>292</v>
      </c>
      <c r="H38" s="1">
        <v>0.69291895069945131</v>
      </c>
    </row>
    <row r="39" spans="4:8" x14ac:dyDescent="0.2">
      <c r="D39" s="1">
        <v>0.74641426809277422</v>
      </c>
      <c r="E39" s="1">
        <v>510</v>
      </c>
      <c r="G39" s="1">
        <v>510</v>
      </c>
      <c r="H39" s="1">
        <v>0.74641426809277422</v>
      </c>
    </row>
    <row r="40" spans="4:8" x14ac:dyDescent="0.2">
      <c r="D40" s="1">
        <v>0.74976907455686181</v>
      </c>
      <c r="E40" s="1">
        <v>471</v>
      </c>
      <c r="G40" s="1">
        <v>471</v>
      </c>
      <c r="H40" s="1">
        <v>0.74976907455686181</v>
      </c>
    </row>
    <row r="41" spans="4:8" x14ac:dyDescent="0.2">
      <c r="D41" s="1">
        <v>0.77560551916514053</v>
      </c>
      <c r="E41" s="1">
        <v>1040</v>
      </c>
      <c r="G41" s="1">
        <v>1040</v>
      </c>
      <c r="H41" s="1">
        <v>0.77560551916514053</v>
      </c>
    </row>
    <row r="42" spans="4:8" x14ac:dyDescent="0.2">
      <c r="D42" s="1">
        <v>0.75892599367808422</v>
      </c>
      <c r="E42" s="1">
        <v>668</v>
      </c>
      <c r="G42" s="1">
        <v>668</v>
      </c>
      <c r="H42" s="1">
        <v>0.75892599367808422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24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0.30000000000000004</v>
      </c>
      <c r="D1" s="1">
        <v>0</v>
      </c>
    </row>
    <row r="2" spans="1:4" x14ac:dyDescent="0.2">
      <c r="A2" s="1">
        <v>0</v>
      </c>
      <c r="B2" s="1">
        <v>6</v>
      </c>
      <c r="C2" s="1">
        <v>0.30000000000000004</v>
      </c>
      <c r="D2" s="1">
        <v>3</v>
      </c>
    </row>
    <row r="3" spans="1:4" x14ac:dyDescent="0.2">
      <c r="A3" s="1">
        <v>480</v>
      </c>
      <c r="B3" s="1">
        <v>6</v>
      </c>
      <c r="C3" s="1">
        <v>0.36022622651097208</v>
      </c>
      <c r="D3" s="1">
        <v>3</v>
      </c>
    </row>
    <row r="4" spans="1:4" x14ac:dyDescent="0.2">
      <c r="A4" s="1">
        <v>480</v>
      </c>
      <c r="B4" s="1">
        <v>0</v>
      </c>
      <c r="C4" s="1">
        <v>0.36022622651097208</v>
      </c>
      <c r="D4" s="1">
        <v>0</v>
      </c>
    </row>
    <row r="5" spans="1:4" x14ac:dyDescent="0.2">
      <c r="A5" s="1">
        <v>480</v>
      </c>
      <c r="B5" s="1">
        <v>10</v>
      </c>
      <c r="C5" s="1">
        <v>0.36022622651097208</v>
      </c>
      <c r="D5" s="1">
        <v>10</v>
      </c>
    </row>
    <row r="6" spans="1:4" x14ac:dyDescent="0.2">
      <c r="A6" s="1">
        <v>960</v>
      </c>
      <c r="B6" s="1">
        <v>10</v>
      </c>
      <c r="C6" s="1">
        <v>0.42045245302194412</v>
      </c>
      <c r="D6" s="1">
        <v>10</v>
      </c>
    </row>
    <row r="7" spans="1:4" x14ac:dyDescent="0.2">
      <c r="A7" s="1">
        <v>960</v>
      </c>
      <c r="B7" s="1">
        <v>0</v>
      </c>
      <c r="C7" s="1">
        <v>0.42045245302194412</v>
      </c>
      <c r="D7" s="1">
        <v>0</v>
      </c>
    </row>
    <row r="8" spans="1:4" x14ac:dyDescent="0.2">
      <c r="A8" s="1">
        <v>960</v>
      </c>
      <c r="B8" s="1">
        <v>5</v>
      </c>
      <c r="C8" s="1">
        <v>0.42045245302194412</v>
      </c>
      <c r="D8" s="1">
        <v>4</v>
      </c>
    </row>
    <row r="9" spans="1:4" x14ac:dyDescent="0.2">
      <c r="A9" s="1">
        <v>1440</v>
      </c>
      <c r="B9" s="1">
        <v>5</v>
      </c>
      <c r="C9" s="1">
        <v>0.48067867953291621</v>
      </c>
      <c r="D9" s="1">
        <v>4</v>
      </c>
    </row>
    <row r="10" spans="1:4" x14ac:dyDescent="0.2">
      <c r="A10" s="1">
        <v>1440</v>
      </c>
      <c r="B10" s="1">
        <v>0</v>
      </c>
      <c r="C10" s="1">
        <v>0.48067867953291621</v>
      </c>
      <c r="D10" s="1">
        <v>0</v>
      </c>
    </row>
    <row r="11" spans="1:4" x14ac:dyDescent="0.2">
      <c r="A11" s="1">
        <v>1440</v>
      </c>
      <c r="B11" s="1">
        <v>8</v>
      </c>
      <c r="C11" s="1">
        <v>0.48067867953291621</v>
      </c>
      <c r="D11" s="1">
        <v>4</v>
      </c>
    </row>
    <row r="12" spans="1:4" x14ac:dyDescent="0.2">
      <c r="A12" s="1">
        <v>1920</v>
      </c>
      <c r="B12" s="1">
        <v>8</v>
      </c>
      <c r="C12" s="1">
        <v>0.54090490604388819</v>
      </c>
      <c r="D12" s="1">
        <v>4</v>
      </c>
    </row>
    <row r="13" spans="1:4" x14ac:dyDescent="0.2">
      <c r="A13" s="1">
        <v>1920</v>
      </c>
      <c r="B13" s="1">
        <v>0</v>
      </c>
      <c r="C13" s="1">
        <v>0.54090490604388819</v>
      </c>
      <c r="D13" s="1">
        <v>0</v>
      </c>
    </row>
    <row r="14" spans="1:4" x14ac:dyDescent="0.2">
      <c r="A14" s="1">
        <v>1920</v>
      </c>
      <c r="B14" s="1">
        <v>5</v>
      </c>
      <c r="C14" s="1">
        <v>0.54090490604388819</v>
      </c>
      <c r="D14" s="1">
        <v>1</v>
      </c>
    </row>
    <row r="15" spans="1:4" x14ac:dyDescent="0.2">
      <c r="A15" s="1">
        <v>2400</v>
      </c>
      <c r="B15" s="1">
        <v>5</v>
      </c>
      <c r="C15" s="1">
        <v>0.60113113255486028</v>
      </c>
      <c r="D15" s="1">
        <v>1</v>
      </c>
    </row>
    <row r="16" spans="1:4" x14ac:dyDescent="0.2">
      <c r="A16" s="1">
        <v>2400</v>
      </c>
      <c r="B16" s="1">
        <v>0</v>
      </c>
      <c r="C16" s="1">
        <v>0.60113113255486028</v>
      </c>
      <c r="D16" s="1">
        <v>0</v>
      </c>
    </row>
    <row r="17" spans="1:4" x14ac:dyDescent="0.2">
      <c r="A17" s="1">
        <v>2400</v>
      </c>
      <c r="B17" s="1">
        <v>3</v>
      </c>
      <c r="C17" s="1">
        <v>0.60113113255486028</v>
      </c>
      <c r="D17" s="1">
        <v>3</v>
      </c>
    </row>
    <row r="18" spans="1:4" x14ac:dyDescent="0.2">
      <c r="A18" s="1">
        <v>2880</v>
      </c>
      <c r="B18" s="1">
        <v>3</v>
      </c>
      <c r="C18" s="1">
        <v>0.66135735906583237</v>
      </c>
      <c r="D18" s="1">
        <v>3</v>
      </c>
    </row>
    <row r="19" spans="1:4" x14ac:dyDescent="0.2">
      <c r="A19" s="1">
        <v>2880</v>
      </c>
      <c r="B19" s="1">
        <v>0</v>
      </c>
      <c r="C19" s="1">
        <v>0.66135735906583237</v>
      </c>
      <c r="D19" s="1">
        <v>0</v>
      </c>
    </row>
    <row r="20" spans="1:4" x14ac:dyDescent="0.2">
      <c r="A20" s="1">
        <v>2880</v>
      </c>
      <c r="B20" s="1">
        <v>4</v>
      </c>
      <c r="C20" s="1">
        <v>0.66135735906583237</v>
      </c>
      <c r="D20" s="1">
        <v>4</v>
      </c>
    </row>
    <row r="21" spans="1:4" x14ac:dyDescent="0.2">
      <c r="A21" s="1">
        <v>3360</v>
      </c>
      <c r="B21" s="1">
        <v>4</v>
      </c>
      <c r="C21" s="1">
        <v>0.72158358557680435</v>
      </c>
      <c r="D21" s="1">
        <v>4</v>
      </c>
    </row>
    <row r="22" spans="1:4" x14ac:dyDescent="0.2">
      <c r="A22" s="1">
        <v>3360</v>
      </c>
      <c r="B22" s="1">
        <v>0</v>
      </c>
      <c r="C22" s="1">
        <v>0.72158358557680435</v>
      </c>
      <c r="D22" s="1">
        <v>0</v>
      </c>
    </row>
    <row r="23" spans="1:4" x14ac:dyDescent="0.2">
      <c r="A23" s="1">
        <v>3360</v>
      </c>
      <c r="B23" s="1">
        <v>1</v>
      </c>
      <c r="C23" s="1">
        <v>0.72158358557680435</v>
      </c>
      <c r="D23" s="1">
        <v>9</v>
      </c>
    </row>
    <row r="24" spans="1:4" x14ac:dyDescent="0.2">
      <c r="A24" s="1">
        <v>3840</v>
      </c>
      <c r="B24" s="1">
        <v>1</v>
      </c>
      <c r="C24" s="1">
        <v>0.78180981208777645</v>
      </c>
      <c r="D24" s="1">
        <v>9</v>
      </c>
    </row>
    <row r="25" spans="1:4" x14ac:dyDescent="0.2">
      <c r="A25" s="1">
        <v>3840</v>
      </c>
      <c r="B25" s="1">
        <v>0</v>
      </c>
      <c r="C25" s="1">
        <v>0.78180981208777645</v>
      </c>
      <c r="D25" s="1">
        <v>0</v>
      </c>
    </row>
    <row r="26" spans="1:4" x14ac:dyDescent="0.2">
      <c r="A26" s="1">
        <v>3840</v>
      </c>
      <c r="B26" s="1">
        <v>2</v>
      </c>
      <c r="C26" s="1">
        <v>0.78180981208777645</v>
      </c>
      <c r="D26" s="1">
        <v>5</v>
      </c>
    </row>
    <row r="27" spans="1:4" x14ac:dyDescent="0.2">
      <c r="A27" s="1">
        <v>4320</v>
      </c>
      <c r="B27" s="1">
        <v>2</v>
      </c>
      <c r="C27" s="1">
        <v>0.84203603859874843</v>
      </c>
      <c r="D27" s="1">
        <v>5</v>
      </c>
    </row>
    <row r="28" spans="1:4" x14ac:dyDescent="0.2">
      <c r="A28" s="1">
        <v>4320</v>
      </c>
      <c r="B28" s="1">
        <v>0</v>
      </c>
      <c r="C28" s="1">
        <v>0.84203603859874843</v>
      </c>
      <c r="D28" s="1">
        <v>0</v>
      </c>
    </row>
    <row r="29" spans="1:4" x14ac:dyDescent="0.2">
      <c r="A29" s="1">
        <v>4320</v>
      </c>
      <c r="B29" s="1">
        <v>1</v>
      </c>
      <c r="C29" s="1">
        <v>0.84203603859874843</v>
      </c>
      <c r="D29" s="1">
        <v>6</v>
      </c>
    </row>
    <row r="30" spans="1:4" x14ac:dyDescent="0.2">
      <c r="A30" s="1">
        <v>4800</v>
      </c>
      <c r="B30" s="1">
        <v>1</v>
      </c>
      <c r="C30" s="1">
        <v>0.90226226510972052</v>
      </c>
      <c r="D30" s="1">
        <v>6</v>
      </c>
    </row>
    <row r="31" spans="1:4" x14ac:dyDescent="0.2">
      <c r="A31" s="1">
        <v>4800</v>
      </c>
      <c r="B31" s="1">
        <v>0</v>
      </c>
      <c r="C31" s="1">
        <v>0.90226226510972052</v>
      </c>
      <c r="D31" s="1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25"/>
  <dimension ref="D1:H42"/>
  <sheetViews>
    <sheetView workbookViewId="0"/>
  </sheetViews>
  <sheetFormatPr defaultRowHeight="12.75" x14ac:dyDescent="0.2"/>
  <sheetData>
    <row r="1" spans="4:8" x14ac:dyDescent="0.2">
      <c r="D1" s="1">
        <v>0.39097303021100421</v>
      </c>
      <c r="E1" s="1">
        <v>154</v>
      </c>
      <c r="G1" s="1">
        <v>154</v>
      </c>
      <c r="H1" s="1">
        <v>0.39097303021100421</v>
      </c>
    </row>
    <row r="2" spans="4:8" x14ac:dyDescent="0.2">
      <c r="D2" s="1">
        <v>0.38838722799951475</v>
      </c>
      <c r="E2" s="1">
        <v>218</v>
      </c>
      <c r="G2" s="1">
        <v>218</v>
      </c>
      <c r="H2" s="1">
        <v>0.38838722799951475</v>
      </c>
    </row>
    <row r="3" spans="4:8" x14ac:dyDescent="0.2">
      <c r="D3" s="1">
        <v>0.34559200885002161</v>
      </c>
      <c r="E3" s="1">
        <v>668</v>
      </c>
      <c r="G3" s="1">
        <v>668</v>
      </c>
      <c r="H3" s="1">
        <v>0.34559200885002161</v>
      </c>
    </row>
    <row r="4" spans="4:8" x14ac:dyDescent="0.2">
      <c r="D4" s="1">
        <v>0.40637778068433039</v>
      </c>
      <c r="E4" s="1">
        <v>215</v>
      </c>
      <c r="G4" s="1">
        <v>215</v>
      </c>
      <c r="H4" s="1">
        <v>0.40637778068433039</v>
      </c>
    </row>
    <row r="5" spans="4:8" x14ac:dyDescent="0.2">
      <c r="D5" s="1">
        <v>0.3304226479114834</v>
      </c>
      <c r="E5" s="1">
        <v>548</v>
      </c>
      <c r="G5" s="1">
        <v>548</v>
      </c>
      <c r="H5" s="1">
        <v>0.3304226479114834</v>
      </c>
    </row>
    <row r="6" spans="4:8" x14ac:dyDescent="0.2">
      <c r="D6" s="1">
        <v>0.39835742978449867</v>
      </c>
      <c r="E6" s="1">
        <v>665</v>
      </c>
      <c r="G6" s="1">
        <v>665</v>
      </c>
      <c r="H6" s="1">
        <v>0.39835742978449867</v>
      </c>
    </row>
    <row r="7" spans="4:8" x14ac:dyDescent="0.2">
      <c r="D7" s="1">
        <v>0.52724524670110795</v>
      </c>
      <c r="E7" s="1">
        <v>465</v>
      </c>
      <c r="G7" s="1">
        <v>465</v>
      </c>
      <c r="H7" s="1">
        <v>0.52724524670110795</v>
      </c>
    </row>
    <row r="8" spans="4:8" x14ac:dyDescent="0.2">
      <c r="D8" s="1">
        <v>0.48658475308764543</v>
      </c>
      <c r="E8" s="1">
        <v>1021</v>
      </c>
      <c r="G8" s="1">
        <v>1021</v>
      </c>
      <c r="H8" s="1">
        <v>0.48658475308764543</v>
      </c>
    </row>
    <row r="9" spans="4:8" x14ac:dyDescent="0.2">
      <c r="D9" s="1">
        <v>0.42354794399532708</v>
      </c>
      <c r="E9" s="1">
        <v>905</v>
      </c>
      <c r="G9" s="1">
        <v>905</v>
      </c>
      <c r="H9" s="1">
        <v>0.42354794399532708</v>
      </c>
    </row>
    <row r="10" spans="4:8" x14ac:dyDescent="0.2">
      <c r="D10" s="1">
        <v>0.45953652634524489</v>
      </c>
      <c r="E10" s="1">
        <v>1639</v>
      </c>
      <c r="G10" s="1">
        <v>1639</v>
      </c>
      <c r="H10" s="1">
        <v>0.45953652634524489</v>
      </c>
    </row>
    <row r="11" spans="4:8" x14ac:dyDescent="0.2">
      <c r="D11" s="1">
        <v>0.4716277102270468</v>
      </c>
      <c r="E11" s="1">
        <v>1496</v>
      </c>
      <c r="G11" s="1">
        <v>1496</v>
      </c>
      <c r="H11" s="1">
        <v>0.4716277102270468</v>
      </c>
    </row>
    <row r="12" spans="4:8" x14ac:dyDescent="0.2">
      <c r="D12" s="1">
        <v>0.49925988865735005</v>
      </c>
      <c r="E12" s="1">
        <v>759</v>
      </c>
      <c r="G12" s="1">
        <v>759</v>
      </c>
      <c r="H12" s="1">
        <v>0.49925988865735005</v>
      </c>
    </row>
    <row r="13" spans="4:8" x14ac:dyDescent="0.2">
      <c r="D13" s="1">
        <v>0.48733220940397221</v>
      </c>
      <c r="E13" s="1">
        <v>2057</v>
      </c>
      <c r="G13" s="1">
        <v>2057</v>
      </c>
      <c r="H13" s="1">
        <v>0.48733220940397221</v>
      </c>
    </row>
    <row r="14" spans="4:8" x14ac:dyDescent="0.2">
      <c r="D14" s="1">
        <v>0.4746989743047616</v>
      </c>
      <c r="E14" s="1">
        <v>1015</v>
      </c>
      <c r="G14" s="1">
        <v>1015</v>
      </c>
      <c r="H14" s="1">
        <v>0.4746989743047616</v>
      </c>
    </row>
    <row r="15" spans="4:8" x14ac:dyDescent="0.2">
      <c r="D15" s="1">
        <v>0.565506967135188</v>
      </c>
      <c r="E15" s="1">
        <v>334</v>
      </c>
      <c r="G15" s="1">
        <v>334</v>
      </c>
      <c r="H15" s="1">
        <v>0.565506967135188</v>
      </c>
    </row>
    <row r="16" spans="4:8" x14ac:dyDescent="0.2">
      <c r="D16" s="1">
        <v>0.60994040648658432</v>
      </c>
      <c r="E16" s="1">
        <v>1307</v>
      </c>
      <c r="G16" s="1">
        <v>1307</v>
      </c>
      <c r="H16" s="1">
        <v>0.60994040648658432</v>
      </c>
    </row>
    <row r="17" spans="4:8" x14ac:dyDescent="0.2">
      <c r="D17" s="1">
        <v>0.65275006086052079</v>
      </c>
      <c r="E17" s="1">
        <v>1711</v>
      </c>
      <c r="G17" s="1">
        <v>1711</v>
      </c>
      <c r="H17" s="1">
        <v>0.65275006086052079</v>
      </c>
    </row>
    <row r="18" spans="4:8" x14ac:dyDescent="0.2">
      <c r="D18" s="1">
        <v>0.7907174126697406</v>
      </c>
      <c r="E18" s="1">
        <v>911</v>
      </c>
      <c r="G18" s="1">
        <v>911</v>
      </c>
      <c r="H18" s="1">
        <v>0.7907174126697406</v>
      </c>
    </row>
    <row r="19" spans="4:8" x14ac:dyDescent="0.2">
      <c r="D19" s="1">
        <v>0.75559996306784394</v>
      </c>
      <c r="E19" s="1">
        <v>1486</v>
      </c>
      <c r="G19" s="1">
        <v>1486</v>
      </c>
      <c r="H19" s="1">
        <v>0.75559996306784394</v>
      </c>
    </row>
    <row r="20" spans="4:8" x14ac:dyDescent="0.2">
      <c r="D20" s="1">
        <v>0.77505136671982666</v>
      </c>
      <c r="E20" s="1">
        <v>3056</v>
      </c>
      <c r="G20" s="1">
        <v>3056</v>
      </c>
      <c r="H20" s="1">
        <v>0.77505136671982666</v>
      </c>
    </row>
    <row r="21" spans="4:8" x14ac:dyDescent="0.2">
      <c r="D21" s="1">
        <v>0.68461491998268753</v>
      </c>
      <c r="E21" s="1">
        <v>1552</v>
      </c>
      <c r="G21" s="1">
        <v>1552</v>
      </c>
      <c r="H21" s="1">
        <v>0.68461491998268753</v>
      </c>
    </row>
    <row r="22" spans="4:8" x14ac:dyDescent="0.2">
      <c r="D22" s="1">
        <v>0.68891197647250135</v>
      </c>
      <c r="E22" s="1">
        <v>1225</v>
      </c>
      <c r="G22" s="1">
        <v>1225</v>
      </c>
      <c r="H22" s="1">
        <v>0.68891197647250135</v>
      </c>
    </row>
    <row r="23" spans="4:8" x14ac:dyDescent="0.2">
      <c r="D23" s="1">
        <v>0.69568495754398252</v>
      </c>
      <c r="E23" s="1">
        <v>2349</v>
      </c>
      <c r="G23" s="1">
        <v>2349</v>
      </c>
      <c r="H23" s="1">
        <v>0.69568495754398252</v>
      </c>
    </row>
    <row r="24" spans="4:8" x14ac:dyDescent="0.2">
      <c r="D24" s="1">
        <v>0.64996507890201793</v>
      </c>
      <c r="E24" s="1">
        <v>1597</v>
      </c>
      <c r="G24" s="1">
        <v>1597</v>
      </c>
      <c r="H24" s="1">
        <v>0.64996507890201793</v>
      </c>
    </row>
    <row r="25" spans="4:8" x14ac:dyDescent="0.2">
      <c r="D25" s="1">
        <v>0.7825308648609548</v>
      </c>
      <c r="E25" s="1">
        <v>2332</v>
      </c>
      <c r="G25" s="1">
        <v>2332</v>
      </c>
      <c r="H25" s="1">
        <v>0.7825308648609548</v>
      </c>
    </row>
    <row r="26" spans="4:8" x14ac:dyDescent="0.2">
      <c r="D26" s="1">
        <v>0.81886955459088451</v>
      </c>
      <c r="E26" s="1">
        <v>4174</v>
      </c>
      <c r="G26" s="1">
        <v>4174</v>
      </c>
      <c r="H26" s="1">
        <v>0.81886955459088451</v>
      </c>
    </row>
    <row r="27" spans="4:8" x14ac:dyDescent="0.2">
      <c r="D27" s="1">
        <v>0.80826096147103077</v>
      </c>
      <c r="E27" s="1">
        <v>2775</v>
      </c>
      <c r="G27" s="1">
        <v>2775</v>
      </c>
      <c r="H27" s="1">
        <v>0.80826096147103077</v>
      </c>
    </row>
    <row r="28" spans="4:8" x14ac:dyDescent="0.2">
      <c r="D28" s="1">
        <v>0.89226219900673287</v>
      </c>
      <c r="E28" s="1">
        <v>4222</v>
      </c>
      <c r="G28" s="1">
        <v>4222</v>
      </c>
      <c r="H28" s="1">
        <v>0.89226219900673287</v>
      </c>
    </row>
    <row r="29" spans="4:8" x14ac:dyDescent="0.2">
      <c r="D29" s="1">
        <v>0.89226226510972051</v>
      </c>
      <c r="E29" s="1">
        <v>2411</v>
      </c>
      <c r="G29" s="1">
        <v>2411</v>
      </c>
      <c r="H29" s="1">
        <v>0.89226226510972051</v>
      </c>
    </row>
    <row r="30" spans="4:8" x14ac:dyDescent="0.2">
      <c r="D30" s="1">
        <v>0.86042281538314236</v>
      </c>
      <c r="E30" s="1">
        <v>3043</v>
      </c>
      <c r="G30" s="1">
        <v>3043</v>
      </c>
      <c r="H30" s="1">
        <v>0.86042281538314236</v>
      </c>
    </row>
    <row r="31" spans="4:8" x14ac:dyDescent="0.2">
      <c r="D31" s="1">
        <v>0.84387106544922041</v>
      </c>
      <c r="E31" s="1">
        <v>2841</v>
      </c>
      <c r="G31" s="1">
        <v>2841</v>
      </c>
      <c r="H31" s="1">
        <v>0.84387106544922041</v>
      </c>
    </row>
    <row r="32" spans="4:8" x14ac:dyDescent="0.2">
      <c r="D32" s="1">
        <v>0.87999270638825255</v>
      </c>
      <c r="E32" s="1">
        <v>3276</v>
      </c>
      <c r="G32" s="1">
        <v>3276</v>
      </c>
      <c r="H32" s="1">
        <v>0.87999270638825255</v>
      </c>
    </row>
    <row r="33" spans="4:8" x14ac:dyDescent="0.2">
      <c r="D33" s="1">
        <v>0.75917887910741155</v>
      </c>
      <c r="E33" s="1">
        <v>2328</v>
      </c>
      <c r="G33" s="1">
        <v>2328</v>
      </c>
      <c r="H33" s="1">
        <v>0.75917887910741155</v>
      </c>
    </row>
    <row r="34" spans="4:8" x14ac:dyDescent="0.2">
      <c r="D34" s="1">
        <v>0.81975006611878887</v>
      </c>
      <c r="E34" s="1">
        <v>3234</v>
      </c>
      <c r="G34" s="1">
        <v>3234</v>
      </c>
      <c r="H34" s="1">
        <v>0.81975006611878887</v>
      </c>
    </row>
    <row r="35" spans="4:8" x14ac:dyDescent="0.2">
      <c r="D35" s="1">
        <v>0.72190484962611434</v>
      </c>
      <c r="E35" s="1">
        <v>3499</v>
      </c>
      <c r="G35" s="1">
        <v>3499</v>
      </c>
      <c r="H35" s="1">
        <v>0.72190484962611434</v>
      </c>
    </row>
    <row r="36" spans="4:8" x14ac:dyDescent="0.2">
      <c r="D36" s="1">
        <v>0.7470497975650443</v>
      </c>
      <c r="E36" s="1">
        <v>2099</v>
      </c>
      <c r="G36" s="1">
        <v>2099</v>
      </c>
      <c r="H36" s="1">
        <v>0.7470497975650443</v>
      </c>
    </row>
    <row r="37" spans="4:8" x14ac:dyDescent="0.2">
      <c r="D37" s="1">
        <v>0.68784051427703008</v>
      </c>
      <c r="E37" s="1">
        <v>785</v>
      </c>
      <c r="G37" s="1">
        <v>785</v>
      </c>
      <c r="H37" s="1">
        <v>0.68784051427703008</v>
      </c>
    </row>
    <row r="38" spans="4:8" x14ac:dyDescent="0.2">
      <c r="D38" s="1">
        <v>0.8792852981249013</v>
      </c>
      <c r="E38" s="1">
        <v>540</v>
      </c>
      <c r="G38" s="1">
        <v>540</v>
      </c>
      <c r="H38" s="1">
        <v>0.8792852981249013</v>
      </c>
    </row>
    <row r="39" spans="4:8" x14ac:dyDescent="0.2">
      <c r="D39" s="1">
        <v>0.74291704100060507</v>
      </c>
      <c r="E39" s="1">
        <v>928</v>
      </c>
      <c r="G39" s="1">
        <v>928</v>
      </c>
      <c r="H39" s="1">
        <v>0.74291704100060507</v>
      </c>
    </row>
    <row r="40" spans="4:8" x14ac:dyDescent="0.2">
      <c r="D40" s="1">
        <v>0.75933535125830998</v>
      </c>
      <c r="E40" s="1">
        <v>1040</v>
      </c>
      <c r="G40" s="1">
        <v>1040</v>
      </c>
      <c r="H40" s="1">
        <v>0.75933535125830998</v>
      </c>
    </row>
    <row r="41" spans="4:8" x14ac:dyDescent="0.2">
      <c r="D41" s="1">
        <v>0.78076001836491127</v>
      </c>
      <c r="E41" s="1">
        <v>1516</v>
      </c>
      <c r="G41" s="1">
        <v>1516</v>
      </c>
      <c r="H41" s="1">
        <v>0.78076001836491127</v>
      </c>
    </row>
    <row r="42" spans="4:8" x14ac:dyDescent="0.2">
      <c r="D42" s="1">
        <v>0.77804689540340632</v>
      </c>
      <c r="E42" s="1">
        <v>860</v>
      </c>
      <c r="G42" s="1">
        <v>860</v>
      </c>
      <c r="H42" s="1">
        <v>0.77804689540340632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27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0</v>
      </c>
      <c r="D1" s="1">
        <v>0</v>
      </c>
    </row>
    <row r="2" spans="1:4" x14ac:dyDescent="0.2">
      <c r="A2" s="1">
        <v>0</v>
      </c>
      <c r="B2" s="1">
        <v>22</v>
      </c>
      <c r="C2" s="1">
        <v>0</v>
      </c>
      <c r="D2" s="1">
        <v>16</v>
      </c>
    </row>
    <row r="3" spans="1:4" x14ac:dyDescent="0.2">
      <c r="A3" s="1">
        <v>5700</v>
      </c>
      <c r="B3" s="1">
        <v>22</v>
      </c>
      <c r="C3" s="1">
        <v>12000</v>
      </c>
      <c r="D3" s="1">
        <v>16</v>
      </c>
    </row>
    <row r="4" spans="1:4" x14ac:dyDescent="0.2">
      <c r="A4" s="1">
        <v>5700</v>
      </c>
      <c r="B4" s="1">
        <v>0</v>
      </c>
      <c r="C4" s="1">
        <v>12000</v>
      </c>
      <c r="D4" s="1">
        <v>0</v>
      </c>
    </row>
    <row r="5" spans="1:4" x14ac:dyDescent="0.2">
      <c r="A5" s="1">
        <v>5700</v>
      </c>
      <c r="B5" s="1">
        <v>6</v>
      </c>
      <c r="C5" s="1">
        <v>12000</v>
      </c>
      <c r="D5" s="1">
        <v>8</v>
      </c>
    </row>
    <row r="6" spans="1:4" x14ac:dyDescent="0.2">
      <c r="A6" s="1">
        <v>11400</v>
      </c>
      <c r="B6" s="1">
        <v>6</v>
      </c>
      <c r="C6" s="1">
        <v>24000</v>
      </c>
      <c r="D6" s="1">
        <v>8</v>
      </c>
    </row>
    <row r="7" spans="1:4" x14ac:dyDescent="0.2">
      <c r="A7" s="1">
        <v>11400</v>
      </c>
      <c r="B7" s="1">
        <v>0</v>
      </c>
      <c r="C7" s="1">
        <v>24000</v>
      </c>
      <c r="D7" s="1">
        <v>0</v>
      </c>
    </row>
    <row r="8" spans="1:4" x14ac:dyDescent="0.2">
      <c r="A8" s="1">
        <v>11400</v>
      </c>
      <c r="B8" s="1">
        <v>6</v>
      </c>
      <c r="C8" s="1">
        <v>24000</v>
      </c>
      <c r="D8" s="1">
        <v>6</v>
      </c>
    </row>
    <row r="9" spans="1:4" x14ac:dyDescent="0.2">
      <c r="A9" s="1">
        <v>17100</v>
      </c>
      <c r="B9" s="1">
        <v>6</v>
      </c>
      <c r="C9" s="1">
        <v>36000</v>
      </c>
      <c r="D9" s="1">
        <v>6</v>
      </c>
    </row>
    <row r="10" spans="1:4" x14ac:dyDescent="0.2">
      <c r="A10" s="1">
        <v>17100</v>
      </c>
      <c r="B10" s="1">
        <v>0</v>
      </c>
      <c r="C10" s="1">
        <v>36000</v>
      </c>
      <c r="D10" s="1">
        <v>0</v>
      </c>
    </row>
    <row r="11" spans="1:4" x14ac:dyDescent="0.2">
      <c r="A11" s="1">
        <v>17100</v>
      </c>
      <c r="B11" s="1">
        <v>2</v>
      </c>
      <c r="C11" s="1">
        <v>36000</v>
      </c>
      <c r="D11" s="1">
        <v>4</v>
      </c>
    </row>
    <row r="12" spans="1:4" x14ac:dyDescent="0.2">
      <c r="A12" s="1">
        <v>22800</v>
      </c>
      <c r="B12" s="1">
        <v>2</v>
      </c>
      <c r="C12" s="1">
        <v>48000</v>
      </c>
      <c r="D12" s="1">
        <v>4</v>
      </c>
    </row>
    <row r="13" spans="1:4" x14ac:dyDescent="0.2">
      <c r="A13" s="1">
        <v>22800</v>
      </c>
      <c r="B13" s="1">
        <v>0</v>
      </c>
      <c r="C13" s="1">
        <v>48000</v>
      </c>
      <c r="D13" s="1">
        <v>0</v>
      </c>
    </row>
    <row r="14" spans="1:4" x14ac:dyDescent="0.2">
      <c r="A14" s="1">
        <v>22800</v>
      </c>
      <c r="B14" s="1">
        <v>0</v>
      </c>
      <c r="C14" s="1">
        <v>48000</v>
      </c>
      <c r="D14" s="1">
        <v>1</v>
      </c>
    </row>
    <row r="15" spans="1:4" x14ac:dyDescent="0.2">
      <c r="A15" s="1">
        <v>28500</v>
      </c>
      <c r="B15" s="1">
        <v>0</v>
      </c>
      <c r="C15" s="1">
        <v>60000</v>
      </c>
      <c r="D15" s="1">
        <v>1</v>
      </c>
    </row>
    <row r="16" spans="1:4" x14ac:dyDescent="0.2">
      <c r="A16" s="1">
        <v>28500</v>
      </c>
      <c r="B16" s="1">
        <v>0</v>
      </c>
      <c r="C16" s="1">
        <v>60000</v>
      </c>
      <c r="D16" s="1">
        <v>0</v>
      </c>
    </row>
    <row r="17" spans="1:4" x14ac:dyDescent="0.2">
      <c r="A17" s="1">
        <v>28500</v>
      </c>
      <c r="B17" s="1">
        <v>0</v>
      </c>
      <c r="C17" s="1">
        <v>60000</v>
      </c>
      <c r="D17" s="1">
        <v>2</v>
      </c>
    </row>
    <row r="18" spans="1:4" x14ac:dyDescent="0.2">
      <c r="A18" s="1">
        <v>34200</v>
      </c>
      <c r="B18" s="1">
        <v>0</v>
      </c>
      <c r="C18" s="1">
        <v>72000</v>
      </c>
      <c r="D18" s="1">
        <v>2</v>
      </c>
    </row>
    <row r="19" spans="1:4" x14ac:dyDescent="0.2">
      <c r="A19" s="1">
        <v>34200</v>
      </c>
      <c r="B19" s="1">
        <v>0</v>
      </c>
      <c r="C19" s="1">
        <v>72000</v>
      </c>
      <c r="D19" s="1">
        <v>0</v>
      </c>
    </row>
    <row r="20" spans="1:4" x14ac:dyDescent="0.2">
      <c r="A20" s="1">
        <v>34200</v>
      </c>
      <c r="B20" s="1">
        <v>2</v>
      </c>
      <c r="C20" s="1">
        <v>72000</v>
      </c>
      <c r="D20" s="1">
        <v>4</v>
      </c>
    </row>
    <row r="21" spans="1:4" x14ac:dyDescent="0.2">
      <c r="A21" s="1">
        <v>39900</v>
      </c>
      <c r="B21" s="1">
        <v>2</v>
      </c>
      <c r="C21" s="1">
        <v>84000</v>
      </c>
      <c r="D21" s="1">
        <v>4</v>
      </c>
    </row>
    <row r="22" spans="1:4" x14ac:dyDescent="0.2">
      <c r="A22" s="1">
        <v>39900</v>
      </c>
      <c r="B22" s="1">
        <v>0</v>
      </c>
      <c r="C22" s="1">
        <v>84000</v>
      </c>
      <c r="D22" s="1">
        <v>0</v>
      </c>
    </row>
    <row r="23" spans="1:4" x14ac:dyDescent="0.2">
      <c r="A23" s="1">
        <v>39900</v>
      </c>
      <c r="B23" s="1">
        <v>3</v>
      </c>
      <c r="C23" s="1">
        <v>84000</v>
      </c>
      <c r="D23" s="1">
        <v>1</v>
      </c>
    </row>
    <row r="24" spans="1:4" x14ac:dyDescent="0.2">
      <c r="A24" s="1">
        <v>45600</v>
      </c>
      <c r="B24" s="1">
        <v>3</v>
      </c>
      <c r="C24" s="1">
        <v>96000</v>
      </c>
      <c r="D24" s="1">
        <v>1</v>
      </c>
    </row>
    <row r="25" spans="1:4" x14ac:dyDescent="0.2">
      <c r="A25" s="1">
        <v>45600</v>
      </c>
      <c r="B25" s="1">
        <v>0</v>
      </c>
      <c r="C25" s="1">
        <v>96000</v>
      </c>
      <c r="D25" s="1">
        <v>0</v>
      </c>
    </row>
    <row r="26" spans="1:4" x14ac:dyDescent="0.2">
      <c r="A26" s="1">
        <v>45600</v>
      </c>
      <c r="B26" s="1">
        <v>1</v>
      </c>
      <c r="C26" s="1">
        <v>96000</v>
      </c>
      <c r="D26" s="1">
        <v>1</v>
      </c>
    </row>
    <row r="27" spans="1:4" x14ac:dyDescent="0.2">
      <c r="A27" s="1">
        <v>51300</v>
      </c>
      <c r="B27" s="1">
        <v>1</v>
      </c>
      <c r="C27" s="1">
        <v>108000</v>
      </c>
      <c r="D27" s="1">
        <v>1</v>
      </c>
    </row>
    <row r="28" spans="1:4" x14ac:dyDescent="0.2">
      <c r="A28" s="1">
        <v>51300</v>
      </c>
      <c r="B28" s="1">
        <v>0</v>
      </c>
      <c r="C28" s="1">
        <v>108000</v>
      </c>
      <c r="D28" s="1">
        <v>0</v>
      </c>
    </row>
    <row r="29" spans="1:4" x14ac:dyDescent="0.2">
      <c r="A29" s="1">
        <v>51300</v>
      </c>
      <c r="B29" s="1">
        <v>3</v>
      </c>
      <c r="C29" s="1">
        <v>108000</v>
      </c>
      <c r="D29" s="1">
        <v>2</v>
      </c>
    </row>
    <row r="30" spans="1:4" x14ac:dyDescent="0.2">
      <c r="A30" s="1">
        <v>57000</v>
      </c>
      <c r="B30" s="1">
        <v>3</v>
      </c>
      <c r="C30" s="1">
        <v>120000</v>
      </c>
      <c r="D30" s="1">
        <v>2</v>
      </c>
    </row>
    <row r="31" spans="1:4" x14ac:dyDescent="0.2">
      <c r="A31" s="1">
        <v>57000</v>
      </c>
      <c r="B31" s="1">
        <v>0</v>
      </c>
      <c r="C31" s="1">
        <v>120000</v>
      </c>
      <c r="D31" s="1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28"/>
  <dimension ref="D1:H45"/>
  <sheetViews>
    <sheetView workbookViewId="0"/>
  </sheetViews>
  <sheetFormatPr defaultRowHeight="12.75" x14ac:dyDescent="0.2"/>
  <sheetData>
    <row r="1" spans="4:8" x14ac:dyDescent="0.2">
      <c r="D1" s="1">
        <v>11120.7</v>
      </c>
      <c r="E1" s="1">
        <v>5462.8</v>
      </c>
      <c r="G1" s="1">
        <v>5462.8</v>
      </c>
      <c r="H1" s="1">
        <v>11120.7</v>
      </c>
    </row>
    <row r="2" spans="4:8" x14ac:dyDescent="0.2">
      <c r="D2" s="1">
        <v>19804.900000000001</v>
      </c>
      <c r="E2" s="1">
        <v>12681</v>
      </c>
      <c r="G2" s="1">
        <v>12681</v>
      </c>
      <c r="H2" s="1">
        <v>19804.900000000001</v>
      </c>
    </row>
    <row r="3" spans="4:8" x14ac:dyDescent="0.2">
      <c r="D3" s="1">
        <v>17646</v>
      </c>
      <c r="E3" s="1">
        <v>6976.5</v>
      </c>
      <c r="G3" s="1">
        <v>6976.5</v>
      </c>
      <c r="H3" s="1">
        <v>17646</v>
      </c>
    </row>
    <row r="4" spans="4:8" x14ac:dyDescent="0.2">
      <c r="D4" s="1">
        <v>7407.4000000000005</v>
      </c>
      <c r="E4" s="1">
        <v>3456.8</v>
      </c>
      <c r="G4" s="1">
        <v>3456.8</v>
      </c>
      <c r="H4" s="1">
        <v>7407.4000000000005</v>
      </c>
    </row>
    <row r="5" spans="4:8" x14ac:dyDescent="0.2">
      <c r="D5" s="1">
        <v>28868.6</v>
      </c>
      <c r="E5" s="1">
        <v>10036.1</v>
      </c>
      <c r="G5" s="1">
        <v>10036.1</v>
      </c>
      <c r="H5" s="1">
        <v>28868.6</v>
      </c>
    </row>
    <row r="6" spans="4:8" x14ac:dyDescent="0.2">
      <c r="D6" s="1">
        <v>31592.400000000001</v>
      </c>
      <c r="E6" s="1">
        <v>13926.599999999999</v>
      </c>
      <c r="G6" s="1">
        <v>13926.599999999999</v>
      </c>
      <c r="H6" s="1">
        <v>31592.400000000001</v>
      </c>
    </row>
    <row r="7" spans="4:8" x14ac:dyDescent="0.2">
      <c r="D7" s="1">
        <v>75817.8</v>
      </c>
      <c r="E7" s="1">
        <v>46198.2</v>
      </c>
      <c r="G7" s="1">
        <v>46198.2</v>
      </c>
      <c r="H7" s="1">
        <v>75817.8</v>
      </c>
    </row>
    <row r="8" spans="4:8" x14ac:dyDescent="0.2">
      <c r="D8" s="1">
        <v>75817.8</v>
      </c>
      <c r="E8" s="1">
        <v>45478.2</v>
      </c>
      <c r="G8" s="1">
        <v>45478.2</v>
      </c>
      <c r="H8" s="1">
        <v>75817.8</v>
      </c>
    </row>
    <row r="9" spans="4:8" x14ac:dyDescent="0.2">
      <c r="D9" s="1">
        <v>79845.700000000012</v>
      </c>
      <c r="E9" s="1">
        <v>41085.600000000006</v>
      </c>
      <c r="G9" s="1">
        <v>41085.600000000006</v>
      </c>
      <c r="H9" s="1">
        <v>79845.700000000012</v>
      </c>
    </row>
    <row r="10" spans="4:8" x14ac:dyDescent="0.2">
      <c r="D10" s="1">
        <v>3913.1</v>
      </c>
      <c r="E10" s="1">
        <v>2295.5</v>
      </c>
      <c r="G10" s="1">
        <v>2295.5</v>
      </c>
      <c r="H10" s="1">
        <v>3913.1</v>
      </c>
    </row>
    <row r="11" spans="4:8" x14ac:dyDescent="0.2">
      <c r="D11" s="1">
        <v>119633.7</v>
      </c>
      <c r="E11" s="1">
        <v>56380.4</v>
      </c>
      <c r="G11" s="1">
        <v>56380.4</v>
      </c>
      <c r="H11" s="1">
        <v>119633.7</v>
      </c>
    </row>
    <row r="12" spans="4:8" x14ac:dyDescent="0.2">
      <c r="D12" s="1">
        <v>80306.399999999994</v>
      </c>
      <c r="E12" s="1">
        <v>35506</v>
      </c>
      <c r="G12" s="1">
        <v>35506</v>
      </c>
      <c r="H12" s="1">
        <v>80306.399999999994</v>
      </c>
    </row>
    <row r="13" spans="4:8" x14ac:dyDescent="0.2">
      <c r="D13" s="1">
        <v>24613.3</v>
      </c>
      <c r="E13" s="1">
        <v>10355.799999999999</v>
      </c>
      <c r="G13" s="1">
        <v>10355.799999999999</v>
      </c>
      <c r="H13" s="1">
        <v>24613.3</v>
      </c>
    </row>
    <row r="14" spans="4:8" x14ac:dyDescent="0.2">
      <c r="D14" s="1">
        <v>117438.1</v>
      </c>
      <c r="E14" s="1">
        <v>54619.9</v>
      </c>
      <c r="G14" s="1">
        <v>54619.9</v>
      </c>
      <c r="H14" s="1">
        <v>117438.1</v>
      </c>
    </row>
    <row r="15" spans="4:8" x14ac:dyDescent="0.2">
      <c r="D15" s="1">
        <v>36265.300000000003</v>
      </c>
      <c r="E15" s="1">
        <v>16211.8</v>
      </c>
      <c r="G15" s="1">
        <v>16211.8</v>
      </c>
      <c r="H15" s="1">
        <v>36265.300000000003</v>
      </c>
    </row>
    <row r="16" spans="4:8" x14ac:dyDescent="0.2">
      <c r="D16" s="1">
        <v>7977.5</v>
      </c>
      <c r="E16" s="1">
        <v>2530.5</v>
      </c>
      <c r="G16" s="1">
        <v>2530.5</v>
      </c>
      <c r="H16" s="1">
        <v>7977.5</v>
      </c>
    </row>
    <row r="17" spans="4:8" x14ac:dyDescent="0.2">
      <c r="D17" s="1">
        <v>38888.300000000003</v>
      </c>
      <c r="E17" s="1">
        <v>17021.400000000001</v>
      </c>
      <c r="G17" s="1">
        <v>17021.400000000001</v>
      </c>
      <c r="H17" s="1">
        <v>38888.300000000003</v>
      </c>
    </row>
    <row r="18" spans="4:8" x14ac:dyDescent="0.2">
      <c r="D18" s="1">
        <v>107495.7</v>
      </c>
      <c r="E18" s="1">
        <v>40860.699999999997</v>
      </c>
      <c r="G18" s="1">
        <v>40860.699999999997</v>
      </c>
      <c r="H18" s="1">
        <v>107495.7</v>
      </c>
    </row>
    <row r="19" spans="4:8" x14ac:dyDescent="0.2">
      <c r="D19" s="1">
        <v>30981.7</v>
      </c>
      <c r="E19" s="1">
        <v>14503.1</v>
      </c>
      <c r="G19" s="1">
        <v>14503.1</v>
      </c>
      <c r="H19" s="1">
        <v>30981.7</v>
      </c>
    </row>
    <row r="20" spans="4:8" x14ac:dyDescent="0.2">
      <c r="D20" s="1">
        <v>60592.9</v>
      </c>
      <c r="E20" s="1">
        <v>22614.1</v>
      </c>
      <c r="G20" s="1">
        <v>22614.1</v>
      </c>
      <c r="H20" s="1">
        <v>60592.9</v>
      </c>
    </row>
    <row r="21" spans="4:8" x14ac:dyDescent="0.2">
      <c r="D21" s="1">
        <v>38589.4</v>
      </c>
      <c r="E21" s="1">
        <v>13122.2</v>
      </c>
      <c r="G21" s="1">
        <v>13122.2</v>
      </c>
      <c r="H21" s="1">
        <v>38589.4</v>
      </c>
    </row>
    <row r="22" spans="4:8" x14ac:dyDescent="0.2">
      <c r="D22" s="1">
        <v>71751.5</v>
      </c>
      <c r="E22" s="1">
        <v>35627.5</v>
      </c>
      <c r="G22" s="1">
        <v>35627.5</v>
      </c>
      <c r="H22" s="1">
        <v>71751.5</v>
      </c>
    </row>
    <row r="23" spans="4:8" x14ac:dyDescent="0.2">
      <c r="D23" s="1">
        <v>16643.099999999999</v>
      </c>
      <c r="E23" s="1">
        <v>5895.9</v>
      </c>
      <c r="G23" s="1">
        <v>5895.9</v>
      </c>
      <c r="H23" s="1">
        <v>16643.099999999999</v>
      </c>
    </row>
    <row r="24" spans="4:8" x14ac:dyDescent="0.2">
      <c r="D24" s="1">
        <v>6584.6</v>
      </c>
      <c r="E24" s="1">
        <v>2660.5</v>
      </c>
      <c r="G24" s="1">
        <v>2660.5</v>
      </c>
      <c r="H24" s="1">
        <v>6584.6</v>
      </c>
    </row>
    <row r="25" spans="4:8" x14ac:dyDescent="0.2">
      <c r="D25" s="1">
        <v>11662.2</v>
      </c>
      <c r="E25" s="1">
        <v>2623.4</v>
      </c>
      <c r="G25" s="1">
        <v>2623.4</v>
      </c>
      <c r="H25" s="1">
        <v>11662.2</v>
      </c>
    </row>
    <row r="26" spans="4:8" x14ac:dyDescent="0.2">
      <c r="D26" s="1">
        <v>3080.3</v>
      </c>
      <c r="E26" s="1">
        <v>590.1</v>
      </c>
      <c r="G26" s="1">
        <v>590.1</v>
      </c>
      <c r="H26" s="1">
        <v>3080.3</v>
      </c>
    </row>
    <row r="27" spans="4:8" x14ac:dyDescent="0.2">
      <c r="D27" s="1">
        <v>4258.7</v>
      </c>
      <c r="E27" s="1">
        <v>664.3</v>
      </c>
      <c r="G27" s="1">
        <v>664.3</v>
      </c>
      <c r="H27" s="1">
        <v>4258.7</v>
      </c>
    </row>
    <row r="28" spans="4:8" x14ac:dyDescent="0.2">
      <c r="D28" s="1">
        <v>22382.3</v>
      </c>
      <c r="E28" s="1">
        <v>5533.6</v>
      </c>
      <c r="G28" s="1">
        <v>5533.6</v>
      </c>
      <c r="H28" s="1">
        <v>22382.3</v>
      </c>
    </row>
    <row r="29" spans="4:8" x14ac:dyDescent="0.2">
      <c r="D29" s="1">
        <v>7238.1</v>
      </c>
      <c r="E29" s="1">
        <v>1344.3</v>
      </c>
      <c r="G29" s="1">
        <v>1344.3</v>
      </c>
      <c r="H29" s="1">
        <v>7238.1</v>
      </c>
    </row>
    <row r="30" spans="4:8" x14ac:dyDescent="0.2">
      <c r="D30" s="1">
        <v>24402.2</v>
      </c>
      <c r="E30" s="1">
        <v>5049.8999999999996</v>
      </c>
      <c r="G30" s="1">
        <v>5049.8999999999996</v>
      </c>
      <c r="H30" s="1">
        <v>24402.2</v>
      </c>
    </row>
    <row r="31" spans="4:8" x14ac:dyDescent="0.2">
      <c r="D31" s="1">
        <v>11001.6</v>
      </c>
      <c r="E31" s="1">
        <v>2290.3000000000002</v>
      </c>
      <c r="G31" s="1">
        <v>2290.3000000000002</v>
      </c>
      <c r="H31" s="1">
        <v>11001.6</v>
      </c>
    </row>
    <row r="32" spans="4:8" x14ac:dyDescent="0.2">
      <c r="D32" s="1">
        <v>8209.9</v>
      </c>
      <c r="E32" s="1">
        <v>1985.7</v>
      </c>
      <c r="G32" s="1">
        <v>1985.7</v>
      </c>
      <c r="H32" s="1">
        <v>8209.9</v>
      </c>
    </row>
    <row r="33" spans="4:8" x14ac:dyDescent="0.2">
      <c r="D33" s="1">
        <v>12796.4</v>
      </c>
      <c r="E33" s="1">
        <v>3361.4</v>
      </c>
      <c r="G33" s="1">
        <v>3361.4</v>
      </c>
      <c r="H33" s="1">
        <v>12796.4</v>
      </c>
    </row>
    <row r="34" spans="4:8" x14ac:dyDescent="0.2">
      <c r="D34" s="1">
        <v>3642.7</v>
      </c>
      <c r="E34" s="1">
        <v>1082.8</v>
      </c>
      <c r="G34" s="1">
        <v>1082.8</v>
      </c>
      <c r="H34" s="1">
        <v>3642.7</v>
      </c>
    </row>
    <row r="35" spans="4:8" x14ac:dyDescent="0.2">
      <c r="D35" s="1">
        <v>11977.2</v>
      </c>
      <c r="E35" s="1">
        <v>3483.2</v>
      </c>
      <c r="G35" s="1">
        <v>3483.2</v>
      </c>
      <c r="H35" s="1">
        <v>11977.2</v>
      </c>
    </row>
    <row r="36" spans="4:8" x14ac:dyDescent="0.2">
      <c r="D36" s="1">
        <v>19819.7</v>
      </c>
      <c r="E36" s="1">
        <v>4946.05</v>
      </c>
      <c r="G36" s="1">
        <v>4946.05</v>
      </c>
      <c r="H36" s="1">
        <v>19819.7</v>
      </c>
    </row>
    <row r="37" spans="4:8" x14ac:dyDescent="0.2">
      <c r="D37" s="1">
        <v>32098.449999999997</v>
      </c>
      <c r="E37" s="1">
        <v>10128.1</v>
      </c>
      <c r="G37" s="1">
        <v>10128.1</v>
      </c>
      <c r="H37" s="1">
        <v>32098.449999999997</v>
      </c>
    </row>
    <row r="38" spans="4:8" x14ac:dyDescent="0.2">
      <c r="D38" s="1">
        <v>57502.95</v>
      </c>
      <c r="E38" s="1">
        <v>22132.639999999999</v>
      </c>
      <c r="G38" s="1">
        <v>22132.639999999999</v>
      </c>
      <c r="H38" s="1">
        <v>57502.95</v>
      </c>
    </row>
    <row r="39" spans="4:8" x14ac:dyDescent="0.2">
      <c r="D39" s="1">
        <v>95947.5</v>
      </c>
      <c r="E39" s="1">
        <v>55532.800000000003</v>
      </c>
      <c r="G39" s="1">
        <v>55532.800000000003</v>
      </c>
      <c r="H39" s="1">
        <v>95947.5</v>
      </c>
    </row>
    <row r="40" spans="4:8" x14ac:dyDescent="0.2">
      <c r="D40" s="1">
        <v>7051.1</v>
      </c>
      <c r="E40" s="1">
        <v>1190.9000000000001</v>
      </c>
      <c r="G40" s="1">
        <v>1190.9000000000001</v>
      </c>
      <c r="H40" s="1">
        <v>7051.1</v>
      </c>
    </row>
    <row r="41" spans="4:8" x14ac:dyDescent="0.2">
      <c r="D41" s="1">
        <v>6335.8</v>
      </c>
      <c r="E41" s="1">
        <v>998.2</v>
      </c>
      <c r="G41" s="1">
        <v>998.2</v>
      </c>
      <c r="H41" s="1">
        <v>6335.8</v>
      </c>
    </row>
    <row r="42" spans="4:8" x14ac:dyDescent="0.2">
      <c r="D42" s="1">
        <v>10739.7</v>
      </c>
      <c r="E42" s="1">
        <v>2275.4</v>
      </c>
      <c r="G42" s="1">
        <v>2275.4</v>
      </c>
      <c r="H42" s="1">
        <v>10739.7</v>
      </c>
    </row>
    <row r="43" spans="4:8" x14ac:dyDescent="0.2">
      <c r="D43" s="1">
        <v>14807.34</v>
      </c>
      <c r="E43" s="1">
        <v>3034.98</v>
      </c>
      <c r="G43" s="1">
        <v>3034.98</v>
      </c>
      <c r="H43" s="1">
        <v>14807.34</v>
      </c>
    </row>
    <row r="44" spans="4:8" x14ac:dyDescent="0.2">
      <c r="D44" s="1">
        <v>42392.17</v>
      </c>
      <c r="E44" s="1">
        <v>9270.3799999999992</v>
      </c>
      <c r="G44" s="1">
        <v>9270.3799999999992</v>
      </c>
      <c r="H44" s="1">
        <v>42392.17</v>
      </c>
    </row>
    <row r="45" spans="4:8" x14ac:dyDescent="0.2">
      <c r="D45" s="1">
        <v>15598.17</v>
      </c>
      <c r="E45" s="1">
        <v>5038.74</v>
      </c>
      <c r="G45" s="1">
        <v>5038.74</v>
      </c>
      <c r="H45" s="1">
        <v>15598.17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30"/>
  <dimension ref="A1:F31"/>
  <sheetViews>
    <sheetView workbookViewId="0"/>
  </sheetViews>
  <sheetFormatPr defaultRowHeight="12.75" x14ac:dyDescent="0.2"/>
  <sheetData>
    <row r="1" spans="1:6" x14ac:dyDescent="0.2">
      <c r="A1" s="1">
        <v>0</v>
      </c>
      <c r="B1" s="1">
        <v>0</v>
      </c>
      <c r="C1" s="1">
        <v>0</v>
      </c>
      <c r="D1" s="1">
        <v>0</v>
      </c>
      <c r="E1" s="1">
        <v>0</v>
      </c>
      <c r="F1" s="1">
        <v>0</v>
      </c>
    </row>
    <row r="2" spans="1:6" x14ac:dyDescent="0.2">
      <c r="A2" s="1">
        <v>0</v>
      </c>
      <c r="B2" s="1">
        <v>16</v>
      </c>
      <c r="C2" s="1">
        <v>0</v>
      </c>
      <c r="D2" s="1">
        <v>22</v>
      </c>
      <c r="E2" s="1">
        <v>0</v>
      </c>
      <c r="F2" s="1">
        <v>16</v>
      </c>
    </row>
    <row r="3" spans="1:6" x14ac:dyDescent="0.2">
      <c r="A3" s="1">
        <v>1600</v>
      </c>
      <c r="B3" s="1">
        <v>16</v>
      </c>
      <c r="C3" s="1">
        <v>5700</v>
      </c>
      <c r="D3" s="1">
        <v>22</v>
      </c>
      <c r="E3" s="1">
        <v>12000</v>
      </c>
      <c r="F3" s="1">
        <v>16</v>
      </c>
    </row>
    <row r="4" spans="1:6" x14ac:dyDescent="0.2">
      <c r="A4" s="1">
        <v>1600</v>
      </c>
      <c r="B4" s="1">
        <v>0</v>
      </c>
      <c r="C4" s="1">
        <v>5700</v>
      </c>
      <c r="D4" s="1">
        <v>0</v>
      </c>
      <c r="E4" s="1">
        <v>12000</v>
      </c>
      <c r="F4" s="1">
        <v>0</v>
      </c>
    </row>
    <row r="5" spans="1:6" x14ac:dyDescent="0.2">
      <c r="A5" s="1">
        <v>1600</v>
      </c>
      <c r="B5" s="1">
        <v>8</v>
      </c>
      <c r="C5" s="1">
        <v>5700</v>
      </c>
      <c r="D5" s="1">
        <v>6</v>
      </c>
      <c r="E5" s="1">
        <v>12000</v>
      </c>
      <c r="F5" s="1">
        <v>8</v>
      </c>
    </row>
    <row r="6" spans="1:6" x14ac:dyDescent="0.2">
      <c r="A6" s="1">
        <v>3200</v>
      </c>
      <c r="B6" s="1">
        <v>8</v>
      </c>
      <c r="C6" s="1">
        <v>11400</v>
      </c>
      <c r="D6" s="1">
        <v>6</v>
      </c>
      <c r="E6" s="1">
        <v>24000</v>
      </c>
      <c r="F6" s="1">
        <v>8</v>
      </c>
    </row>
    <row r="7" spans="1:6" x14ac:dyDescent="0.2">
      <c r="A7" s="1">
        <v>3200</v>
      </c>
      <c r="B7" s="1">
        <v>0</v>
      </c>
      <c r="C7" s="1">
        <v>11400</v>
      </c>
      <c r="D7" s="1">
        <v>0</v>
      </c>
      <c r="E7" s="1">
        <v>24000</v>
      </c>
      <c r="F7" s="1">
        <v>0</v>
      </c>
    </row>
    <row r="8" spans="1:6" x14ac:dyDescent="0.2">
      <c r="A8" s="1">
        <v>3200</v>
      </c>
      <c r="B8" s="1">
        <v>10</v>
      </c>
      <c r="C8" s="1">
        <v>11400</v>
      </c>
      <c r="D8" s="1">
        <v>6</v>
      </c>
      <c r="E8" s="1">
        <v>24000</v>
      </c>
      <c r="F8" s="1">
        <v>6</v>
      </c>
    </row>
    <row r="9" spans="1:6" x14ac:dyDescent="0.2">
      <c r="A9" s="1">
        <v>4800</v>
      </c>
      <c r="B9" s="1">
        <v>10</v>
      </c>
      <c r="C9" s="1">
        <v>17100</v>
      </c>
      <c r="D9" s="1">
        <v>6</v>
      </c>
      <c r="E9" s="1">
        <v>36000</v>
      </c>
      <c r="F9" s="1">
        <v>6</v>
      </c>
    </row>
    <row r="10" spans="1:6" x14ac:dyDescent="0.2">
      <c r="A10" s="1">
        <v>4800</v>
      </c>
      <c r="B10" s="1">
        <v>0</v>
      </c>
      <c r="C10" s="1">
        <v>17100</v>
      </c>
      <c r="D10" s="1">
        <v>0</v>
      </c>
      <c r="E10" s="1">
        <v>36000</v>
      </c>
      <c r="F10" s="1">
        <v>0</v>
      </c>
    </row>
    <row r="11" spans="1:6" x14ac:dyDescent="0.2">
      <c r="A11" s="1">
        <v>4800</v>
      </c>
      <c r="B11" s="1">
        <v>3</v>
      </c>
      <c r="C11" s="1">
        <v>17100</v>
      </c>
      <c r="D11" s="1">
        <v>2</v>
      </c>
      <c r="E11" s="1">
        <v>36000</v>
      </c>
      <c r="F11" s="1">
        <v>4</v>
      </c>
    </row>
    <row r="12" spans="1:6" x14ac:dyDescent="0.2">
      <c r="A12" s="1">
        <v>6400</v>
      </c>
      <c r="B12" s="1">
        <v>3</v>
      </c>
      <c r="C12" s="1">
        <v>22800</v>
      </c>
      <c r="D12" s="1">
        <v>2</v>
      </c>
      <c r="E12" s="1">
        <v>48000</v>
      </c>
      <c r="F12" s="1">
        <v>4</v>
      </c>
    </row>
    <row r="13" spans="1:6" x14ac:dyDescent="0.2">
      <c r="A13" s="1">
        <v>6400</v>
      </c>
      <c r="B13" s="1">
        <v>0</v>
      </c>
      <c r="C13" s="1">
        <v>22800</v>
      </c>
      <c r="D13" s="1">
        <v>0</v>
      </c>
      <c r="E13" s="1">
        <v>48000</v>
      </c>
      <c r="F13" s="1">
        <v>0</v>
      </c>
    </row>
    <row r="14" spans="1:6" x14ac:dyDescent="0.2">
      <c r="A14" s="1">
        <v>6400</v>
      </c>
      <c r="B14" s="1">
        <v>1</v>
      </c>
      <c r="C14" s="1">
        <v>22800</v>
      </c>
      <c r="D14" s="1">
        <v>0</v>
      </c>
      <c r="E14" s="1">
        <v>48000</v>
      </c>
      <c r="F14" s="1">
        <v>1</v>
      </c>
    </row>
    <row r="15" spans="1:6" x14ac:dyDescent="0.2">
      <c r="A15" s="1">
        <v>8000</v>
      </c>
      <c r="B15" s="1">
        <v>1</v>
      </c>
      <c r="C15" s="1">
        <v>28500</v>
      </c>
      <c r="D15" s="1">
        <v>0</v>
      </c>
      <c r="E15" s="1">
        <v>60000</v>
      </c>
      <c r="F15" s="1">
        <v>1</v>
      </c>
    </row>
    <row r="16" spans="1:6" x14ac:dyDescent="0.2">
      <c r="A16" s="1">
        <v>8000</v>
      </c>
      <c r="B16" s="1">
        <v>0</v>
      </c>
      <c r="C16" s="1">
        <v>28500</v>
      </c>
      <c r="D16" s="1">
        <v>0</v>
      </c>
      <c r="E16" s="1">
        <v>60000</v>
      </c>
      <c r="F16" s="1">
        <v>0</v>
      </c>
    </row>
    <row r="17" spans="1:6" x14ac:dyDescent="0.2">
      <c r="A17" s="1">
        <v>8000</v>
      </c>
      <c r="B17" s="1">
        <v>5</v>
      </c>
      <c r="C17" s="1">
        <v>28500</v>
      </c>
      <c r="D17" s="1">
        <v>0</v>
      </c>
      <c r="E17" s="1">
        <v>60000</v>
      </c>
      <c r="F17" s="1">
        <v>2</v>
      </c>
    </row>
    <row r="18" spans="1:6" x14ac:dyDescent="0.2">
      <c r="A18" s="1">
        <v>9600</v>
      </c>
      <c r="B18" s="1">
        <v>5</v>
      </c>
      <c r="C18" s="1">
        <v>34200</v>
      </c>
      <c r="D18" s="1">
        <v>0</v>
      </c>
      <c r="E18" s="1">
        <v>72000</v>
      </c>
      <c r="F18" s="1">
        <v>2</v>
      </c>
    </row>
    <row r="19" spans="1:6" x14ac:dyDescent="0.2">
      <c r="A19" s="1">
        <v>9600</v>
      </c>
      <c r="B19" s="1">
        <v>0</v>
      </c>
      <c r="C19" s="1">
        <v>34200</v>
      </c>
      <c r="D19" s="1">
        <v>0</v>
      </c>
      <c r="E19" s="1">
        <v>72000</v>
      </c>
      <c r="F19" s="1">
        <v>0</v>
      </c>
    </row>
    <row r="20" spans="1:6" x14ac:dyDescent="0.2">
      <c r="A20" s="1">
        <v>9600</v>
      </c>
      <c r="B20" s="1">
        <v>4</v>
      </c>
      <c r="C20" s="1">
        <v>34200</v>
      </c>
      <c r="D20" s="1">
        <v>2</v>
      </c>
      <c r="E20" s="1">
        <v>72000</v>
      </c>
      <c r="F20" s="1">
        <v>4</v>
      </c>
    </row>
    <row r="21" spans="1:6" x14ac:dyDescent="0.2">
      <c r="A21" s="1">
        <v>11200</v>
      </c>
      <c r="B21" s="1">
        <v>4</v>
      </c>
      <c r="C21" s="1">
        <v>39900</v>
      </c>
      <c r="D21" s="1">
        <v>2</v>
      </c>
      <c r="E21" s="1">
        <v>84000</v>
      </c>
      <c r="F21" s="1">
        <v>4</v>
      </c>
    </row>
    <row r="22" spans="1:6" x14ac:dyDescent="0.2">
      <c r="A22" s="1">
        <v>11200</v>
      </c>
      <c r="B22" s="1">
        <v>0</v>
      </c>
      <c r="C22" s="1">
        <v>39900</v>
      </c>
      <c r="D22" s="1">
        <v>0</v>
      </c>
      <c r="E22" s="1">
        <v>84000</v>
      </c>
      <c r="F22" s="1">
        <v>0</v>
      </c>
    </row>
    <row r="23" spans="1:6" x14ac:dyDescent="0.2">
      <c r="A23" s="1">
        <v>11200</v>
      </c>
      <c r="B23" s="1">
        <v>2</v>
      </c>
      <c r="C23" s="1">
        <v>39900</v>
      </c>
      <c r="D23" s="1">
        <v>3</v>
      </c>
      <c r="E23" s="1">
        <v>84000</v>
      </c>
      <c r="F23" s="1">
        <v>1</v>
      </c>
    </row>
    <row r="24" spans="1:6" x14ac:dyDescent="0.2">
      <c r="A24" s="1">
        <v>12800</v>
      </c>
      <c r="B24" s="1">
        <v>2</v>
      </c>
      <c r="C24" s="1">
        <v>45600</v>
      </c>
      <c r="D24" s="1">
        <v>3</v>
      </c>
      <c r="E24" s="1">
        <v>96000</v>
      </c>
      <c r="F24" s="1">
        <v>1</v>
      </c>
    </row>
    <row r="25" spans="1:6" x14ac:dyDescent="0.2">
      <c r="A25" s="1">
        <v>12800</v>
      </c>
      <c r="B25" s="1">
        <v>0</v>
      </c>
      <c r="C25" s="1">
        <v>45600</v>
      </c>
      <c r="D25" s="1">
        <v>0</v>
      </c>
      <c r="E25" s="1">
        <v>96000</v>
      </c>
      <c r="F25" s="1">
        <v>0</v>
      </c>
    </row>
    <row r="26" spans="1:6" x14ac:dyDescent="0.2">
      <c r="A26" s="1">
        <v>12800</v>
      </c>
      <c r="B26" s="1">
        <v>2</v>
      </c>
      <c r="C26" s="1">
        <v>45600</v>
      </c>
      <c r="D26" s="1">
        <v>1</v>
      </c>
      <c r="E26" s="1">
        <v>96000</v>
      </c>
      <c r="F26" s="1">
        <v>1</v>
      </c>
    </row>
    <row r="27" spans="1:6" x14ac:dyDescent="0.2">
      <c r="A27" s="1">
        <v>14400</v>
      </c>
      <c r="B27" s="1">
        <v>2</v>
      </c>
      <c r="C27" s="1">
        <v>51300</v>
      </c>
      <c r="D27" s="1">
        <v>1</v>
      </c>
      <c r="E27" s="1">
        <v>108000</v>
      </c>
      <c r="F27" s="1">
        <v>1</v>
      </c>
    </row>
    <row r="28" spans="1:6" x14ac:dyDescent="0.2">
      <c r="A28" s="1">
        <v>14400</v>
      </c>
      <c r="B28" s="1">
        <v>0</v>
      </c>
      <c r="C28" s="1">
        <v>51300</v>
      </c>
      <c r="D28" s="1">
        <v>0</v>
      </c>
      <c r="E28" s="1">
        <v>108000</v>
      </c>
      <c r="F28" s="1">
        <v>0</v>
      </c>
    </row>
    <row r="29" spans="1:6" x14ac:dyDescent="0.2">
      <c r="A29" s="1">
        <v>14400</v>
      </c>
      <c r="B29" s="1">
        <v>1</v>
      </c>
      <c r="C29" s="1">
        <v>51300</v>
      </c>
      <c r="D29" s="1">
        <v>3</v>
      </c>
      <c r="E29" s="1">
        <v>108000</v>
      </c>
      <c r="F29" s="1">
        <v>2</v>
      </c>
    </row>
    <row r="30" spans="1:6" x14ac:dyDescent="0.2">
      <c r="A30" s="1">
        <v>16000</v>
      </c>
      <c r="B30" s="1">
        <v>1</v>
      </c>
      <c r="C30" s="1">
        <v>57000</v>
      </c>
      <c r="D30" s="1">
        <v>3</v>
      </c>
      <c r="E30" s="1">
        <v>120000</v>
      </c>
      <c r="F30" s="1">
        <v>2</v>
      </c>
    </row>
    <row r="31" spans="1:6" x14ac:dyDescent="0.2">
      <c r="A31" s="1">
        <v>16000</v>
      </c>
      <c r="B31" s="1">
        <v>0</v>
      </c>
      <c r="C31" s="1">
        <v>57000</v>
      </c>
      <c r="D31" s="1">
        <v>0</v>
      </c>
      <c r="E31" s="1">
        <v>120000</v>
      </c>
      <c r="F31" s="1"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31"/>
  <dimension ref="D1:W45"/>
  <sheetViews>
    <sheetView workbookViewId="0"/>
  </sheetViews>
  <sheetFormatPr defaultRowHeight="12.75" x14ac:dyDescent="0.2"/>
  <sheetData>
    <row r="1" spans="4:23" x14ac:dyDescent="0.2">
      <c r="D1" s="1">
        <v>5462.8</v>
      </c>
      <c r="E1" s="1">
        <v>376</v>
      </c>
      <c r="G1" s="1">
        <v>11120.7</v>
      </c>
      <c r="H1" s="1">
        <v>376</v>
      </c>
      <c r="J1" s="1">
        <v>376</v>
      </c>
      <c r="K1" s="1">
        <v>5462.8</v>
      </c>
      <c r="P1" s="1">
        <v>11120.7</v>
      </c>
      <c r="Q1" s="1">
        <v>5462.8</v>
      </c>
      <c r="S1" s="1">
        <v>376</v>
      </c>
      <c r="T1" s="1">
        <v>11120.7</v>
      </c>
      <c r="V1" s="1">
        <v>5462.8</v>
      </c>
      <c r="W1" s="1">
        <v>11120.7</v>
      </c>
    </row>
    <row r="2" spans="4:23" x14ac:dyDescent="0.2">
      <c r="D2" s="1">
        <v>12681</v>
      </c>
      <c r="E2" s="1">
        <v>513</v>
      </c>
      <c r="G2" s="1">
        <v>19804.900000000001</v>
      </c>
      <c r="H2" s="1">
        <v>513</v>
      </c>
      <c r="J2" s="1">
        <v>513</v>
      </c>
      <c r="K2" s="1">
        <v>12681</v>
      </c>
      <c r="P2" s="1">
        <v>19804.900000000001</v>
      </c>
      <c r="Q2" s="1">
        <v>12681</v>
      </c>
      <c r="S2" s="1">
        <v>513</v>
      </c>
      <c r="T2" s="1">
        <v>19804.900000000001</v>
      </c>
      <c r="V2" s="1">
        <v>12681</v>
      </c>
      <c r="W2" s="1">
        <v>19804.900000000001</v>
      </c>
    </row>
    <row r="3" spans="4:23" x14ac:dyDescent="0.2">
      <c r="D3" s="1">
        <v>6976.5</v>
      </c>
      <c r="E3" s="1">
        <v>1165</v>
      </c>
      <c r="G3" s="1">
        <v>17646</v>
      </c>
      <c r="H3" s="1">
        <v>1165</v>
      </c>
      <c r="J3" s="1">
        <v>1165</v>
      </c>
      <c r="K3" s="1">
        <v>6976.5</v>
      </c>
      <c r="P3" s="1">
        <v>17646</v>
      </c>
      <c r="Q3" s="1">
        <v>6976.5</v>
      </c>
      <c r="S3" s="1">
        <v>1165</v>
      </c>
      <c r="T3" s="1">
        <v>17646</v>
      </c>
      <c r="V3" s="1">
        <v>6976.5</v>
      </c>
      <c r="W3" s="1">
        <v>17646</v>
      </c>
    </row>
    <row r="4" spans="4:23" x14ac:dyDescent="0.2">
      <c r="D4" s="1">
        <v>3456.8</v>
      </c>
      <c r="E4" s="1">
        <v>459</v>
      </c>
      <c r="G4" s="1">
        <v>7407.4000000000005</v>
      </c>
      <c r="H4" s="1">
        <v>459</v>
      </c>
      <c r="J4" s="1">
        <v>459</v>
      </c>
      <c r="K4" s="1">
        <v>3456.8</v>
      </c>
      <c r="P4" s="1">
        <v>7407.4000000000005</v>
      </c>
      <c r="Q4" s="1">
        <v>3456.8</v>
      </c>
      <c r="S4" s="1">
        <v>459</v>
      </c>
      <c r="T4" s="1">
        <v>7407.4000000000005</v>
      </c>
      <c r="V4" s="1">
        <v>3456.8</v>
      </c>
      <c r="W4" s="1">
        <v>7407.4000000000005</v>
      </c>
    </row>
    <row r="5" spans="4:23" x14ac:dyDescent="0.2">
      <c r="D5" s="1">
        <v>10036.1</v>
      </c>
      <c r="E5" s="1">
        <v>1104</v>
      </c>
      <c r="G5" s="1">
        <v>28868.6</v>
      </c>
      <c r="H5" s="1">
        <v>1104</v>
      </c>
      <c r="J5" s="1">
        <v>1104</v>
      </c>
      <c r="K5" s="1">
        <v>10036.1</v>
      </c>
      <c r="P5" s="1">
        <v>28868.6</v>
      </c>
      <c r="Q5" s="1">
        <v>10036.1</v>
      </c>
      <c r="S5" s="1">
        <v>1104</v>
      </c>
      <c r="T5" s="1">
        <v>28868.6</v>
      </c>
      <c r="V5" s="1">
        <v>10036.1</v>
      </c>
      <c r="W5" s="1">
        <v>28868.6</v>
      </c>
    </row>
    <row r="6" spans="4:23" x14ac:dyDescent="0.2">
      <c r="D6" s="1">
        <v>13926.599999999999</v>
      </c>
      <c r="E6" s="1">
        <v>1449</v>
      </c>
      <c r="G6" s="1">
        <v>31592.400000000001</v>
      </c>
      <c r="H6" s="1">
        <v>1449</v>
      </c>
      <c r="J6" s="1">
        <v>1449</v>
      </c>
      <c r="K6" s="1">
        <v>13926.599999999999</v>
      </c>
      <c r="P6" s="1">
        <v>31592.400000000001</v>
      </c>
      <c r="Q6" s="1">
        <v>13926.599999999999</v>
      </c>
      <c r="S6" s="1">
        <v>1449</v>
      </c>
      <c r="T6" s="1">
        <v>31592.400000000001</v>
      </c>
      <c r="V6" s="1">
        <v>13926.599999999999</v>
      </c>
      <c r="W6" s="1">
        <v>31592.400000000001</v>
      </c>
    </row>
    <row r="7" spans="4:23" x14ac:dyDescent="0.2">
      <c r="D7" s="1">
        <v>46198.2</v>
      </c>
      <c r="E7" s="1">
        <v>1414</v>
      </c>
      <c r="G7" s="1">
        <v>75817.8</v>
      </c>
      <c r="H7" s="1">
        <v>1414</v>
      </c>
      <c r="J7" s="1">
        <v>1414</v>
      </c>
      <c r="K7" s="1">
        <v>46198.2</v>
      </c>
      <c r="P7" s="1">
        <v>75817.8</v>
      </c>
      <c r="Q7" s="1">
        <v>46198.2</v>
      </c>
      <c r="S7" s="1">
        <v>1414</v>
      </c>
      <c r="T7" s="1">
        <v>75817.8</v>
      </c>
      <c r="V7" s="1">
        <v>46198.2</v>
      </c>
      <c r="W7" s="1">
        <v>75817.8</v>
      </c>
    </row>
    <row r="8" spans="4:23" x14ac:dyDescent="0.2">
      <c r="D8" s="1">
        <v>45478.2</v>
      </c>
      <c r="E8" s="1">
        <v>1923</v>
      </c>
      <c r="G8" s="1">
        <v>75817.8</v>
      </c>
      <c r="H8" s="1">
        <v>1923</v>
      </c>
      <c r="J8" s="1">
        <v>1923</v>
      </c>
      <c r="K8" s="1">
        <v>45478.2</v>
      </c>
      <c r="P8" s="1">
        <v>75817.8</v>
      </c>
      <c r="Q8" s="1">
        <v>45478.2</v>
      </c>
      <c r="S8" s="1">
        <v>1923</v>
      </c>
      <c r="T8" s="1">
        <v>75817.8</v>
      </c>
      <c r="V8" s="1">
        <v>45478.2</v>
      </c>
      <c r="W8" s="1">
        <v>75817.8</v>
      </c>
    </row>
    <row r="9" spans="4:23" x14ac:dyDescent="0.2">
      <c r="D9" s="1">
        <v>41085.600000000006</v>
      </c>
      <c r="E9" s="1">
        <v>2146</v>
      </c>
      <c r="G9" s="1">
        <v>79845.700000000012</v>
      </c>
      <c r="H9" s="1">
        <v>2146</v>
      </c>
      <c r="J9" s="1">
        <v>2146</v>
      </c>
      <c r="K9" s="1">
        <v>41085.600000000006</v>
      </c>
      <c r="P9" s="1">
        <v>79845.700000000012</v>
      </c>
      <c r="Q9" s="1">
        <v>41085.600000000006</v>
      </c>
      <c r="S9" s="1">
        <v>2146</v>
      </c>
      <c r="T9" s="1">
        <v>79845.700000000012</v>
      </c>
      <c r="V9" s="1">
        <v>41085.600000000006</v>
      </c>
      <c r="W9" s="1">
        <v>79845.700000000012</v>
      </c>
    </row>
    <row r="10" spans="4:23" x14ac:dyDescent="0.2">
      <c r="D10" s="1">
        <v>2295.5</v>
      </c>
      <c r="E10" s="1">
        <v>402</v>
      </c>
      <c r="G10" s="1">
        <v>3913.1</v>
      </c>
      <c r="H10" s="1">
        <v>402</v>
      </c>
      <c r="J10" s="1">
        <v>402</v>
      </c>
      <c r="K10" s="1">
        <v>2295.5</v>
      </c>
      <c r="P10" s="1">
        <v>3913.1</v>
      </c>
      <c r="Q10" s="1">
        <v>2295.5</v>
      </c>
      <c r="S10" s="1">
        <v>402</v>
      </c>
      <c r="T10" s="1">
        <v>3913.1</v>
      </c>
      <c r="V10" s="1">
        <v>2295.5</v>
      </c>
      <c r="W10" s="1">
        <v>3913.1</v>
      </c>
    </row>
    <row r="11" spans="4:23" x14ac:dyDescent="0.2">
      <c r="D11" s="1">
        <v>56380.4</v>
      </c>
      <c r="E11" s="1">
        <v>3642</v>
      </c>
      <c r="G11" s="1">
        <v>119633.7</v>
      </c>
      <c r="H11" s="1">
        <v>3642</v>
      </c>
      <c r="J11" s="1">
        <v>3642</v>
      </c>
      <c r="K11" s="1">
        <v>56380.4</v>
      </c>
      <c r="P11" s="1">
        <v>119633.7</v>
      </c>
      <c r="Q11" s="1">
        <v>56380.4</v>
      </c>
      <c r="S11" s="1">
        <v>3642</v>
      </c>
      <c r="T11" s="1">
        <v>119633.7</v>
      </c>
      <c r="V11" s="1">
        <v>56380.4</v>
      </c>
      <c r="W11" s="1">
        <v>119633.7</v>
      </c>
    </row>
    <row r="12" spans="4:23" x14ac:dyDescent="0.2">
      <c r="D12" s="1">
        <v>35506</v>
      </c>
      <c r="E12" s="1">
        <v>3506</v>
      </c>
      <c r="G12" s="1">
        <v>80306.399999999994</v>
      </c>
      <c r="H12" s="1">
        <v>3506</v>
      </c>
      <c r="J12" s="1">
        <v>3506</v>
      </c>
      <c r="K12" s="1">
        <v>35506</v>
      </c>
      <c r="P12" s="1">
        <v>80306.399999999994</v>
      </c>
      <c r="Q12" s="1">
        <v>35506</v>
      </c>
      <c r="S12" s="1">
        <v>3506</v>
      </c>
      <c r="T12" s="1">
        <v>80306.399999999994</v>
      </c>
      <c r="V12" s="1">
        <v>35506</v>
      </c>
      <c r="W12" s="1">
        <v>80306.399999999994</v>
      </c>
    </row>
    <row r="13" spans="4:23" x14ac:dyDescent="0.2">
      <c r="D13" s="1">
        <v>10355.799999999999</v>
      </c>
      <c r="E13" s="1">
        <v>1974</v>
      </c>
      <c r="G13" s="1">
        <v>24613.3</v>
      </c>
      <c r="H13" s="1">
        <v>1974</v>
      </c>
      <c r="J13" s="1">
        <v>1974</v>
      </c>
      <c r="K13" s="1">
        <v>10355.799999999999</v>
      </c>
      <c r="P13" s="1">
        <v>24613.3</v>
      </c>
      <c r="Q13" s="1">
        <v>10355.799999999999</v>
      </c>
      <c r="S13" s="1">
        <v>1974</v>
      </c>
      <c r="T13" s="1">
        <v>24613.3</v>
      </c>
      <c r="V13" s="1">
        <v>10355.799999999999</v>
      </c>
      <c r="W13" s="1">
        <v>24613.3</v>
      </c>
    </row>
    <row r="14" spans="4:23" x14ac:dyDescent="0.2">
      <c r="D14" s="1">
        <v>54619.9</v>
      </c>
      <c r="E14" s="1">
        <v>5086</v>
      </c>
      <c r="G14" s="1">
        <v>117438.1</v>
      </c>
      <c r="H14" s="1">
        <v>5086</v>
      </c>
      <c r="J14" s="1">
        <v>5086</v>
      </c>
      <c r="K14" s="1">
        <v>54619.9</v>
      </c>
      <c r="P14" s="1">
        <v>117438.1</v>
      </c>
      <c r="Q14" s="1">
        <v>54619.9</v>
      </c>
      <c r="S14" s="1">
        <v>5086</v>
      </c>
      <c r="T14" s="1">
        <v>117438.1</v>
      </c>
      <c r="V14" s="1">
        <v>54619.9</v>
      </c>
      <c r="W14" s="1">
        <v>117438.1</v>
      </c>
    </row>
    <row r="15" spans="4:23" x14ac:dyDescent="0.2">
      <c r="D15" s="1">
        <v>16211.8</v>
      </c>
      <c r="E15" s="1">
        <v>2394</v>
      </c>
      <c r="G15" s="1">
        <v>36265.300000000003</v>
      </c>
      <c r="H15" s="1">
        <v>2394</v>
      </c>
      <c r="J15" s="1">
        <v>2394</v>
      </c>
      <c r="K15" s="1">
        <v>16211.8</v>
      </c>
      <c r="P15" s="1">
        <v>36265.300000000003</v>
      </c>
      <c r="Q15" s="1">
        <v>16211.8</v>
      </c>
      <c r="S15" s="1">
        <v>2394</v>
      </c>
      <c r="T15" s="1">
        <v>36265.300000000003</v>
      </c>
      <c r="V15" s="1">
        <v>16211.8</v>
      </c>
      <c r="W15" s="1">
        <v>36265.300000000003</v>
      </c>
    </row>
    <row r="16" spans="4:23" x14ac:dyDescent="0.2">
      <c r="D16" s="1">
        <v>2530.5</v>
      </c>
      <c r="E16" s="1">
        <v>841</v>
      </c>
      <c r="G16" s="1">
        <v>7977.5</v>
      </c>
      <c r="H16" s="1">
        <v>841</v>
      </c>
      <c r="J16" s="1">
        <v>841</v>
      </c>
      <c r="K16" s="1">
        <v>2530.5</v>
      </c>
      <c r="P16" s="1">
        <v>7977.5</v>
      </c>
      <c r="Q16" s="1">
        <v>2530.5</v>
      </c>
      <c r="S16" s="1">
        <v>841</v>
      </c>
      <c r="T16" s="1">
        <v>7977.5</v>
      </c>
      <c r="V16" s="1">
        <v>2530.5</v>
      </c>
      <c r="W16" s="1">
        <v>7977.5</v>
      </c>
    </row>
    <row r="17" spans="4:23" x14ac:dyDescent="0.2">
      <c r="D17" s="1">
        <v>17021.400000000001</v>
      </c>
      <c r="E17" s="1">
        <v>2924</v>
      </c>
      <c r="G17" s="1">
        <v>38888.300000000003</v>
      </c>
      <c r="H17" s="1">
        <v>2924</v>
      </c>
      <c r="J17" s="1">
        <v>2924</v>
      </c>
      <c r="K17" s="1">
        <v>17021.400000000001</v>
      </c>
      <c r="P17" s="1">
        <v>38888.300000000003</v>
      </c>
      <c r="Q17" s="1">
        <v>17021.400000000001</v>
      </c>
      <c r="S17" s="1">
        <v>2924</v>
      </c>
      <c r="T17" s="1">
        <v>38888.300000000003</v>
      </c>
      <c r="V17" s="1">
        <v>17021.400000000001</v>
      </c>
      <c r="W17" s="1">
        <v>38888.300000000003</v>
      </c>
    </row>
    <row r="18" spans="4:23" x14ac:dyDescent="0.2">
      <c r="D18" s="1">
        <v>40860.699999999997</v>
      </c>
      <c r="E18" s="1">
        <v>4721</v>
      </c>
      <c r="G18" s="1">
        <v>107495.7</v>
      </c>
      <c r="H18" s="1">
        <v>4721</v>
      </c>
      <c r="J18" s="1">
        <v>4721</v>
      </c>
      <c r="K18" s="1">
        <v>40860.699999999997</v>
      </c>
      <c r="P18" s="1">
        <v>107495.7</v>
      </c>
      <c r="Q18" s="1">
        <v>40860.699999999997</v>
      </c>
      <c r="S18" s="1">
        <v>4721</v>
      </c>
      <c r="T18" s="1">
        <v>107495.7</v>
      </c>
      <c r="V18" s="1">
        <v>40860.699999999997</v>
      </c>
      <c r="W18" s="1">
        <v>107495.7</v>
      </c>
    </row>
    <row r="19" spans="4:23" x14ac:dyDescent="0.2">
      <c r="D19" s="1">
        <v>14503.1</v>
      </c>
      <c r="E19" s="1">
        <v>2370</v>
      </c>
      <c r="G19" s="1">
        <v>30981.7</v>
      </c>
      <c r="H19" s="1">
        <v>2370</v>
      </c>
      <c r="J19" s="1">
        <v>2370</v>
      </c>
      <c r="K19" s="1">
        <v>14503.1</v>
      </c>
      <c r="P19" s="1">
        <v>30981.7</v>
      </c>
      <c r="Q19" s="1">
        <v>14503.1</v>
      </c>
      <c r="S19" s="1">
        <v>2370</v>
      </c>
      <c r="T19" s="1">
        <v>30981.7</v>
      </c>
      <c r="V19" s="1">
        <v>14503.1</v>
      </c>
      <c r="W19" s="1">
        <v>30981.7</v>
      </c>
    </row>
    <row r="20" spans="4:23" x14ac:dyDescent="0.2">
      <c r="D20" s="1">
        <v>22614.1</v>
      </c>
      <c r="E20" s="1">
        <v>3900</v>
      </c>
      <c r="G20" s="1">
        <v>60592.9</v>
      </c>
      <c r="H20" s="1">
        <v>3900</v>
      </c>
      <c r="J20" s="1">
        <v>3900</v>
      </c>
      <c r="K20" s="1">
        <v>22614.1</v>
      </c>
      <c r="P20" s="1">
        <v>60592.9</v>
      </c>
      <c r="Q20" s="1">
        <v>22614.1</v>
      </c>
      <c r="S20" s="1">
        <v>3900</v>
      </c>
      <c r="T20" s="1">
        <v>60592.9</v>
      </c>
      <c r="V20" s="1">
        <v>22614.1</v>
      </c>
      <c r="W20" s="1">
        <v>60592.9</v>
      </c>
    </row>
    <row r="21" spans="4:23" x14ac:dyDescent="0.2">
      <c r="D21" s="1">
        <v>13122.2</v>
      </c>
      <c r="E21" s="1">
        <v>3895</v>
      </c>
      <c r="G21" s="1">
        <v>38589.4</v>
      </c>
      <c r="H21" s="1">
        <v>3895</v>
      </c>
      <c r="J21" s="1">
        <v>3895</v>
      </c>
      <c r="K21" s="1">
        <v>13122.2</v>
      </c>
      <c r="P21" s="1">
        <v>38589.4</v>
      </c>
      <c r="Q21" s="1">
        <v>13122.2</v>
      </c>
      <c r="S21" s="1">
        <v>3895</v>
      </c>
      <c r="T21" s="1">
        <v>38589.4</v>
      </c>
      <c r="V21" s="1">
        <v>13122.2</v>
      </c>
      <c r="W21" s="1">
        <v>38589.4</v>
      </c>
    </row>
    <row r="22" spans="4:23" x14ac:dyDescent="0.2">
      <c r="D22" s="1">
        <v>35627.5</v>
      </c>
      <c r="E22" s="1">
        <v>8243</v>
      </c>
      <c r="G22" s="1">
        <v>71751.5</v>
      </c>
      <c r="H22" s="1">
        <v>8243</v>
      </c>
      <c r="J22" s="1">
        <v>8243</v>
      </c>
      <c r="K22" s="1">
        <v>35627.5</v>
      </c>
      <c r="P22" s="1">
        <v>71751.5</v>
      </c>
      <c r="Q22" s="1">
        <v>35627.5</v>
      </c>
      <c r="S22" s="1">
        <v>8243</v>
      </c>
      <c r="T22" s="1">
        <v>71751.5</v>
      </c>
      <c r="V22" s="1">
        <v>35627.5</v>
      </c>
      <c r="W22" s="1">
        <v>71751.5</v>
      </c>
    </row>
    <row r="23" spans="4:23" x14ac:dyDescent="0.2">
      <c r="D23" s="1">
        <v>5895.9</v>
      </c>
      <c r="E23" s="1">
        <v>4045</v>
      </c>
      <c r="G23" s="1">
        <v>16643.099999999999</v>
      </c>
      <c r="H23" s="1">
        <v>4045</v>
      </c>
      <c r="J23" s="1">
        <v>4045</v>
      </c>
      <c r="K23" s="1">
        <v>5895.9</v>
      </c>
      <c r="P23" s="1">
        <v>16643.099999999999</v>
      </c>
      <c r="Q23" s="1">
        <v>5895.9</v>
      </c>
      <c r="S23" s="1">
        <v>4045</v>
      </c>
      <c r="T23" s="1">
        <v>16643.099999999999</v>
      </c>
      <c r="V23" s="1">
        <v>5895.9</v>
      </c>
      <c r="W23" s="1">
        <v>16643.099999999999</v>
      </c>
    </row>
    <row r="24" spans="4:23" x14ac:dyDescent="0.2">
      <c r="D24" s="1">
        <v>2660.5</v>
      </c>
      <c r="E24" s="1">
        <v>4717</v>
      </c>
      <c r="G24" s="1">
        <v>6584.6</v>
      </c>
      <c r="H24" s="1">
        <v>4717</v>
      </c>
      <c r="J24" s="1">
        <v>4717</v>
      </c>
      <c r="K24" s="1">
        <v>2660.5</v>
      </c>
      <c r="P24" s="1">
        <v>6584.6</v>
      </c>
      <c r="Q24" s="1">
        <v>2660.5</v>
      </c>
      <c r="S24" s="1">
        <v>4717</v>
      </c>
      <c r="T24" s="1">
        <v>6584.6</v>
      </c>
      <c r="V24" s="1">
        <v>2660.5</v>
      </c>
      <c r="W24" s="1">
        <v>6584.6</v>
      </c>
    </row>
    <row r="25" spans="4:23" x14ac:dyDescent="0.2">
      <c r="D25" s="1">
        <v>2623.4</v>
      </c>
      <c r="E25" s="1">
        <v>8145</v>
      </c>
      <c r="G25" s="1">
        <v>11662.2</v>
      </c>
      <c r="H25" s="1">
        <v>8145</v>
      </c>
      <c r="J25" s="1">
        <v>8145</v>
      </c>
      <c r="K25" s="1">
        <v>2623.4</v>
      </c>
      <c r="P25" s="1">
        <v>11662.2</v>
      </c>
      <c r="Q25" s="1">
        <v>2623.4</v>
      </c>
      <c r="S25" s="1">
        <v>8145</v>
      </c>
      <c r="T25" s="1">
        <v>11662.2</v>
      </c>
      <c r="V25" s="1">
        <v>2623.4</v>
      </c>
      <c r="W25" s="1">
        <v>11662.2</v>
      </c>
    </row>
    <row r="26" spans="4:23" x14ac:dyDescent="0.2">
      <c r="D26" s="1">
        <v>590.1</v>
      </c>
      <c r="E26" s="1">
        <v>6339</v>
      </c>
      <c r="G26" s="1">
        <v>3080.3</v>
      </c>
      <c r="H26" s="1">
        <v>6339</v>
      </c>
      <c r="J26" s="1">
        <v>6339</v>
      </c>
      <c r="K26" s="1">
        <v>590.1</v>
      </c>
      <c r="P26" s="1">
        <v>3080.3</v>
      </c>
      <c r="Q26" s="1">
        <v>590.1</v>
      </c>
      <c r="S26" s="1">
        <v>6339</v>
      </c>
      <c r="T26" s="1">
        <v>3080.3</v>
      </c>
      <c r="V26" s="1">
        <v>590.1</v>
      </c>
      <c r="W26" s="1">
        <v>3080.3</v>
      </c>
    </row>
    <row r="27" spans="4:23" x14ac:dyDescent="0.2">
      <c r="D27" s="1">
        <v>664.3</v>
      </c>
      <c r="E27" s="1">
        <v>8480</v>
      </c>
      <c r="G27" s="1">
        <v>4258.7</v>
      </c>
      <c r="H27" s="1">
        <v>8480</v>
      </c>
      <c r="J27" s="1">
        <v>8480</v>
      </c>
      <c r="K27" s="1">
        <v>664.3</v>
      </c>
      <c r="P27" s="1">
        <v>4258.7</v>
      </c>
      <c r="Q27" s="1">
        <v>664.3</v>
      </c>
      <c r="S27" s="1">
        <v>8480</v>
      </c>
      <c r="T27" s="1">
        <v>4258.7</v>
      </c>
      <c r="V27" s="1">
        <v>664.3</v>
      </c>
      <c r="W27" s="1">
        <v>4258.7</v>
      </c>
    </row>
    <row r="28" spans="4:23" x14ac:dyDescent="0.2">
      <c r="D28" s="1">
        <v>5533.6</v>
      </c>
      <c r="E28" s="1">
        <v>15253</v>
      </c>
      <c r="G28" s="1">
        <v>22382.3</v>
      </c>
      <c r="H28" s="1">
        <v>15253</v>
      </c>
      <c r="J28" s="1">
        <v>15253</v>
      </c>
      <c r="K28" s="1">
        <v>5533.6</v>
      </c>
      <c r="P28" s="1">
        <v>22382.3</v>
      </c>
      <c r="Q28" s="1">
        <v>5533.6</v>
      </c>
      <c r="S28" s="1">
        <v>15253</v>
      </c>
      <c r="T28" s="1">
        <v>22382.3</v>
      </c>
      <c r="V28" s="1">
        <v>5533.6</v>
      </c>
      <c r="W28" s="1">
        <v>22382.3</v>
      </c>
    </row>
    <row r="29" spans="4:23" x14ac:dyDescent="0.2">
      <c r="D29" s="1">
        <v>1344.3</v>
      </c>
      <c r="E29" s="1">
        <v>10261</v>
      </c>
      <c r="G29" s="1">
        <v>7238.1</v>
      </c>
      <c r="H29" s="1">
        <v>10261</v>
      </c>
      <c r="J29" s="1">
        <v>10261</v>
      </c>
      <c r="K29" s="1">
        <v>1344.3</v>
      </c>
      <c r="P29" s="1">
        <v>7238.1</v>
      </c>
      <c r="Q29" s="1">
        <v>1344.3</v>
      </c>
      <c r="S29" s="1">
        <v>10261</v>
      </c>
      <c r="T29" s="1">
        <v>7238.1</v>
      </c>
      <c r="V29" s="1">
        <v>1344.3</v>
      </c>
      <c r="W29" s="1">
        <v>7238.1</v>
      </c>
    </row>
    <row r="30" spans="4:23" x14ac:dyDescent="0.2">
      <c r="D30" s="1">
        <v>5049.8999999999996</v>
      </c>
      <c r="E30" s="1">
        <v>14317</v>
      </c>
      <c r="G30" s="1">
        <v>24402.2</v>
      </c>
      <c r="H30" s="1">
        <v>14317</v>
      </c>
      <c r="J30" s="1">
        <v>14317</v>
      </c>
      <c r="K30" s="1">
        <v>5049.8999999999996</v>
      </c>
      <c r="P30" s="1">
        <v>24402.2</v>
      </c>
      <c r="Q30" s="1">
        <v>5049.8999999999996</v>
      </c>
      <c r="S30" s="1">
        <v>14317</v>
      </c>
      <c r="T30" s="1">
        <v>24402.2</v>
      </c>
      <c r="V30" s="1">
        <v>5049.8999999999996</v>
      </c>
      <c r="W30" s="1">
        <v>24402.2</v>
      </c>
    </row>
    <row r="31" spans="4:23" x14ac:dyDescent="0.2">
      <c r="D31" s="1">
        <v>2290.3000000000002</v>
      </c>
      <c r="E31" s="1">
        <v>13196</v>
      </c>
      <c r="G31" s="1">
        <v>11001.6</v>
      </c>
      <c r="H31" s="1">
        <v>13196</v>
      </c>
      <c r="J31" s="1">
        <v>13196</v>
      </c>
      <c r="K31" s="1">
        <v>2290.3000000000002</v>
      </c>
      <c r="P31" s="1">
        <v>11001.6</v>
      </c>
      <c r="Q31" s="1">
        <v>2290.3000000000002</v>
      </c>
      <c r="S31" s="1">
        <v>13196</v>
      </c>
      <c r="T31" s="1">
        <v>11001.6</v>
      </c>
      <c r="V31" s="1">
        <v>2290.3000000000002</v>
      </c>
      <c r="W31" s="1">
        <v>11001.6</v>
      </c>
    </row>
    <row r="32" spans="4:23" x14ac:dyDescent="0.2">
      <c r="D32" s="1">
        <v>1985.7</v>
      </c>
      <c r="E32" s="1">
        <v>8593</v>
      </c>
      <c r="G32" s="1">
        <v>8209.9</v>
      </c>
      <c r="H32" s="1">
        <v>8593</v>
      </c>
      <c r="J32" s="1">
        <v>8593</v>
      </c>
      <c r="K32" s="1">
        <v>1985.7</v>
      </c>
      <c r="P32" s="1">
        <v>8209.9</v>
      </c>
      <c r="Q32" s="1">
        <v>1985.7</v>
      </c>
      <c r="S32" s="1">
        <v>8593</v>
      </c>
      <c r="T32" s="1">
        <v>8209.9</v>
      </c>
      <c r="V32" s="1">
        <v>1985.7</v>
      </c>
      <c r="W32" s="1">
        <v>8209.9</v>
      </c>
    </row>
    <row r="33" spans="4:23" x14ac:dyDescent="0.2">
      <c r="D33" s="1">
        <v>3361.4</v>
      </c>
      <c r="E33" s="1">
        <v>12589</v>
      </c>
      <c r="G33" s="1">
        <v>12796.4</v>
      </c>
      <c r="H33" s="1">
        <v>12589</v>
      </c>
      <c r="J33" s="1">
        <v>12589</v>
      </c>
      <c r="K33" s="1">
        <v>3361.4</v>
      </c>
      <c r="P33" s="1">
        <v>12796.4</v>
      </c>
      <c r="Q33" s="1">
        <v>3361.4</v>
      </c>
      <c r="S33" s="1">
        <v>12589</v>
      </c>
      <c r="T33" s="1">
        <v>12796.4</v>
      </c>
      <c r="V33" s="1">
        <v>3361.4</v>
      </c>
      <c r="W33" s="1">
        <v>12796.4</v>
      </c>
    </row>
    <row r="34" spans="4:23" x14ac:dyDescent="0.2">
      <c r="D34" s="1">
        <v>1082.8</v>
      </c>
      <c r="E34" s="1">
        <v>10025</v>
      </c>
      <c r="G34" s="1">
        <v>3642.7</v>
      </c>
      <c r="H34" s="1">
        <v>10025</v>
      </c>
      <c r="J34" s="1">
        <v>10025</v>
      </c>
      <c r="K34" s="1">
        <v>1082.8</v>
      </c>
      <c r="P34" s="1">
        <v>3642.7</v>
      </c>
      <c r="Q34" s="1">
        <v>1082.8</v>
      </c>
      <c r="S34" s="1">
        <v>10025</v>
      </c>
      <c r="T34" s="1">
        <v>3642.7</v>
      </c>
      <c r="V34" s="1">
        <v>1082.8</v>
      </c>
      <c r="W34" s="1">
        <v>3642.7</v>
      </c>
    </row>
    <row r="35" spans="4:23" x14ac:dyDescent="0.2">
      <c r="D35" s="1">
        <v>3483.2</v>
      </c>
      <c r="E35" s="1">
        <v>10773</v>
      </c>
      <c r="G35" s="1">
        <v>11977.2</v>
      </c>
      <c r="H35" s="1">
        <v>10773</v>
      </c>
      <c r="J35" s="1">
        <v>10773</v>
      </c>
      <c r="K35" s="1">
        <v>3483.2</v>
      </c>
      <c r="P35" s="1">
        <v>11977.2</v>
      </c>
      <c r="Q35" s="1">
        <v>3483.2</v>
      </c>
      <c r="S35" s="1">
        <v>10773</v>
      </c>
      <c r="T35" s="1">
        <v>11977.2</v>
      </c>
      <c r="V35" s="1">
        <v>3483.2</v>
      </c>
      <c r="W35" s="1">
        <v>11977.2</v>
      </c>
    </row>
    <row r="36" spans="4:23" x14ac:dyDescent="0.2">
      <c r="D36" s="1">
        <v>4946.05</v>
      </c>
      <c r="E36" s="1">
        <v>8483</v>
      </c>
      <c r="G36" s="1">
        <v>19819.7</v>
      </c>
      <c r="H36" s="1">
        <v>8483</v>
      </c>
      <c r="J36" s="1">
        <v>8483</v>
      </c>
      <c r="K36" s="1">
        <v>4946.05</v>
      </c>
      <c r="P36" s="1">
        <v>19819.7</v>
      </c>
      <c r="Q36" s="1">
        <v>4946.05</v>
      </c>
      <c r="S36" s="1">
        <v>8483</v>
      </c>
      <c r="T36" s="1">
        <v>19819.7</v>
      </c>
      <c r="V36" s="1">
        <v>4946.05</v>
      </c>
      <c r="W36" s="1">
        <v>19819.7</v>
      </c>
    </row>
    <row r="37" spans="4:23" x14ac:dyDescent="0.2">
      <c r="D37" s="1">
        <v>10128.1</v>
      </c>
      <c r="E37" s="1">
        <v>10618</v>
      </c>
      <c r="G37" s="1">
        <v>32098.449999999997</v>
      </c>
      <c r="H37" s="1">
        <v>10618</v>
      </c>
      <c r="J37" s="1">
        <v>10618</v>
      </c>
      <c r="K37" s="1">
        <v>10128.1</v>
      </c>
      <c r="P37" s="1">
        <v>32098.449999999997</v>
      </c>
      <c r="Q37" s="1">
        <v>10128.1</v>
      </c>
      <c r="S37" s="1">
        <v>10618</v>
      </c>
      <c r="T37" s="1">
        <v>32098.449999999997</v>
      </c>
      <c r="V37" s="1">
        <v>10128.1</v>
      </c>
      <c r="W37" s="1">
        <v>32098.449999999997</v>
      </c>
    </row>
    <row r="38" spans="4:23" x14ac:dyDescent="0.2">
      <c r="D38" s="1">
        <v>22132.639999999999</v>
      </c>
      <c r="E38" s="1">
        <v>11573</v>
      </c>
      <c r="G38" s="1">
        <v>57502.95</v>
      </c>
      <c r="H38" s="1">
        <v>11573</v>
      </c>
      <c r="J38" s="1">
        <v>11573</v>
      </c>
      <c r="K38" s="1">
        <v>22132.639999999999</v>
      </c>
      <c r="P38" s="1">
        <v>57502.95</v>
      </c>
      <c r="Q38" s="1">
        <v>22132.639999999999</v>
      </c>
      <c r="S38" s="1">
        <v>11573</v>
      </c>
      <c r="T38" s="1">
        <v>57502.95</v>
      </c>
      <c r="V38" s="1">
        <v>22132.639999999999</v>
      </c>
      <c r="W38" s="1">
        <v>57502.95</v>
      </c>
    </row>
    <row r="39" spans="4:23" x14ac:dyDescent="0.2">
      <c r="D39" s="1">
        <v>55532.800000000003</v>
      </c>
      <c r="E39" s="1">
        <v>6996</v>
      </c>
      <c r="G39" s="1">
        <v>95947.5</v>
      </c>
      <c r="H39" s="1">
        <v>6996</v>
      </c>
      <c r="J39" s="1">
        <v>6996</v>
      </c>
      <c r="K39" s="1">
        <v>55532.800000000003</v>
      </c>
      <c r="P39" s="1">
        <v>95947.5</v>
      </c>
      <c r="Q39" s="1">
        <v>55532.800000000003</v>
      </c>
      <c r="S39" s="1">
        <v>6996</v>
      </c>
      <c r="T39" s="1">
        <v>95947.5</v>
      </c>
      <c r="V39" s="1">
        <v>55532.800000000003</v>
      </c>
      <c r="W39" s="1">
        <v>95947.5</v>
      </c>
    </row>
    <row r="40" spans="4:23" x14ac:dyDescent="0.2">
      <c r="D40" s="1">
        <v>1190.9000000000001</v>
      </c>
      <c r="E40" s="1">
        <v>3157</v>
      </c>
      <c r="G40" s="1">
        <v>7051.1</v>
      </c>
      <c r="H40" s="1">
        <v>3157</v>
      </c>
      <c r="J40" s="1">
        <v>3157</v>
      </c>
      <c r="K40" s="1">
        <v>1190.9000000000001</v>
      </c>
      <c r="P40" s="1">
        <v>7051.1</v>
      </c>
      <c r="Q40" s="1">
        <v>1190.9000000000001</v>
      </c>
      <c r="S40" s="1">
        <v>3157</v>
      </c>
      <c r="T40" s="1">
        <v>7051.1</v>
      </c>
      <c r="V40" s="1">
        <v>1190.9000000000001</v>
      </c>
      <c r="W40" s="1">
        <v>7051.1</v>
      </c>
    </row>
    <row r="41" spans="4:23" x14ac:dyDescent="0.2">
      <c r="D41" s="1">
        <v>998.2</v>
      </c>
      <c r="E41" s="1">
        <v>2546</v>
      </c>
      <c r="G41" s="1">
        <v>6335.8</v>
      </c>
      <c r="H41" s="1">
        <v>2546</v>
      </c>
      <c r="J41" s="1">
        <v>2546</v>
      </c>
      <c r="K41" s="1">
        <v>998.2</v>
      </c>
      <c r="P41" s="1">
        <v>6335.8</v>
      </c>
      <c r="Q41" s="1">
        <v>998.2</v>
      </c>
      <c r="S41" s="1">
        <v>2546</v>
      </c>
      <c r="T41" s="1">
        <v>6335.8</v>
      </c>
      <c r="V41" s="1">
        <v>998.2</v>
      </c>
      <c r="W41" s="1">
        <v>6335.8</v>
      </c>
    </row>
    <row r="42" spans="4:23" x14ac:dyDescent="0.2">
      <c r="D42" s="1">
        <v>2275.4</v>
      </c>
      <c r="E42" s="1">
        <v>3970</v>
      </c>
      <c r="G42" s="1">
        <v>10739.7</v>
      </c>
      <c r="H42" s="1">
        <v>3970</v>
      </c>
      <c r="J42" s="1">
        <v>3970</v>
      </c>
      <c r="K42" s="1">
        <v>2275.4</v>
      </c>
      <c r="P42" s="1">
        <v>10739.7</v>
      </c>
      <c r="Q42" s="1">
        <v>2275.4</v>
      </c>
      <c r="S42" s="1">
        <v>3970</v>
      </c>
      <c r="T42" s="1">
        <v>10739.7</v>
      </c>
      <c r="V42" s="1">
        <v>2275.4</v>
      </c>
      <c r="W42" s="1">
        <v>10739.7</v>
      </c>
    </row>
    <row r="43" spans="4:23" x14ac:dyDescent="0.2">
      <c r="D43" s="1">
        <v>3034.98</v>
      </c>
      <c r="E43" s="1">
        <v>3852</v>
      </c>
      <c r="G43" s="1">
        <v>14807.34</v>
      </c>
      <c r="H43" s="1">
        <v>3852</v>
      </c>
      <c r="J43" s="1">
        <v>3852</v>
      </c>
      <c r="K43" s="1">
        <v>3034.98</v>
      </c>
      <c r="P43" s="1">
        <v>14807.34</v>
      </c>
      <c r="Q43" s="1">
        <v>3034.98</v>
      </c>
      <c r="S43" s="1">
        <v>3852</v>
      </c>
      <c r="T43" s="1">
        <v>14807.34</v>
      </c>
      <c r="V43" s="1">
        <v>3034.98</v>
      </c>
      <c r="W43" s="1">
        <v>14807.34</v>
      </c>
    </row>
    <row r="44" spans="4:23" x14ac:dyDescent="0.2">
      <c r="D44" s="1">
        <v>9270.3799999999992</v>
      </c>
      <c r="E44" s="1">
        <v>6342</v>
      </c>
      <c r="G44" s="1">
        <v>42392.17</v>
      </c>
      <c r="H44" s="1">
        <v>6342</v>
      </c>
      <c r="J44" s="1">
        <v>6342</v>
      </c>
      <c r="K44" s="1">
        <v>9270.3799999999992</v>
      </c>
      <c r="P44" s="1">
        <v>42392.17</v>
      </c>
      <c r="Q44" s="1">
        <v>9270.3799999999992</v>
      </c>
      <c r="S44" s="1">
        <v>6342</v>
      </c>
      <c r="T44" s="1">
        <v>42392.17</v>
      </c>
      <c r="V44" s="1">
        <v>9270.3799999999992</v>
      </c>
      <c r="W44" s="1">
        <v>42392.17</v>
      </c>
    </row>
    <row r="45" spans="4:23" x14ac:dyDescent="0.2">
      <c r="D45" s="1">
        <v>5038.74</v>
      </c>
      <c r="E45" s="1">
        <v>3794</v>
      </c>
      <c r="G45" s="1">
        <v>15598.17</v>
      </c>
      <c r="H45" s="1">
        <v>3794</v>
      </c>
      <c r="J45" s="1">
        <v>3794</v>
      </c>
      <c r="K45" s="1">
        <v>5038.74</v>
      </c>
      <c r="P45" s="1">
        <v>15598.17</v>
      </c>
      <c r="Q45" s="1">
        <v>5038.74</v>
      </c>
      <c r="S45" s="1">
        <v>3794</v>
      </c>
      <c r="T45" s="1">
        <v>15598.17</v>
      </c>
      <c r="V45" s="1">
        <v>5038.74</v>
      </c>
      <c r="W45" s="1">
        <v>15598.17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33"/>
  <dimension ref="A1:F31"/>
  <sheetViews>
    <sheetView workbookViewId="0"/>
  </sheetViews>
  <sheetFormatPr defaultRowHeight="12.75" x14ac:dyDescent="0.2"/>
  <sheetData>
    <row r="1" spans="1:6" x14ac:dyDescent="0.2">
      <c r="A1" s="1">
        <v>0</v>
      </c>
      <c r="B1" s="1">
        <v>0</v>
      </c>
      <c r="C1" s="1">
        <v>0</v>
      </c>
      <c r="D1" s="1">
        <v>0</v>
      </c>
      <c r="E1" s="1">
        <v>0</v>
      </c>
      <c r="F1" s="1">
        <v>0</v>
      </c>
    </row>
    <row r="2" spans="1:6" x14ac:dyDescent="0.2">
      <c r="A2" s="1">
        <v>0</v>
      </c>
      <c r="B2" s="1">
        <v>16</v>
      </c>
      <c r="C2" s="1">
        <v>0</v>
      </c>
      <c r="D2" s="1">
        <v>20</v>
      </c>
      <c r="E2" s="1">
        <v>0</v>
      </c>
      <c r="F2" s="1">
        <v>19</v>
      </c>
    </row>
    <row r="3" spans="1:6" x14ac:dyDescent="0.2">
      <c r="A3" s="1">
        <v>1600</v>
      </c>
      <c r="B3" s="1">
        <v>16</v>
      </c>
      <c r="C3" s="1">
        <v>8600</v>
      </c>
      <c r="D3" s="1">
        <v>20</v>
      </c>
      <c r="E3" s="1">
        <v>8600</v>
      </c>
      <c r="F3" s="1">
        <v>19</v>
      </c>
    </row>
    <row r="4" spans="1:6" x14ac:dyDescent="0.2">
      <c r="A4" s="1">
        <v>1600</v>
      </c>
      <c r="B4" s="1">
        <v>0</v>
      </c>
      <c r="C4" s="1">
        <v>8600</v>
      </c>
      <c r="D4" s="1">
        <v>0</v>
      </c>
      <c r="E4" s="1">
        <v>8600</v>
      </c>
      <c r="F4" s="1">
        <v>0</v>
      </c>
    </row>
    <row r="5" spans="1:6" x14ac:dyDescent="0.2">
      <c r="A5" s="1">
        <v>1600</v>
      </c>
      <c r="B5" s="1">
        <v>8</v>
      </c>
      <c r="C5" s="1">
        <v>8600</v>
      </c>
      <c r="D5" s="1">
        <v>13</v>
      </c>
      <c r="E5" s="1">
        <v>8600</v>
      </c>
      <c r="F5" s="1">
        <v>13</v>
      </c>
    </row>
    <row r="6" spans="1:6" x14ac:dyDescent="0.2">
      <c r="A6" s="1">
        <v>3200</v>
      </c>
      <c r="B6" s="1">
        <v>8</v>
      </c>
      <c r="C6" s="1">
        <v>17200</v>
      </c>
      <c r="D6" s="1">
        <v>13</v>
      </c>
      <c r="E6" s="1">
        <v>17200</v>
      </c>
      <c r="F6" s="1">
        <v>13</v>
      </c>
    </row>
    <row r="7" spans="1:6" x14ac:dyDescent="0.2">
      <c r="A7" s="1">
        <v>3200</v>
      </c>
      <c r="B7" s="1">
        <v>0</v>
      </c>
      <c r="C7" s="1">
        <v>17200</v>
      </c>
      <c r="D7" s="1">
        <v>0</v>
      </c>
      <c r="E7" s="1">
        <v>17200</v>
      </c>
      <c r="F7" s="1">
        <v>0</v>
      </c>
    </row>
    <row r="8" spans="1:6" x14ac:dyDescent="0.2">
      <c r="A8" s="1">
        <v>3200</v>
      </c>
      <c r="B8" s="1">
        <v>10</v>
      </c>
      <c r="C8" s="1">
        <v>17200</v>
      </c>
      <c r="D8" s="1">
        <v>4</v>
      </c>
      <c r="E8" s="1">
        <v>17200</v>
      </c>
      <c r="F8" s="1">
        <v>4</v>
      </c>
    </row>
    <row r="9" spans="1:6" x14ac:dyDescent="0.2">
      <c r="A9" s="1">
        <v>4800</v>
      </c>
      <c r="B9" s="1">
        <v>10</v>
      </c>
      <c r="C9" s="1">
        <v>25800</v>
      </c>
      <c r="D9" s="1">
        <v>4</v>
      </c>
      <c r="E9" s="1">
        <v>25800</v>
      </c>
      <c r="F9" s="1">
        <v>4</v>
      </c>
    </row>
    <row r="10" spans="1:6" x14ac:dyDescent="0.2">
      <c r="A10" s="1">
        <v>4800</v>
      </c>
      <c r="B10" s="1">
        <v>0</v>
      </c>
      <c r="C10" s="1">
        <v>25800</v>
      </c>
      <c r="D10" s="1">
        <v>0</v>
      </c>
      <c r="E10" s="1">
        <v>25800</v>
      </c>
      <c r="F10" s="1">
        <v>0</v>
      </c>
    </row>
    <row r="11" spans="1:6" x14ac:dyDescent="0.2">
      <c r="A11" s="1">
        <v>4800</v>
      </c>
      <c r="B11" s="1">
        <v>3</v>
      </c>
      <c r="C11" s="1">
        <v>25800</v>
      </c>
      <c r="D11" s="1">
        <v>0</v>
      </c>
      <c r="E11" s="1">
        <v>25800</v>
      </c>
      <c r="F11" s="1">
        <v>0</v>
      </c>
    </row>
    <row r="12" spans="1:6" x14ac:dyDescent="0.2">
      <c r="A12" s="1">
        <v>6400</v>
      </c>
      <c r="B12" s="1">
        <v>3</v>
      </c>
      <c r="C12" s="1">
        <v>34400</v>
      </c>
      <c r="D12" s="1">
        <v>0</v>
      </c>
      <c r="E12" s="1">
        <v>34400</v>
      </c>
      <c r="F12" s="1">
        <v>0</v>
      </c>
    </row>
    <row r="13" spans="1:6" x14ac:dyDescent="0.2">
      <c r="A13" s="1">
        <v>6400</v>
      </c>
      <c r="B13" s="1">
        <v>0</v>
      </c>
      <c r="C13" s="1">
        <v>34400</v>
      </c>
      <c r="D13" s="1">
        <v>0</v>
      </c>
      <c r="E13" s="1">
        <v>34400</v>
      </c>
      <c r="F13" s="1">
        <v>0</v>
      </c>
    </row>
    <row r="14" spans="1:6" x14ac:dyDescent="0.2">
      <c r="A14" s="1">
        <v>6400</v>
      </c>
      <c r="B14" s="1">
        <v>1</v>
      </c>
      <c r="C14" s="1">
        <v>34400</v>
      </c>
      <c r="D14" s="1">
        <v>2</v>
      </c>
      <c r="E14" s="1">
        <v>34400</v>
      </c>
      <c r="F14" s="1">
        <v>2</v>
      </c>
    </row>
    <row r="15" spans="1:6" x14ac:dyDescent="0.2">
      <c r="A15" s="1">
        <v>8000</v>
      </c>
      <c r="B15" s="1">
        <v>1</v>
      </c>
      <c r="C15" s="1">
        <v>43000</v>
      </c>
      <c r="D15" s="1">
        <v>2</v>
      </c>
      <c r="E15" s="1">
        <v>43000</v>
      </c>
      <c r="F15" s="1">
        <v>2</v>
      </c>
    </row>
    <row r="16" spans="1:6" x14ac:dyDescent="0.2">
      <c r="A16" s="1">
        <v>8000</v>
      </c>
      <c r="B16" s="1">
        <v>0</v>
      </c>
      <c r="C16" s="1">
        <v>43000</v>
      </c>
      <c r="D16" s="1">
        <v>0</v>
      </c>
      <c r="E16" s="1">
        <v>43000</v>
      </c>
      <c r="F16" s="1">
        <v>0</v>
      </c>
    </row>
    <row r="17" spans="1:6" x14ac:dyDescent="0.2">
      <c r="A17" s="1">
        <v>8000</v>
      </c>
      <c r="B17" s="1">
        <v>5</v>
      </c>
      <c r="C17" s="1">
        <v>43000</v>
      </c>
      <c r="D17" s="1">
        <v>2</v>
      </c>
      <c r="E17" s="1">
        <v>43000</v>
      </c>
      <c r="F17" s="1">
        <v>2</v>
      </c>
    </row>
    <row r="18" spans="1:6" x14ac:dyDescent="0.2">
      <c r="A18" s="1">
        <v>9600</v>
      </c>
      <c r="B18" s="1">
        <v>5</v>
      </c>
      <c r="C18" s="1">
        <v>51600</v>
      </c>
      <c r="D18" s="1">
        <v>2</v>
      </c>
      <c r="E18" s="1">
        <v>51600</v>
      </c>
      <c r="F18" s="1">
        <v>2</v>
      </c>
    </row>
    <row r="19" spans="1:6" x14ac:dyDescent="0.2">
      <c r="A19" s="1">
        <v>9600</v>
      </c>
      <c r="B19" s="1">
        <v>0</v>
      </c>
      <c r="C19" s="1">
        <v>51600</v>
      </c>
      <c r="D19" s="1">
        <v>0</v>
      </c>
      <c r="E19" s="1">
        <v>51600</v>
      </c>
      <c r="F19" s="1">
        <v>0</v>
      </c>
    </row>
    <row r="20" spans="1:6" x14ac:dyDescent="0.2">
      <c r="A20" s="1">
        <v>9600</v>
      </c>
      <c r="B20" s="1">
        <v>4</v>
      </c>
      <c r="C20" s="1">
        <v>51600</v>
      </c>
      <c r="D20" s="1">
        <v>3</v>
      </c>
      <c r="E20" s="1">
        <v>51600</v>
      </c>
      <c r="F20" s="1">
        <v>3</v>
      </c>
    </row>
    <row r="21" spans="1:6" x14ac:dyDescent="0.2">
      <c r="A21" s="1">
        <v>11200</v>
      </c>
      <c r="B21" s="1">
        <v>4</v>
      </c>
      <c r="C21" s="1">
        <v>60200</v>
      </c>
      <c r="D21" s="1">
        <v>3</v>
      </c>
      <c r="E21" s="1">
        <v>60200</v>
      </c>
      <c r="F21" s="1">
        <v>3</v>
      </c>
    </row>
    <row r="22" spans="1:6" x14ac:dyDescent="0.2">
      <c r="A22" s="1">
        <v>11200</v>
      </c>
      <c r="B22" s="1">
        <v>0</v>
      </c>
      <c r="C22" s="1">
        <v>60200</v>
      </c>
      <c r="D22" s="1">
        <v>0</v>
      </c>
      <c r="E22" s="1">
        <v>60200</v>
      </c>
      <c r="F22" s="1">
        <v>0</v>
      </c>
    </row>
    <row r="23" spans="1:6" x14ac:dyDescent="0.2">
      <c r="A23" s="1">
        <v>11200</v>
      </c>
      <c r="B23" s="1">
        <v>2</v>
      </c>
      <c r="C23" s="1">
        <v>60200</v>
      </c>
      <c r="D23" s="1">
        <v>0</v>
      </c>
      <c r="E23" s="1">
        <v>60200</v>
      </c>
      <c r="F23" s="1">
        <v>0</v>
      </c>
    </row>
    <row r="24" spans="1:6" x14ac:dyDescent="0.2">
      <c r="A24" s="1">
        <v>12800</v>
      </c>
      <c r="B24" s="1">
        <v>2</v>
      </c>
      <c r="C24" s="1">
        <v>68800</v>
      </c>
      <c r="D24" s="1">
        <v>0</v>
      </c>
      <c r="E24" s="1">
        <v>68800</v>
      </c>
      <c r="F24" s="1">
        <v>0</v>
      </c>
    </row>
    <row r="25" spans="1:6" x14ac:dyDescent="0.2">
      <c r="A25" s="1">
        <v>12800</v>
      </c>
      <c r="B25" s="1">
        <v>0</v>
      </c>
      <c r="C25" s="1">
        <v>68800</v>
      </c>
      <c r="D25" s="1">
        <v>0</v>
      </c>
      <c r="E25" s="1">
        <v>68800</v>
      </c>
      <c r="F25" s="1">
        <v>0</v>
      </c>
    </row>
    <row r="26" spans="1:6" x14ac:dyDescent="0.2">
      <c r="A26" s="1">
        <v>12800</v>
      </c>
      <c r="B26" s="1">
        <v>2</v>
      </c>
      <c r="C26" s="1">
        <v>68800</v>
      </c>
      <c r="D26" s="1">
        <v>0</v>
      </c>
      <c r="E26" s="1">
        <v>68800</v>
      </c>
      <c r="F26" s="1">
        <v>0</v>
      </c>
    </row>
    <row r="27" spans="1:6" x14ac:dyDescent="0.2">
      <c r="A27" s="1">
        <v>14400</v>
      </c>
      <c r="B27" s="1">
        <v>2</v>
      </c>
      <c r="C27" s="1">
        <v>77400</v>
      </c>
      <c r="D27" s="1">
        <v>0</v>
      </c>
      <c r="E27" s="1">
        <v>77400</v>
      </c>
      <c r="F27" s="1">
        <v>0</v>
      </c>
    </row>
    <row r="28" spans="1:6" x14ac:dyDescent="0.2">
      <c r="A28" s="1">
        <v>14400</v>
      </c>
      <c r="B28" s="1">
        <v>0</v>
      </c>
      <c r="C28" s="1">
        <v>77400</v>
      </c>
      <c r="D28" s="1">
        <v>0</v>
      </c>
      <c r="E28" s="1">
        <v>77400</v>
      </c>
      <c r="F28" s="1">
        <v>0</v>
      </c>
    </row>
    <row r="29" spans="1:6" x14ac:dyDescent="0.2">
      <c r="A29" s="1">
        <v>14400</v>
      </c>
      <c r="B29" s="1">
        <v>1</v>
      </c>
      <c r="C29" s="1">
        <v>77400</v>
      </c>
      <c r="D29" s="1">
        <v>1</v>
      </c>
      <c r="E29" s="1">
        <v>77400</v>
      </c>
      <c r="F29" s="1">
        <v>1</v>
      </c>
    </row>
    <row r="30" spans="1:6" x14ac:dyDescent="0.2">
      <c r="A30" s="1">
        <v>16000</v>
      </c>
      <c r="B30" s="1">
        <v>1</v>
      </c>
      <c r="C30" s="1">
        <v>86000</v>
      </c>
      <c r="D30" s="1">
        <v>1</v>
      </c>
      <c r="E30" s="1">
        <v>86000</v>
      </c>
      <c r="F30" s="1">
        <v>1</v>
      </c>
    </row>
    <row r="31" spans="1:6" x14ac:dyDescent="0.2">
      <c r="A31" s="1">
        <v>16000</v>
      </c>
      <c r="B31" s="1">
        <v>0</v>
      </c>
      <c r="C31" s="1">
        <v>86000</v>
      </c>
      <c r="D31" s="1">
        <v>0</v>
      </c>
      <c r="E31" s="1">
        <v>86000</v>
      </c>
      <c r="F31" s="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34"/>
  <dimension ref="D1:W45"/>
  <sheetViews>
    <sheetView workbookViewId="0"/>
  </sheetViews>
  <sheetFormatPr defaultRowHeight="12.75" x14ac:dyDescent="0.2"/>
  <sheetData>
    <row r="1" spans="4:23" x14ac:dyDescent="0.2">
      <c r="D1" s="1">
        <v>5462.8</v>
      </c>
      <c r="E1" s="1">
        <v>376</v>
      </c>
      <c r="G1" s="1">
        <v>5462.8</v>
      </c>
      <c r="H1" s="1">
        <v>513</v>
      </c>
      <c r="J1" s="1">
        <v>376</v>
      </c>
      <c r="K1" s="1">
        <v>5462.8</v>
      </c>
      <c r="P1" s="1">
        <v>5462.8</v>
      </c>
      <c r="Q1" s="1">
        <v>12681</v>
      </c>
      <c r="S1" s="1">
        <v>513</v>
      </c>
      <c r="T1" s="1">
        <v>5462.8</v>
      </c>
      <c r="V1" s="1">
        <v>12681</v>
      </c>
      <c r="W1" s="1">
        <v>5462.8</v>
      </c>
    </row>
    <row r="2" spans="4:23" x14ac:dyDescent="0.2">
      <c r="D2" s="1">
        <v>12681</v>
      </c>
      <c r="E2" s="1">
        <v>513</v>
      </c>
      <c r="G2" s="1">
        <v>12681</v>
      </c>
      <c r="H2" s="1">
        <v>1165</v>
      </c>
      <c r="J2" s="1">
        <v>513</v>
      </c>
      <c r="K2" s="1">
        <v>12681</v>
      </c>
      <c r="P2" s="1">
        <v>12681</v>
      </c>
      <c r="Q2" s="1">
        <v>6976.5</v>
      </c>
      <c r="S2" s="1">
        <v>1165</v>
      </c>
      <c r="T2" s="1">
        <v>12681</v>
      </c>
      <c r="V2" s="1">
        <v>6976.5</v>
      </c>
      <c r="W2" s="1">
        <v>12681</v>
      </c>
    </row>
    <row r="3" spans="4:23" x14ac:dyDescent="0.2">
      <c r="D3" s="1">
        <v>6976.5</v>
      </c>
      <c r="E3" s="1">
        <v>1165</v>
      </c>
      <c r="G3" s="1">
        <v>6976.5</v>
      </c>
      <c r="H3" s="1">
        <v>459</v>
      </c>
      <c r="J3" s="1">
        <v>1165</v>
      </c>
      <c r="K3" s="1">
        <v>6976.5</v>
      </c>
      <c r="P3" s="1">
        <v>6976.5</v>
      </c>
      <c r="Q3" s="1">
        <v>3456.8</v>
      </c>
      <c r="S3" s="1">
        <v>459</v>
      </c>
      <c r="T3" s="1">
        <v>6976.5</v>
      </c>
      <c r="V3" s="1">
        <v>3456.8</v>
      </c>
      <c r="W3" s="1">
        <v>6976.5</v>
      </c>
    </row>
    <row r="4" spans="4:23" x14ac:dyDescent="0.2">
      <c r="D4" s="1">
        <v>3456.8</v>
      </c>
      <c r="E4" s="1">
        <v>459</v>
      </c>
      <c r="G4" s="1">
        <v>3456.8</v>
      </c>
      <c r="H4" s="1">
        <v>1104</v>
      </c>
      <c r="J4" s="1">
        <v>459</v>
      </c>
      <c r="K4" s="1">
        <v>3456.8</v>
      </c>
      <c r="P4" s="1">
        <v>3456.8</v>
      </c>
      <c r="Q4" s="1">
        <v>10036.1</v>
      </c>
      <c r="S4" s="1">
        <v>1104</v>
      </c>
      <c r="T4" s="1">
        <v>3456.8</v>
      </c>
      <c r="V4" s="1">
        <v>10036.1</v>
      </c>
      <c r="W4" s="1">
        <v>3456.8</v>
      </c>
    </row>
    <row r="5" spans="4:23" x14ac:dyDescent="0.2">
      <c r="D5" s="1">
        <v>10036.1</v>
      </c>
      <c r="E5" s="1">
        <v>1104</v>
      </c>
      <c r="G5" s="1">
        <v>10036.1</v>
      </c>
      <c r="H5" s="1">
        <v>1449</v>
      </c>
      <c r="J5" s="1">
        <v>1104</v>
      </c>
      <c r="K5" s="1">
        <v>10036.1</v>
      </c>
      <c r="P5" s="1">
        <v>10036.1</v>
      </c>
      <c r="Q5" s="1">
        <v>13926.599999999999</v>
      </c>
      <c r="S5" s="1">
        <v>1449</v>
      </c>
      <c r="T5" s="1">
        <v>10036.1</v>
      </c>
      <c r="V5" s="1">
        <v>13926.599999999999</v>
      </c>
      <c r="W5" s="1">
        <v>10036.1</v>
      </c>
    </row>
    <row r="6" spans="4:23" x14ac:dyDescent="0.2">
      <c r="D6" s="1">
        <v>13926.599999999999</v>
      </c>
      <c r="E6" s="1">
        <v>1449</v>
      </c>
      <c r="G6" s="1">
        <v>13926.599999999999</v>
      </c>
      <c r="H6" s="1">
        <v>1414</v>
      </c>
      <c r="J6" s="1">
        <v>1449</v>
      </c>
      <c r="K6" s="1">
        <v>13926.599999999999</v>
      </c>
      <c r="P6" s="1">
        <v>13926.599999999999</v>
      </c>
      <c r="Q6" s="1">
        <v>19974.7</v>
      </c>
      <c r="S6" s="1">
        <v>1414</v>
      </c>
      <c r="T6" s="1">
        <v>13926.599999999999</v>
      </c>
      <c r="V6" s="1">
        <v>19974.7</v>
      </c>
      <c r="W6" s="1">
        <v>13926.599999999999</v>
      </c>
    </row>
    <row r="7" spans="4:23" x14ac:dyDescent="0.2">
      <c r="D7" s="1">
        <v>19974.7</v>
      </c>
      <c r="E7" s="1">
        <v>1414</v>
      </c>
      <c r="G7" s="1">
        <v>19974.7</v>
      </c>
      <c r="H7" s="1">
        <v>1923</v>
      </c>
      <c r="J7" s="1">
        <v>1414</v>
      </c>
      <c r="K7" s="1">
        <v>19974.7</v>
      </c>
      <c r="P7" s="1">
        <v>19974.7</v>
      </c>
      <c r="Q7" s="1">
        <v>46208.2</v>
      </c>
      <c r="S7" s="1">
        <v>1923</v>
      </c>
      <c r="T7" s="1">
        <v>19974.7</v>
      </c>
      <c r="V7" s="1">
        <v>46208.2</v>
      </c>
      <c r="W7" s="1">
        <v>19974.7</v>
      </c>
    </row>
    <row r="8" spans="4:23" x14ac:dyDescent="0.2">
      <c r="D8" s="1">
        <v>46208.2</v>
      </c>
      <c r="E8" s="1">
        <v>1923</v>
      </c>
      <c r="G8" s="1">
        <v>46208.2</v>
      </c>
      <c r="H8" s="1">
        <v>2146</v>
      </c>
      <c r="J8" s="1">
        <v>1923</v>
      </c>
      <c r="K8" s="1">
        <v>46208.2</v>
      </c>
      <c r="P8" s="1">
        <v>46208.2</v>
      </c>
      <c r="Q8" s="1">
        <v>47395.7</v>
      </c>
      <c r="S8" s="1">
        <v>2146</v>
      </c>
      <c r="T8" s="1">
        <v>46208.2</v>
      </c>
      <c r="V8" s="1">
        <v>47395.7</v>
      </c>
      <c r="W8" s="1">
        <v>46208.2</v>
      </c>
    </row>
    <row r="9" spans="4:23" x14ac:dyDescent="0.2">
      <c r="D9" s="1">
        <v>47395.7</v>
      </c>
      <c r="E9" s="1">
        <v>2146</v>
      </c>
      <c r="G9" s="1">
        <v>47395.7</v>
      </c>
      <c r="H9" s="1">
        <v>402</v>
      </c>
      <c r="J9" s="1">
        <v>2146</v>
      </c>
      <c r="K9" s="1">
        <v>47395.7</v>
      </c>
      <c r="P9" s="1">
        <v>47395.7</v>
      </c>
      <c r="Q9" s="1">
        <v>2295.5</v>
      </c>
      <c r="S9" s="1">
        <v>402</v>
      </c>
      <c r="T9" s="1">
        <v>47395.7</v>
      </c>
      <c r="V9" s="1">
        <v>2295.5</v>
      </c>
      <c r="W9" s="1">
        <v>47395.7</v>
      </c>
    </row>
    <row r="10" spans="4:23" x14ac:dyDescent="0.2">
      <c r="D10" s="1">
        <v>2295.5</v>
      </c>
      <c r="E10" s="1">
        <v>402</v>
      </c>
      <c r="G10" s="1">
        <v>2295.5</v>
      </c>
      <c r="H10" s="1">
        <v>3642</v>
      </c>
      <c r="J10" s="1">
        <v>402</v>
      </c>
      <c r="K10" s="1">
        <v>2295.5</v>
      </c>
      <c r="P10" s="1">
        <v>2295.5</v>
      </c>
      <c r="Q10" s="1">
        <v>56380.399999999994</v>
      </c>
      <c r="S10" s="1">
        <v>3642</v>
      </c>
      <c r="T10" s="1">
        <v>2295.5</v>
      </c>
      <c r="V10" s="1">
        <v>56380.399999999994</v>
      </c>
      <c r="W10" s="1">
        <v>2295.5</v>
      </c>
    </row>
    <row r="11" spans="4:23" x14ac:dyDescent="0.2">
      <c r="D11" s="1">
        <v>56380.399999999994</v>
      </c>
      <c r="E11" s="1">
        <v>3642</v>
      </c>
      <c r="G11" s="1">
        <v>56380.399999999994</v>
      </c>
      <c r="H11" s="1">
        <v>3506</v>
      </c>
      <c r="J11" s="1">
        <v>3642</v>
      </c>
      <c r="K11" s="1">
        <v>56380.399999999994</v>
      </c>
      <c r="P11" s="1">
        <v>56380.399999999994</v>
      </c>
      <c r="Q11" s="1">
        <v>35505</v>
      </c>
      <c r="S11" s="1">
        <v>3506</v>
      </c>
      <c r="T11" s="1">
        <v>56380.399999999994</v>
      </c>
      <c r="V11" s="1">
        <v>35505</v>
      </c>
      <c r="W11" s="1">
        <v>56380.399999999994</v>
      </c>
    </row>
    <row r="12" spans="4:23" x14ac:dyDescent="0.2">
      <c r="D12" s="1">
        <v>35505</v>
      </c>
      <c r="E12" s="1">
        <v>3506</v>
      </c>
      <c r="G12" s="1">
        <v>35505</v>
      </c>
      <c r="H12" s="1">
        <v>1974</v>
      </c>
      <c r="J12" s="1">
        <v>3506</v>
      </c>
      <c r="K12" s="1">
        <v>35505</v>
      </c>
      <c r="P12" s="1">
        <v>35505</v>
      </c>
      <c r="Q12" s="1">
        <v>10355.799999999999</v>
      </c>
      <c r="S12" s="1">
        <v>1974</v>
      </c>
      <c r="T12" s="1">
        <v>35505</v>
      </c>
      <c r="V12" s="1">
        <v>10355.799999999999</v>
      </c>
      <c r="W12" s="1">
        <v>35505</v>
      </c>
    </row>
    <row r="13" spans="4:23" x14ac:dyDescent="0.2">
      <c r="D13" s="1">
        <v>10355.799999999999</v>
      </c>
      <c r="E13" s="1">
        <v>1974</v>
      </c>
      <c r="G13" s="1">
        <v>10355.799999999999</v>
      </c>
      <c r="H13" s="1">
        <v>5086</v>
      </c>
      <c r="J13" s="1">
        <v>1974</v>
      </c>
      <c r="K13" s="1">
        <v>10355.799999999999</v>
      </c>
      <c r="P13" s="1">
        <v>10355.799999999999</v>
      </c>
      <c r="Q13" s="1">
        <v>54619.899999999994</v>
      </c>
      <c r="S13" s="1">
        <v>5086</v>
      </c>
      <c r="T13" s="1">
        <v>10355.799999999999</v>
      </c>
      <c r="V13" s="1">
        <v>54619.899999999994</v>
      </c>
      <c r="W13" s="1">
        <v>10355.799999999999</v>
      </c>
    </row>
    <row r="14" spans="4:23" x14ac:dyDescent="0.2">
      <c r="D14" s="1">
        <v>54619.899999999994</v>
      </c>
      <c r="E14" s="1">
        <v>5086</v>
      </c>
      <c r="G14" s="1">
        <v>54619.899999999994</v>
      </c>
      <c r="H14" s="1">
        <v>2394</v>
      </c>
      <c r="J14" s="1">
        <v>5086</v>
      </c>
      <c r="K14" s="1">
        <v>54619.899999999994</v>
      </c>
      <c r="P14" s="1">
        <v>54619.899999999994</v>
      </c>
      <c r="Q14" s="1">
        <v>16211.8</v>
      </c>
      <c r="S14" s="1">
        <v>2394</v>
      </c>
      <c r="T14" s="1">
        <v>54619.899999999994</v>
      </c>
      <c r="V14" s="1">
        <v>16211.8</v>
      </c>
      <c r="W14" s="1">
        <v>54619.899999999994</v>
      </c>
    </row>
    <row r="15" spans="4:23" x14ac:dyDescent="0.2">
      <c r="D15" s="1">
        <v>16211.8</v>
      </c>
      <c r="E15" s="1">
        <v>2394</v>
      </c>
      <c r="G15" s="1">
        <v>16211.8</v>
      </c>
      <c r="H15" s="1">
        <v>841</v>
      </c>
      <c r="J15" s="1">
        <v>2394</v>
      </c>
      <c r="K15" s="1">
        <v>16211.8</v>
      </c>
      <c r="P15" s="1">
        <v>16211.8</v>
      </c>
      <c r="Q15" s="1">
        <v>2530.5</v>
      </c>
      <c r="S15" s="1">
        <v>841</v>
      </c>
      <c r="T15" s="1">
        <v>16211.8</v>
      </c>
      <c r="V15" s="1">
        <v>2530.5</v>
      </c>
      <c r="W15" s="1">
        <v>16211.8</v>
      </c>
    </row>
    <row r="16" spans="4:23" x14ac:dyDescent="0.2">
      <c r="D16" s="1">
        <v>2530.5</v>
      </c>
      <c r="E16" s="1">
        <v>841</v>
      </c>
      <c r="G16" s="1">
        <v>2530.5</v>
      </c>
      <c r="H16" s="1">
        <v>2924</v>
      </c>
      <c r="J16" s="1">
        <v>841</v>
      </c>
      <c r="K16" s="1">
        <v>2530.5</v>
      </c>
      <c r="P16" s="1">
        <v>2530.5</v>
      </c>
      <c r="Q16" s="1">
        <v>16900.199999999997</v>
      </c>
      <c r="S16" s="1">
        <v>2924</v>
      </c>
      <c r="T16" s="1">
        <v>2530.5</v>
      </c>
      <c r="V16" s="1">
        <v>16900.199999999997</v>
      </c>
      <c r="W16" s="1">
        <v>2530.5</v>
      </c>
    </row>
    <row r="17" spans="4:23" x14ac:dyDescent="0.2">
      <c r="D17" s="1">
        <v>16900.199999999997</v>
      </c>
      <c r="E17" s="1">
        <v>2924</v>
      </c>
      <c r="G17" s="1">
        <v>16900.199999999997</v>
      </c>
      <c r="H17" s="1">
        <v>4721</v>
      </c>
      <c r="J17" s="1">
        <v>2924</v>
      </c>
      <c r="K17" s="1">
        <v>16900.199999999997</v>
      </c>
      <c r="P17" s="1">
        <v>16900.199999999997</v>
      </c>
      <c r="Q17" s="1">
        <v>40860.699999999997</v>
      </c>
      <c r="S17" s="1">
        <v>4721</v>
      </c>
      <c r="T17" s="1">
        <v>16900.199999999997</v>
      </c>
      <c r="V17" s="1">
        <v>40860.699999999997</v>
      </c>
      <c r="W17" s="1">
        <v>16900.199999999997</v>
      </c>
    </row>
    <row r="18" spans="4:23" x14ac:dyDescent="0.2">
      <c r="D18" s="1">
        <v>40860.699999999997</v>
      </c>
      <c r="E18" s="1">
        <v>4721</v>
      </c>
      <c r="G18" s="1">
        <v>40860.699999999997</v>
      </c>
      <c r="H18" s="1">
        <v>2370</v>
      </c>
      <c r="J18" s="1">
        <v>4721</v>
      </c>
      <c r="K18" s="1">
        <v>40860.699999999997</v>
      </c>
      <c r="P18" s="1">
        <v>40860.699999999997</v>
      </c>
      <c r="Q18" s="1">
        <v>14503.1</v>
      </c>
      <c r="S18" s="1">
        <v>2370</v>
      </c>
      <c r="T18" s="1">
        <v>40860.699999999997</v>
      </c>
      <c r="V18" s="1">
        <v>14503.1</v>
      </c>
      <c r="W18" s="1">
        <v>40860.699999999997</v>
      </c>
    </row>
    <row r="19" spans="4:23" x14ac:dyDescent="0.2">
      <c r="D19" s="1">
        <v>14503.1</v>
      </c>
      <c r="E19" s="1">
        <v>2370</v>
      </c>
      <c r="G19" s="1">
        <v>14503.1</v>
      </c>
      <c r="H19" s="1">
        <v>3900</v>
      </c>
      <c r="J19" s="1">
        <v>2370</v>
      </c>
      <c r="K19" s="1">
        <v>14503.1</v>
      </c>
      <c r="P19" s="1">
        <v>14503.1</v>
      </c>
      <c r="Q19" s="1">
        <v>22614.1</v>
      </c>
      <c r="S19" s="1">
        <v>3900</v>
      </c>
      <c r="T19" s="1">
        <v>14503.1</v>
      </c>
      <c r="V19" s="1">
        <v>22614.1</v>
      </c>
      <c r="W19" s="1">
        <v>14503.1</v>
      </c>
    </row>
    <row r="20" spans="4:23" x14ac:dyDescent="0.2">
      <c r="D20" s="1">
        <v>22614.1</v>
      </c>
      <c r="E20" s="1">
        <v>3900</v>
      </c>
      <c r="G20" s="1">
        <v>22614.1</v>
      </c>
      <c r="H20" s="1">
        <v>3895</v>
      </c>
      <c r="J20" s="1">
        <v>3900</v>
      </c>
      <c r="K20" s="1">
        <v>22614.1</v>
      </c>
      <c r="P20" s="1">
        <v>22614.1</v>
      </c>
      <c r="Q20" s="1">
        <v>13112.2</v>
      </c>
      <c r="S20" s="1">
        <v>3895</v>
      </c>
      <c r="T20" s="1">
        <v>22614.1</v>
      </c>
      <c r="V20" s="1">
        <v>13112.2</v>
      </c>
      <c r="W20" s="1">
        <v>22614.1</v>
      </c>
    </row>
    <row r="21" spans="4:23" x14ac:dyDescent="0.2">
      <c r="D21" s="1">
        <v>13112.2</v>
      </c>
      <c r="E21" s="1">
        <v>3895</v>
      </c>
      <c r="G21" s="1">
        <v>13112.2</v>
      </c>
      <c r="H21" s="1">
        <v>8243</v>
      </c>
      <c r="J21" s="1">
        <v>3895</v>
      </c>
      <c r="K21" s="1">
        <v>13112.2</v>
      </c>
      <c r="P21" s="1">
        <v>13112.2</v>
      </c>
      <c r="Q21" s="1">
        <v>85108.7</v>
      </c>
      <c r="S21" s="1">
        <v>8243</v>
      </c>
      <c r="T21" s="1">
        <v>13112.2</v>
      </c>
      <c r="V21" s="1">
        <v>85108.7</v>
      </c>
      <c r="W21" s="1">
        <v>13112.2</v>
      </c>
    </row>
    <row r="22" spans="4:23" x14ac:dyDescent="0.2">
      <c r="D22" s="1">
        <v>85108.7</v>
      </c>
      <c r="E22" s="1">
        <v>8243</v>
      </c>
      <c r="G22" s="1">
        <v>85108.7</v>
      </c>
      <c r="H22" s="1">
        <v>4045</v>
      </c>
      <c r="J22" s="1">
        <v>8243</v>
      </c>
      <c r="K22" s="1">
        <v>85108.7</v>
      </c>
      <c r="P22" s="1">
        <v>85108.7</v>
      </c>
      <c r="Q22" s="1">
        <v>18740.8</v>
      </c>
      <c r="S22" s="1">
        <v>4045</v>
      </c>
      <c r="T22" s="1">
        <v>85108.7</v>
      </c>
      <c r="V22" s="1">
        <v>18740.8</v>
      </c>
      <c r="W22" s="1">
        <v>85108.7</v>
      </c>
    </row>
    <row r="23" spans="4:23" x14ac:dyDescent="0.2">
      <c r="D23" s="1">
        <v>18740.8</v>
      </c>
      <c r="E23" s="1">
        <v>4045</v>
      </c>
      <c r="G23" s="1">
        <v>18740.8</v>
      </c>
      <c r="H23" s="1">
        <v>4717</v>
      </c>
      <c r="J23" s="1">
        <v>4045</v>
      </c>
      <c r="K23" s="1">
        <v>18740.8</v>
      </c>
      <c r="P23" s="1">
        <v>18740.8</v>
      </c>
      <c r="Q23" s="1">
        <v>2488.5</v>
      </c>
      <c r="S23" s="1">
        <v>4717</v>
      </c>
      <c r="T23" s="1">
        <v>18740.8</v>
      </c>
      <c r="V23" s="1">
        <v>2488.5</v>
      </c>
      <c r="W23" s="1">
        <v>18740.8</v>
      </c>
    </row>
    <row r="24" spans="4:23" x14ac:dyDescent="0.2">
      <c r="D24" s="1">
        <v>2488.5</v>
      </c>
      <c r="E24" s="1">
        <v>4717</v>
      </c>
      <c r="G24" s="1">
        <v>2488.5</v>
      </c>
      <c r="H24" s="1">
        <v>8145</v>
      </c>
      <c r="J24" s="1">
        <v>4717</v>
      </c>
      <c r="K24" s="1">
        <v>2488.5</v>
      </c>
      <c r="P24" s="1">
        <v>2488.5</v>
      </c>
      <c r="Q24" s="1">
        <v>2586</v>
      </c>
      <c r="S24" s="1">
        <v>8145</v>
      </c>
      <c r="T24" s="1">
        <v>2488.5</v>
      </c>
      <c r="V24" s="1">
        <v>2586</v>
      </c>
      <c r="W24" s="1">
        <v>2488.5</v>
      </c>
    </row>
    <row r="25" spans="4:23" x14ac:dyDescent="0.2">
      <c r="D25" s="1">
        <v>2586</v>
      </c>
      <c r="E25" s="1">
        <v>8145</v>
      </c>
      <c r="G25" s="1">
        <v>2586</v>
      </c>
      <c r="H25" s="1">
        <v>6339</v>
      </c>
      <c r="J25" s="1">
        <v>8145</v>
      </c>
      <c r="K25" s="1">
        <v>2586</v>
      </c>
      <c r="P25" s="1">
        <v>2586</v>
      </c>
      <c r="Q25" s="1">
        <v>1306.0999999999999</v>
      </c>
      <c r="S25" s="1">
        <v>6339</v>
      </c>
      <c r="T25" s="1">
        <v>2586</v>
      </c>
      <c r="V25" s="1">
        <v>1306.0999999999999</v>
      </c>
      <c r="W25" s="1">
        <v>2586</v>
      </c>
    </row>
    <row r="26" spans="4:23" x14ac:dyDescent="0.2">
      <c r="D26" s="1">
        <v>1306.0999999999999</v>
      </c>
      <c r="E26" s="1">
        <v>6339</v>
      </c>
      <c r="G26" s="1">
        <v>1306.0999999999999</v>
      </c>
      <c r="H26" s="1">
        <v>8480</v>
      </c>
      <c r="J26" s="1">
        <v>6339</v>
      </c>
      <c r="K26" s="1">
        <v>1306.0999999999999</v>
      </c>
      <c r="P26" s="1">
        <v>1306.0999999999999</v>
      </c>
      <c r="Q26" s="1">
        <v>1732.1</v>
      </c>
      <c r="S26" s="1">
        <v>8480</v>
      </c>
      <c r="T26" s="1">
        <v>1306.0999999999999</v>
      </c>
      <c r="V26" s="1">
        <v>1732.1</v>
      </c>
      <c r="W26" s="1">
        <v>1306.0999999999999</v>
      </c>
    </row>
    <row r="27" spans="4:23" x14ac:dyDescent="0.2">
      <c r="D27" s="1">
        <v>1732.1</v>
      </c>
      <c r="E27" s="1">
        <v>8480</v>
      </c>
      <c r="G27" s="1">
        <v>1732.1</v>
      </c>
      <c r="H27" s="1">
        <v>15253</v>
      </c>
      <c r="J27" s="1">
        <v>8480</v>
      </c>
      <c r="K27" s="1">
        <v>1732.1</v>
      </c>
      <c r="P27" s="1">
        <v>1732.1</v>
      </c>
      <c r="Q27" s="1">
        <v>11876.6</v>
      </c>
      <c r="S27" s="1">
        <v>15253</v>
      </c>
      <c r="T27" s="1">
        <v>1732.1</v>
      </c>
      <c r="V27" s="1">
        <v>11876.6</v>
      </c>
      <c r="W27" s="1">
        <v>1732.1</v>
      </c>
    </row>
    <row r="28" spans="4:23" x14ac:dyDescent="0.2">
      <c r="D28" s="1">
        <v>11876.6</v>
      </c>
      <c r="E28" s="1">
        <v>15253</v>
      </c>
      <c r="G28" s="1">
        <v>11876.6</v>
      </c>
      <c r="H28" s="1">
        <v>10261</v>
      </c>
      <c r="J28" s="1">
        <v>15253</v>
      </c>
      <c r="K28" s="1">
        <v>11876.6</v>
      </c>
      <c r="P28" s="1">
        <v>11876.6</v>
      </c>
      <c r="Q28" s="1">
        <v>3469.2999999999997</v>
      </c>
      <c r="S28" s="1">
        <v>10261</v>
      </c>
      <c r="T28" s="1">
        <v>11876.6</v>
      </c>
      <c r="V28" s="1">
        <v>3469.2999999999997</v>
      </c>
      <c r="W28" s="1">
        <v>11876.6</v>
      </c>
    </row>
    <row r="29" spans="4:23" x14ac:dyDescent="0.2">
      <c r="D29" s="1">
        <v>3469.2999999999997</v>
      </c>
      <c r="E29" s="1">
        <v>10261</v>
      </c>
      <c r="G29" s="1">
        <v>3469.2999999999997</v>
      </c>
      <c r="H29" s="1">
        <v>14317</v>
      </c>
      <c r="J29" s="1">
        <v>10261</v>
      </c>
      <c r="K29" s="1">
        <v>3469.2999999999997</v>
      </c>
      <c r="P29" s="1">
        <v>3469.2999999999997</v>
      </c>
      <c r="Q29" s="1">
        <v>5586.85</v>
      </c>
      <c r="S29" s="1">
        <v>14317</v>
      </c>
      <c r="T29" s="1">
        <v>3469.2999999999997</v>
      </c>
      <c r="V29" s="1">
        <v>5586.85</v>
      </c>
      <c r="W29" s="1">
        <v>3469.2999999999997</v>
      </c>
    </row>
    <row r="30" spans="4:23" x14ac:dyDescent="0.2">
      <c r="D30" s="1">
        <v>5586.85</v>
      </c>
      <c r="E30" s="1">
        <v>14317</v>
      </c>
      <c r="G30" s="1">
        <v>5586.85</v>
      </c>
      <c r="H30" s="1">
        <v>13196</v>
      </c>
      <c r="J30" s="1">
        <v>14317</v>
      </c>
      <c r="K30" s="1">
        <v>5586.85</v>
      </c>
      <c r="P30" s="1">
        <v>5586.85</v>
      </c>
      <c r="Q30" s="1">
        <v>11093.560000000001</v>
      </c>
      <c r="S30" s="1">
        <v>13196</v>
      </c>
      <c r="T30" s="1">
        <v>5586.85</v>
      </c>
      <c r="V30" s="1">
        <v>11093.560000000001</v>
      </c>
      <c r="W30" s="1">
        <v>5586.85</v>
      </c>
    </row>
    <row r="31" spans="4:23" x14ac:dyDescent="0.2">
      <c r="D31" s="1">
        <v>11093.560000000001</v>
      </c>
      <c r="E31" s="1">
        <v>13196</v>
      </c>
      <c r="G31" s="1">
        <v>11093.560000000001</v>
      </c>
      <c r="H31" s="1">
        <v>8593</v>
      </c>
      <c r="J31" s="1">
        <v>13196</v>
      </c>
      <c r="K31" s="1">
        <v>11093.560000000001</v>
      </c>
      <c r="P31" s="1">
        <v>11093.560000000001</v>
      </c>
      <c r="Q31" s="1">
        <v>2461.41</v>
      </c>
      <c r="S31" s="1">
        <v>8593</v>
      </c>
      <c r="T31" s="1">
        <v>11093.560000000001</v>
      </c>
      <c r="V31" s="1">
        <v>2461.41</v>
      </c>
      <c r="W31" s="1">
        <v>11093.560000000001</v>
      </c>
    </row>
    <row r="32" spans="4:23" x14ac:dyDescent="0.2">
      <c r="D32" s="1">
        <v>2461.41</v>
      </c>
      <c r="E32" s="1">
        <v>8593</v>
      </c>
      <c r="G32" s="1">
        <v>2461.41</v>
      </c>
      <c r="H32" s="1">
        <v>12589</v>
      </c>
      <c r="J32" s="1">
        <v>8593</v>
      </c>
      <c r="K32" s="1">
        <v>2461.41</v>
      </c>
      <c r="P32" s="1">
        <v>2461.41</v>
      </c>
      <c r="Q32" s="1">
        <v>10138.380000000001</v>
      </c>
      <c r="S32" s="1">
        <v>12589</v>
      </c>
      <c r="T32" s="1">
        <v>2461.41</v>
      </c>
      <c r="V32" s="1">
        <v>10138.380000000001</v>
      </c>
      <c r="W32" s="1">
        <v>2461.41</v>
      </c>
    </row>
    <row r="33" spans="4:23" x14ac:dyDescent="0.2">
      <c r="D33" s="1">
        <v>10138.380000000001</v>
      </c>
      <c r="E33" s="1">
        <v>12589</v>
      </c>
      <c r="G33" s="1">
        <v>10138.380000000001</v>
      </c>
      <c r="H33" s="1">
        <v>10025</v>
      </c>
      <c r="J33" s="1">
        <v>12589</v>
      </c>
      <c r="K33" s="1">
        <v>10138.380000000001</v>
      </c>
      <c r="P33" s="1">
        <v>10138.380000000001</v>
      </c>
      <c r="Q33" s="1">
        <v>4023.2700000000004</v>
      </c>
      <c r="S33" s="1">
        <v>10025</v>
      </c>
      <c r="T33" s="1">
        <v>10138.380000000001</v>
      </c>
      <c r="V33" s="1">
        <v>4023.2700000000004</v>
      </c>
      <c r="W33" s="1">
        <v>10138.380000000001</v>
      </c>
    </row>
    <row r="34" spans="4:23" x14ac:dyDescent="0.2">
      <c r="D34" s="1">
        <v>4023.2700000000004</v>
      </c>
      <c r="E34" s="1">
        <v>10025</v>
      </c>
      <c r="G34" s="1">
        <v>4023.2700000000004</v>
      </c>
      <c r="H34" s="1">
        <v>10773</v>
      </c>
      <c r="J34" s="1">
        <v>10025</v>
      </c>
      <c r="K34" s="1">
        <v>4023.2700000000004</v>
      </c>
      <c r="P34" s="1">
        <v>4023.2700000000004</v>
      </c>
      <c r="Q34" s="1">
        <v>7378.41</v>
      </c>
      <c r="S34" s="1">
        <v>10773</v>
      </c>
      <c r="T34" s="1">
        <v>4023.2700000000004</v>
      </c>
      <c r="V34" s="1">
        <v>7378.41</v>
      </c>
      <c r="W34" s="1">
        <v>4023.2700000000004</v>
      </c>
    </row>
    <row r="35" spans="4:23" x14ac:dyDescent="0.2">
      <c r="D35" s="1">
        <v>7378.41</v>
      </c>
      <c r="E35" s="1">
        <v>10773</v>
      </c>
      <c r="G35" s="1">
        <v>7378.41</v>
      </c>
      <c r="H35" s="1">
        <v>8483</v>
      </c>
      <c r="J35" s="1">
        <v>10773</v>
      </c>
      <c r="K35" s="1">
        <v>7378.41</v>
      </c>
      <c r="P35" s="1">
        <v>7378.41</v>
      </c>
      <c r="Q35" s="1">
        <v>4945.9500000000007</v>
      </c>
      <c r="S35" s="1">
        <v>8483</v>
      </c>
      <c r="T35" s="1">
        <v>7378.41</v>
      </c>
      <c r="V35" s="1">
        <v>4945.9500000000007</v>
      </c>
      <c r="W35" s="1">
        <v>7378.41</v>
      </c>
    </row>
    <row r="36" spans="4:23" x14ac:dyDescent="0.2">
      <c r="D36" s="1">
        <v>4945.9500000000007</v>
      </c>
      <c r="E36" s="1">
        <v>8483</v>
      </c>
      <c r="G36" s="1">
        <v>4945.9500000000007</v>
      </c>
      <c r="H36" s="1">
        <v>10618</v>
      </c>
      <c r="J36" s="1">
        <v>8483</v>
      </c>
      <c r="K36" s="1">
        <v>4945.9500000000007</v>
      </c>
      <c r="P36" s="1">
        <v>4945.9500000000007</v>
      </c>
      <c r="Q36" s="1">
        <v>9728.1</v>
      </c>
      <c r="S36" s="1">
        <v>10618</v>
      </c>
      <c r="T36" s="1">
        <v>4945.9500000000007</v>
      </c>
      <c r="V36" s="1">
        <v>9728.1</v>
      </c>
      <c r="W36" s="1">
        <v>4945.9500000000007</v>
      </c>
    </row>
    <row r="37" spans="4:23" x14ac:dyDescent="0.2">
      <c r="D37" s="1">
        <v>9728.1</v>
      </c>
      <c r="E37" s="1">
        <v>10618</v>
      </c>
      <c r="G37" s="1">
        <v>9728.1</v>
      </c>
      <c r="H37" s="1">
        <v>11573</v>
      </c>
      <c r="J37" s="1">
        <v>10618</v>
      </c>
      <c r="K37" s="1">
        <v>9728.1</v>
      </c>
      <c r="P37" s="1">
        <v>9728.1</v>
      </c>
      <c r="Q37" s="1">
        <v>22311.38</v>
      </c>
      <c r="S37" s="1">
        <v>11573</v>
      </c>
      <c r="T37" s="1">
        <v>9728.1</v>
      </c>
      <c r="V37" s="1">
        <v>22311.38</v>
      </c>
      <c r="W37" s="1">
        <v>9728.1</v>
      </c>
    </row>
    <row r="38" spans="4:23" x14ac:dyDescent="0.2">
      <c r="D38" s="1">
        <v>22311.38</v>
      </c>
      <c r="E38" s="1">
        <v>11573</v>
      </c>
      <c r="G38" s="1">
        <v>22311.38</v>
      </c>
      <c r="H38" s="1">
        <v>6996</v>
      </c>
      <c r="J38" s="1">
        <v>11573</v>
      </c>
      <c r="K38" s="1">
        <v>22311.38</v>
      </c>
      <c r="P38" s="1">
        <v>22311.38</v>
      </c>
      <c r="Q38" s="1">
        <v>55532.800000000003</v>
      </c>
      <c r="S38" s="1">
        <v>6996</v>
      </c>
      <c r="T38" s="1">
        <v>22311.38</v>
      </c>
      <c r="V38" s="1">
        <v>55532.800000000003</v>
      </c>
      <c r="W38" s="1">
        <v>22311.38</v>
      </c>
    </row>
    <row r="39" spans="4:23" x14ac:dyDescent="0.2">
      <c r="D39" s="1">
        <v>55532.800000000003</v>
      </c>
      <c r="E39" s="1">
        <v>6996</v>
      </c>
      <c r="G39" s="1">
        <v>55532.800000000003</v>
      </c>
      <c r="H39" s="1">
        <v>3157</v>
      </c>
      <c r="J39" s="1">
        <v>6996</v>
      </c>
      <c r="K39" s="1">
        <v>55532.800000000003</v>
      </c>
      <c r="P39" s="1">
        <v>55532.800000000003</v>
      </c>
      <c r="Q39" s="1">
        <v>1190.93</v>
      </c>
      <c r="S39" s="1">
        <v>3157</v>
      </c>
      <c r="T39" s="1">
        <v>55532.800000000003</v>
      </c>
      <c r="V39" s="1">
        <v>1190.93</v>
      </c>
      <c r="W39" s="1">
        <v>55532.800000000003</v>
      </c>
    </row>
    <row r="40" spans="4:23" x14ac:dyDescent="0.2">
      <c r="D40" s="1">
        <v>1190.93</v>
      </c>
      <c r="E40" s="1">
        <v>3157</v>
      </c>
      <c r="G40" s="1">
        <v>1190.93</v>
      </c>
      <c r="H40" s="1">
        <v>2546</v>
      </c>
      <c r="J40" s="1">
        <v>3157</v>
      </c>
      <c r="K40" s="1">
        <v>1190.93</v>
      </c>
      <c r="P40" s="1">
        <v>1190.93</v>
      </c>
      <c r="Q40" s="1">
        <v>998.23</v>
      </c>
      <c r="S40" s="1">
        <v>2546</v>
      </c>
      <c r="T40" s="1">
        <v>1190.93</v>
      </c>
      <c r="V40" s="1">
        <v>998.23</v>
      </c>
      <c r="W40" s="1">
        <v>1190.93</v>
      </c>
    </row>
    <row r="41" spans="4:23" x14ac:dyDescent="0.2">
      <c r="D41" s="1">
        <v>998.23</v>
      </c>
      <c r="E41" s="1">
        <v>2546</v>
      </c>
      <c r="G41" s="1">
        <v>998.23</v>
      </c>
      <c r="H41" s="1">
        <v>3970</v>
      </c>
      <c r="J41" s="1">
        <v>2546</v>
      </c>
      <c r="K41" s="1">
        <v>998.23</v>
      </c>
      <c r="P41" s="1">
        <v>998.23</v>
      </c>
      <c r="Q41" s="1">
        <v>2277</v>
      </c>
      <c r="S41" s="1">
        <v>3970</v>
      </c>
      <c r="T41" s="1">
        <v>998.23</v>
      </c>
      <c r="V41" s="1">
        <v>2277</v>
      </c>
      <c r="W41" s="1">
        <v>998.23</v>
      </c>
    </row>
    <row r="42" spans="4:23" x14ac:dyDescent="0.2">
      <c r="D42" s="1">
        <v>2277</v>
      </c>
      <c r="E42" s="1">
        <v>3970</v>
      </c>
      <c r="G42" s="1">
        <v>2277</v>
      </c>
      <c r="H42" s="1">
        <v>3852</v>
      </c>
      <c r="J42" s="1">
        <v>3970</v>
      </c>
      <c r="K42" s="1">
        <v>2277</v>
      </c>
      <c r="P42" s="1">
        <v>2277</v>
      </c>
      <c r="Q42" s="1">
        <v>3034.9799999999996</v>
      </c>
      <c r="S42" s="1">
        <v>3852</v>
      </c>
      <c r="T42" s="1">
        <v>2277</v>
      </c>
      <c r="V42" s="1">
        <v>3034.9799999999996</v>
      </c>
      <c r="W42" s="1">
        <v>2277</v>
      </c>
    </row>
    <row r="43" spans="4:23" x14ac:dyDescent="0.2">
      <c r="D43" s="1">
        <v>3034.9799999999996</v>
      </c>
      <c r="E43" s="1">
        <v>3852</v>
      </c>
      <c r="G43" s="1">
        <v>3034.9799999999996</v>
      </c>
      <c r="H43" s="1">
        <v>6342</v>
      </c>
      <c r="J43" s="1">
        <v>3852</v>
      </c>
      <c r="K43" s="1">
        <v>3034.9799999999996</v>
      </c>
      <c r="P43" s="1">
        <v>3034.9799999999996</v>
      </c>
      <c r="Q43" s="1">
        <v>9270.3799999999992</v>
      </c>
      <c r="S43" s="1">
        <v>6342</v>
      </c>
      <c r="T43" s="1">
        <v>3034.9799999999996</v>
      </c>
      <c r="V43" s="1">
        <v>9270.3799999999992</v>
      </c>
      <c r="W43" s="1">
        <v>3034.9799999999996</v>
      </c>
    </row>
    <row r="44" spans="4:23" x14ac:dyDescent="0.2">
      <c r="D44" s="1">
        <v>9270.3799999999992</v>
      </c>
      <c r="E44" s="1">
        <v>6342</v>
      </c>
      <c r="G44" s="1">
        <v>9270.3799999999992</v>
      </c>
      <c r="H44" s="1">
        <v>3794</v>
      </c>
      <c r="J44" s="1">
        <v>6342</v>
      </c>
      <c r="K44" s="1">
        <v>9270.3799999999992</v>
      </c>
      <c r="P44" s="1">
        <v>9270.3799999999992</v>
      </c>
      <c r="Q44" s="1">
        <v>5038.74</v>
      </c>
      <c r="S44" s="1">
        <v>3794</v>
      </c>
      <c r="T44" s="1">
        <v>9270.3799999999992</v>
      </c>
      <c r="V44" s="1">
        <v>5038.74</v>
      </c>
      <c r="W44" s="1">
        <v>9270.3799999999992</v>
      </c>
    </row>
    <row r="45" spans="4:23" x14ac:dyDescent="0.2">
      <c r="D45" s="1">
        <v>5038.74</v>
      </c>
      <c r="E45" s="1">
        <v>3794</v>
      </c>
      <c r="J45" s="1">
        <v>3794</v>
      </c>
      <c r="K45" s="1">
        <v>5038.74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36"/>
  <dimension ref="A1:H31"/>
  <sheetViews>
    <sheetView workbookViewId="0"/>
  </sheetViews>
  <sheetFormatPr defaultRowHeight="12.75" x14ac:dyDescent="0.2"/>
  <sheetData>
    <row r="1" spans="1:8" x14ac:dyDescent="0.2">
      <c r="A1" s="1">
        <v>0</v>
      </c>
      <c r="B1" s="1">
        <v>0</v>
      </c>
      <c r="C1" s="1">
        <v>0</v>
      </c>
      <c r="D1" s="1">
        <v>0</v>
      </c>
      <c r="E1" s="1">
        <v>0</v>
      </c>
      <c r="F1" s="1">
        <v>0</v>
      </c>
      <c r="G1" s="1">
        <v>0</v>
      </c>
      <c r="H1" s="1">
        <v>0</v>
      </c>
    </row>
    <row r="2" spans="1:8" x14ac:dyDescent="0.2">
      <c r="A2" s="1">
        <v>0</v>
      </c>
      <c r="B2" s="1">
        <v>16</v>
      </c>
      <c r="C2" s="1">
        <v>0</v>
      </c>
      <c r="D2" s="1">
        <v>20</v>
      </c>
      <c r="E2" s="1">
        <v>0</v>
      </c>
      <c r="F2" s="1">
        <v>0</v>
      </c>
      <c r="G2" s="1">
        <v>0</v>
      </c>
      <c r="H2" s="1">
        <v>0</v>
      </c>
    </row>
    <row r="3" spans="1:8" x14ac:dyDescent="0.2">
      <c r="A3" s="1">
        <v>1600</v>
      </c>
      <c r="B3" s="1">
        <v>16</v>
      </c>
      <c r="C3" s="1">
        <v>8600</v>
      </c>
      <c r="D3" s="1">
        <v>20</v>
      </c>
      <c r="E3" s="1">
        <v>780000</v>
      </c>
      <c r="F3" s="1">
        <v>0</v>
      </c>
      <c r="G3" s="1">
        <v>780000</v>
      </c>
      <c r="H3" s="1">
        <v>0</v>
      </c>
    </row>
    <row r="4" spans="1:8" x14ac:dyDescent="0.2">
      <c r="A4" s="1">
        <v>1600</v>
      </c>
      <c r="B4" s="1">
        <v>0</v>
      </c>
      <c r="C4" s="1">
        <v>8600</v>
      </c>
      <c r="D4" s="1">
        <v>0</v>
      </c>
      <c r="E4" s="1">
        <v>780000</v>
      </c>
      <c r="F4" s="1">
        <v>0</v>
      </c>
      <c r="G4" s="1">
        <v>780000</v>
      </c>
      <c r="H4" s="1">
        <v>0</v>
      </c>
    </row>
    <row r="5" spans="1:8" x14ac:dyDescent="0.2">
      <c r="A5" s="1">
        <v>1600</v>
      </c>
      <c r="B5" s="1">
        <v>8</v>
      </c>
      <c r="C5" s="1">
        <v>8600</v>
      </c>
      <c r="D5" s="1">
        <v>13</v>
      </c>
      <c r="E5" s="1">
        <v>780000</v>
      </c>
      <c r="F5" s="1">
        <v>14</v>
      </c>
      <c r="G5" s="1">
        <v>780000</v>
      </c>
      <c r="H5" s="1">
        <v>14</v>
      </c>
    </row>
    <row r="6" spans="1:8" x14ac:dyDescent="0.2">
      <c r="A6" s="1">
        <v>3200</v>
      </c>
      <c r="B6" s="1">
        <v>8</v>
      </c>
      <c r="C6" s="1">
        <v>17200</v>
      </c>
      <c r="D6" s="1">
        <v>13</v>
      </c>
      <c r="E6" s="1">
        <v>1560000</v>
      </c>
      <c r="F6" s="1">
        <v>14</v>
      </c>
      <c r="G6" s="1">
        <v>1560000</v>
      </c>
      <c r="H6" s="1">
        <v>14</v>
      </c>
    </row>
    <row r="7" spans="1:8" x14ac:dyDescent="0.2">
      <c r="A7" s="1">
        <v>3200</v>
      </c>
      <c r="B7" s="1">
        <v>0</v>
      </c>
      <c r="C7" s="1">
        <v>17200</v>
      </c>
      <c r="D7" s="1">
        <v>0</v>
      </c>
      <c r="E7" s="1">
        <v>1560000</v>
      </c>
      <c r="F7" s="1">
        <v>0</v>
      </c>
      <c r="G7" s="1">
        <v>1560000</v>
      </c>
      <c r="H7" s="1">
        <v>0</v>
      </c>
    </row>
    <row r="8" spans="1:8" x14ac:dyDescent="0.2">
      <c r="A8" s="1">
        <v>3200</v>
      </c>
      <c r="B8" s="1">
        <v>10</v>
      </c>
      <c r="C8" s="1">
        <v>17200</v>
      </c>
      <c r="D8" s="1">
        <v>4</v>
      </c>
      <c r="E8" s="1">
        <v>1560000</v>
      </c>
      <c r="F8" s="1">
        <v>7</v>
      </c>
      <c r="G8" s="1">
        <v>1560000</v>
      </c>
      <c r="H8" s="1">
        <v>7</v>
      </c>
    </row>
    <row r="9" spans="1:8" x14ac:dyDescent="0.2">
      <c r="A9" s="1">
        <v>4800</v>
      </c>
      <c r="B9" s="1">
        <v>10</v>
      </c>
      <c r="C9" s="1">
        <v>25800</v>
      </c>
      <c r="D9" s="1">
        <v>4</v>
      </c>
      <c r="E9" s="1">
        <v>2340000</v>
      </c>
      <c r="F9" s="1">
        <v>7</v>
      </c>
      <c r="G9" s="1">
        <v>2340000</v>
      </c>
      <c r="H9" s="1">
        <v>7</v>
      </c>
    </row>
    <row r="10" spans="1:8" x14ac:dyDescent="0.2">
      <c r="A10" s="1">
        <v>4800</v>
      </c>
      <c r="B10" s="1">
        <v>0</v>
      </c>
      <c r="C10" s="1">
        <v>25800</v>
      </c>
      <c r="D10" s="1">
        <v>0</v>
      </c>
      <c r="E10" s="1">
        <v>2340000</v>
      </c>
      <c r="F10" s="1">
        <v>0</v>
      </c>
      <c r="G10" s="1">
        <v>2340000</v>
      </c>
      <c r="H10" s="1">
        <v>0</v>
      </c>
    </row>
    <row r="11" spans="1:8" x14ac:dyDescent="0.2">
      <c r="A11" s="1">
        <v>4800</v>
      </c>
      <c r="B11" s="1">
        <v>3</v>
      </c>
      <c r="C11" s="1">
        <v>25800</v>
      </c>
      <c r="D11" s="1">
        <v>0</v>
      </c>
      <c r="E11" s="1">
        <v>2340000</v>
      </c>
      <c r="F11" s="1">
        <v>4</v>
      </c>
      <c r="G11" s="1">
        <v>2340000</v>
      </c>
      <c r="H11" s="1">
        <v>4</v>
      </c>
    </row>
    <row r="12" spans="1:8" x14ac:dyDescent="0.2">
      <c r="A12" s="1">
        <v>6400</v>
      </c>
      <c r="B12" s="1">
        <v>3</v>
      </c>
      <c r="C12" s="1">
        <v>34400</v>
      </c>
      <c r="D12" s="1">
        <v>0</v>
      </c>
      <c r="E12" s="1">
        <v>3120000</v>
      </c>
      <c r="F12" s="1">
        <v>4</v>
      </c>
      <c r="G12" s="1">
        <v>3120000</v>
      </c>
      <c r="H12" s="1">
        <v>4</v>
      </c>
    </row>
    <row r="13" spans="1:8" x14ac:dyDescent="0.2">
      <c r="A13" s="1">
        <v>6400</v>
      </c>
      <c r="B13" s="1">
        <v>0</v>
      </c>
      <c r="C13" s="1">
        <v>34400</v>
      </c>
      <c r="D13" s="1">
        <v>0</v>
      </c>
      <c r="E13" s="1">
        <v>3120000</v>
      </c>
      <c r="F13" s="1">
        <v>0</v>
      </c>
      <c r="G13" s="1">
        <v>3120000</v>
      </c>
      <c r="H13" s="1">
        <v>0</v>
      </c>
    </row>
    <row r="14" spans="1:8" x14ac:dyDescent="0.2">
      <c r="A14" s="1">
        <v>6400</v>
      </c>
      <c r="B14" s="1">
        <v>1</v>
      </c>
      <c r="C14" s="1">
        <v>34400</v>
      </c>
      <c r="D14" s="1">
        <v>2</v>
      </c>
      <c r="E14" s="1">
        <v>3120000</v>
      </c>
      <c r="F14" s="1">
        <v>1</v>
      </c>
      <c r="G14" s="1">
        <v>3120000</v>
      </c>
      <c r="H14" s="1">
        <v>1</v>
      </c>
    </row>
    <row r="15" spans="1:8" x14ac:dyDescent="0.2">
      <c r="A15" s="1">
        <v>8000</v>
      </c>
      <c r="B15" s="1">
        <v>1</v>
      </c>
      <c r="C15" s="1">
        <v>43000</v>
      </c>
      <c r="D15" s="1">
        <v>2</v>
      </c>
      <c r="E15" s="1">
        <v>3900000</v>
      </c>
      <c r="F15" s="1">
        <v>1</v>
      </c>
      <c r="G15" s="1">
        <v>3900000</v>
      </c>
      <c r="H15" s="1">
        <v>1</v>
      </c>
    </row>
    <row r="16" spans="1:8" x14ac:dyDescent="0.2">
      <c r="A16" s="1">
        <v>8000</v>
      </c>
      <c r="B16" s="1">
        <v>0</v>
      </c>
      <c r="C16" s="1">
        <v>43000</v>
      </c>
      <c r="D16" s="1">
        <v>0</v>
      </c>
      <c r="E16" s="1">
        <v>3900000</v>
      </c>
      <c r="F16" s="1">
        <v>0</v>
      </c>
      <c r="G16" s="1">
        <v>3900000</v>
      </c>
      <c r="H16" s="1">
        <v>0</v>
      </c>
    </row>
    <row r="17" spans="1:8" x14ac:dyDescent="0.2">
      <c r="A17" s="1">
        <v>8000</v>
      </c>
      <c r="B17" s="1">
        <v>5</v>
      </c>
      <c r="C17" s="1">
        <v>43000</v>
      </c>
      <c r="D17" s="1">
        <v>2</v>
      </c>
      <c r="E17" s="1">
        <v>3900000</v>
      </c>
      <c r="F17" s="1">
        <v>2</v>
      </c>
      <c r="G17" s="1">
        <v>3900000</v>
      </c>
      <c r="H17" s="1">
        <v>2</v>
      </c>
    </row>
    <row r="18" spans="1:8" x14ac:dyDescent="0.2">
      <c r="A18" s="1">
        <v>9600</v>
      </c>
      <c r="B18" s="1">
        <v>5</v>
      </c>
      <c r="C18" s="1">
        <v>51600</v>
      </c>
      <c r="D18" s="1">
        <v>2</v>
      </c>
      <c r="E18" s="1">
        <v>4680000</v>
      </c>
      <c r="F18" s="1">
        <v>2</v>
      </c>
      <c r="G18" s="1">
        <v>4680000</v>
      </c>
      <c r="H18" s="1">
        <v>2</v>
      </c>
    </row>
    <row r="19" spans="1:8" x14ac:dyDescent="0.2">
      <c r="A19" s="1">
        <v>9600</v>
      </c>
      <c r="B19" s="1">
        <v>0</v>
      </c>
      <c r="C19" s="1">
        <v>51600</v>
      </c>
      <c r="D19" s="1">
        <v>0</v>
      </c>
      <c r="E19" s="1">
        <v>4680000</v>
      </c>
      <c r="F19" s="1">
        <v>0</v>
      </c>
      <c r="G19" s="1">
        <v>4680000</v>
      </c>
      <c r="H19" s="1">
        <v>0</v>
      </c>
    </row>
    <row r="20" spans="1:8" x14ac:dyDescent="0.2">
      <c r="A20" s="1">
        <v>9600</v>
      </c>
      <c r="B20" s="1">
        <v>4</v>
      </c>
      <c r="C20" s="1">
        <v>51600</v>
      </c>
      <c r="D20" s="1">
        <v>3</v>
      </c>
      <c r="E20" s="1">
        <v>4680000</v>
      </c>
      <c r="F20" s="1">
        <v>4</v>
      </c>
      <c r="G20" s="1">
        <v>4680000</v>
      </c>
      <c r="H20" s="1">
        <v>4</v>
      </c>
    </row>
    <row r="21" spans="1:8" x14ac:dyDescent="0.2">
      <c r="A21" s="1">
        <v>11200</v>
      </c>
      <c r="B21" s="1">
        <v>4</v>
      </c>
      <c r="C21" s="1">
        <v>60200</v>
      </c>
      <c r="D21" s="1">
        <v>3</v>
      </c>
      <c r="E21" s="1">
        <v>5460000</v>
      </c>
      <c r="F21" s="1">
        <v>4</v>
      </c>
      <c r="G21" s="1">
        <v>5460000</v>
      </c>
      <c r="H21" s="1">
        <v>4</v>
      </c>
    </row>
    <row r="22" spans="1:8" x14ac:dyDescent="0.2">
      <c r="A22" s="1">
        <v>11200</v>
      </c>
      <c r="B22" s="1">
        <v>0</v>
      </c>
      <c r="C22" s="1">
        <v>60200</v>
      </c>
      <c r="D22" s="1">
        <v>0</v>
      </c>
      <c r="E22" s="1">
        <v>5460000</v>
      </c>
      <c r="F22" s="1">
        <v>0</v>
      </c>
      <c r="G22" s="1">
        <v>5460000</v>
      </c>
      <c r="H22" s="1">
        <v>0</v>
      </c>
    </row>
    <row r="23" spans="1:8" x14ac:dyDescent="0.2">
      <c r="A23" s="1">
        <v>11200</v>
      </c>
      <c r="B23" s="1">
        <v>2</v>
      </c>
      <c r="C23" s="1">
        <v>60200</v>
      </c>
      <c r="D23" s="1">
        <v>0</v>
      </c>
      <c r="E23" s="1">
        <v>5460000</v>
      </c>
      <c r="F23" s="1">
        <v>10</v>
      </c>
      <c r="G23" s="1">
        <v>5460000</v>
      </c>
      <c r="H23" s="1">
        <v>10</v>
      </c>
    </row>
    <row r="24" spans="1:8" x14ac:dyDescent="0.2">
      <c r="A24" s="1">
        <v>12800</v>
      </c>
      <c r="B24" s="1">
        <v>2</v>
      </c>
      <c r="C24" s="1">
        <v>68800</v>
      </c>
      <c r="D24" s="1">
        <v>0</v>
      </c>
      <c r="E24" s="1">
        <v>6240000</v>
      </c>
      <c r="F24" s="1">
        <v>10</v>
      </c>
      <c r="G24" s="1">
        <v>6240000</v>
      </c>
      <c r="H24" s="1">
        <v>10</v>
      </c>
    </row>
    <row r="25" spans="1:8" x14ac:dyDescent="0.2">
      <c r="A25" s="1">
        <v>12800</v>
      </c>
      <c r="B25" s="1">
        <v>0</v>
      </c>
      <c r="C25" s="1">
        <v>68800</v>
      </c>
      <c r="D25" s="1">
        <v>0</v>
      </c>
      <c r="E25" s="1">
        <v>6240000</v>
      </c>
      <c r="F25" s="1">
        <v>0</v>
      </c>
      <c r="G25" s="1">
        <v>6240000</v>
      </c>
      <c r="H25" s="1">
        <v>0</v>
      </c>
    </row>
    <row r="26" spans="1:8" x14ac:dyDescent="0.2">
      <c r="A26" s="1">
        <v>12800</v>
      </c>
      <c r="B26" s="1">
        <v>2</v>
      </c>
      <c r="C26" s="1">
        <v>68800</v>
      </c>
      <c r="D26" s="1">
        <v>0</v>
      </c>
      <c r="E26" s="1">
        <v>6240000</v>
      </c>
      <c r="F26" s="1">
        <v>3</v>
      </c>
      <c r="G26" s="1">
        <v>6240000</v>
      </c>
      <c r="H26" s="1">
        <v>3</v>
      </c>
    </row>
    <row r="27" spans="1:8" x14ac:dyDescent="0.2">
      <c r="A27" s="1">
        <v>14400</v>
      </c>
      <c r="B27" s="1">
        <v>2</v>
      </c>
      <c r="C27" s="1">
        <v>77400</v>
      </c>
      <c r="D27" s="1">
        <v>0</v>
      </c>
      <c r="E27" s="1">
        <v>7020000</v>
      </c>
      <c r="F27" s="1">
        <v>3</v>
      </c>
      <c r="G27" s="1">
        <v>7020000</v>
      </c>
      <c r="H27" s="1">
        <v>3</v>
      </c>
    </row>
    <row r="28" spans="1:8" x14ac:dyDescent="0.2">
      <c r="A28" s="1">
        <v>14400</v>
      </c>
      <c r="B28" s="1">
        <v>0</v>
      </c>
      <c r="C28" s="1">
        <v>77400</v>
      </c>
      <c r="D28" s="1">
        <v>0</v>
      </c>
      <c r="E28" s="1">
        <v>7020000</v>
      </c>
      <c r="F28" s="1">
        <v>0</v>
      </c>
      <c r="G28" s="1">
        <v>7020000</v>
      </c>
      <c r="H28" s="1">
        <v>0</v>
      </c>
    </row>
    <row r="29" spans="1:8" x14ac:dyDescent="0.2">
      <c r="A29" s="1">
        <v>14400</v>
      </c>
      <c r="B29" s="1">
        <v>1</v>
      </c>
      <c r="C29" s="1">
        <v>77400</v>
      </c>
      <c r="D29" s="1">
        <v>1</v>
      </c>
      <c r="E29" s="1">
        <v>7020000</v>
      </c>
      <c r="F29" s="1">
        <v>4</v>
      </c>
      <c r="G29" s="1">
        <v>7020000</v>
      </c>
      <c r="H29" s="1">
        <v>3</v>
      </c>
    </row>
    <row r="30" spans="1:8" x14ac:dyDescent="0.2">
      <c r="A30" s="1">
        <v>16000</v>
      </c>
      <c r="B30" s="1">
        <v>1</v>
      </c>
      <c r="C30" s="1">
        <v>86000</v>
      </c>
      <c r="D30" s="1">
        <v>1</v>
      </c>
      <c r="E30" s="1">
        <v>7800000</v>
      </c>
      <c r="F30" s="1">
        <v>4</v>
      </c>
      <c r="G30" s="1">
        <v>7800000</v>
      </c>
      <c r="H30" s="1">
        <v>3</v>
      </c>
    </row>
    <row r="31" spans="1:8" x14ac:dyDescent="0.2">
      <c r="A31" s="1">
        <v>16000</v>
      </c>
      <c r="B31" s="1">
        <v>0</v>
      </c>
      <c r="C31" s="1">
        <v>86000</v>
      </c>
      <c r="D31" s="1">
        <v>0</v>
      </c>
      <c r="E31" s="1">
        <v>7800000</v>
      </c>
      <c r="F31" s="1">
        <v>0</v>
      </c>
      <c r="G31" s="1">
        <v>7800000</v>
      </c>
      <c r="H31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32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0</v>
      </c>
      <c r="D1" s="1">
        <v>0</v>
      </c>
    </row>
    <row r="2" spans="1:4" x14ac:dyDescent="0.2">
      <c r="A2" s="1">
        <v>0</v>
      </c>
      <c r="B2" s="1">
        <v>18</v>
      </c>
      <c r="C2" s="1">
        <v>0</v>
      </c>
      <c r="D2" s="1">
        <v>5</v>
      </c>
    </row>
    <row r="3" spans="1:4" x14ac:dyDescent="0.2">
      <c r="A3" s="1">
        <v>20000</v>
      </c>
      <c r="B3" s="1">
        <v>18</v>
      </c>
      <c r="C3" s="1">
        <v>49000</v>
      </c>
      <c r="D3" s="1">
        <v>5</v>
      </c>
    </row>
    <row r="4" spans="1:4" x14ac:dyDescent="0.2">
      <c r="A4" s="1">
        <v>20000</v>
      </c>
      <c r="B4" s="1">
        <v>0</v>
      </c>
      <c r="C4" s="1">
        <v>49000</v>
      </c>
      <c r="D4" s="1">
        <v>0</v>
      </c>
    </row>
    <row r="5" spans="1:4" x14ac:dyDescent="0.2">
      <c r="A5" s="1">
        <v>20000</v>
      </c>
      <c r="B5" s="1">
        <v>11</v>
      </c>
      <c r="C5" s="1">
        <v>49000</v>
      </c>
      <c r="D5" s="1">
        <v>16</v>
      </c>
    </row>
    <row r="6" spans="1:4" x14ac:dyDescent="0.2">
      <c r="A6" s="1">
        <v>40000</v>
      </c>
      <c r="B6" s="1">
        <v>11</v>
      </c>
      <c r="C6" s="1">
        <v>98000</v>
      </c>
      <c r="D6" s="1">
        <v>16</v>
      </c>
    </row>
    <row r="7" spans="1:4" x14ac:dyDescent="0.2">
      <c r="A7" s="1">
        <v>40000</v>
      </c>
      <c r="B7" s="1">
        <v>0</v>
      </c>
      <c r="C7" s="1">
        <v>98000</v>
      </c>
      <c r="D7" s="1">
        <v>0</v>
      </c>
    </row>
    <row r="8" spans="1:4" x14ac:dyDescent="0.2">
      <c r="A8" s="1">
        <v>40000</v>
      </c>
      <c r="B8" s="1">
        <v>7</v>
      </c>
      <c r="C8" s="1">
        <v>98000</v>
      </c>
      <c r="D8" s="1">
        <v>12</v>
      </c>
    </row>
    <row r="9" spans="1:4" x14ac:dyDescent="0.2">
      <c r="A9" s="1">
        <v>60000</v>
      </c>
      <c r="B9" s="1">
        <v>7</v>
      </c>
      <c r="C9" s="1">
        <v>147000</v>
      </c>
      <c r="D9" s="1">
        <v>12</v>
      </c>
    </row>
    <row r="10" spans="1:4" x14ac:dyDescent="0.2">
      <c r="A10" s="1">
        <v>60000</v>
      </c>
      <c r="B10" s="1">
        <v>0</v>
      </c>
      <c r="C10" s="1">
        <v>147000</v>
      </c>
      <c r="D10" s="1">
        <v>0</v>
      </c>
    </row>
    <row r="11" spans="1:4" x14ac:dyDescent="0.2">
      <c r="A11" s="1">
        <v>60000</v>
      </c>
      <c r="B11" s="1">
        <v>3</v>
      </c>
      <c r="C11" s="1">
        <v>147000</v>
      </c>
      <c r="D11" s="1">
        <v>8</v>
      </c>
    </row>
    <row r="12" spans="1:4" x14ac:dyDescent="0.2">
      <c r="A12" s="1">
        <v>80000</v>
      </c>
      <c r="B12" s="1">
        <v>3</v>
      </c>
      <c r="C12" s="1">
        <v>196000</v>
      </c>
      <c r="D12" s="1">
        <v>8</v>
      </c>
    </row>
    <row r="13" spans="1:4" x14ac:dyDescent="0.2">
      <c r="A13" s="1">
        <v>80000</v>
      </c>
      <c r="B13" s="1">
        <v>0</v>
      </c>
      <c r="C13" s="1">
        <v>196000</v>
      </c>
      <c r="D13" s="1">
        <v>0</v>
      </c>
    </row>
    <row r="14" spans="1:4" x14ac:dyDescent="0.2">
      <c r="A14" s="1">
        <v>80000</v>
      </c>
      <c r="B14" s="1">
        <v>2</v>
      </c>
      <c r="C14" s="1">
        <v>196000</v>
      </c>
      <c r="D14" s="1">
        <v>3</v>
      </c>
    </row>
    <row r="15" spans="1:4" x14ac:dyDescent="0.2">
      <c r="A15" s="1">
        <v>100000</v>
      </c>
      <c r="B15" s="1">
        <v>2</v>
      </c>
      <c r="C15" s="1">
        <v>245000</v>
      </c>
      <c r="D15" s="1">
        <v>3</v>
      </c>
    </row>
    <row r="16" spans="1:4" x14ac:dyDescent="0.2">
      <c r="A16" s="1">
        <v>100000</v>
      </c>
      <c r="B16" s="1">
        <v>0</v>
      </c>
      <c r="C16" s="1">
        <v>245000</v>
      </c>
      <c r="D16" s="1">
        <v>0</v>
      </c>
    </row>
    <row r="17" spans="1:4" x14ac:dyDescent="0.2">
      <c r="A17" s="1">
        <v>100000</v>
      </c>
      <c r="B17" s="1">
        <v>3</v>
      </c>
      <c r="C17" s="1">
        <v>245000</v>
      </c>
      <c r="D17" s="1">
        <v>4</v>
      </c>
    </row>
    <row r="18" spans="1:4" x14ac:dyDescent="0.2">
      <c r="A18" s="1">
        <v>120000</v>
      </c>
      <c r="B18" s="1">
        <v>3</v>
      </c>
      <c r="C18" s="1">
        <v>294000</v>
      </c>
      <c r="D18" s="1">
        <v>4</v>
      </c>
    </row>
    <row r="19" spans="1:4" x14ac:dyDescent="0.2">
      <c r="A19" s="1">
        <v>120000</v>
      </c>
      <c r="B19" s="1">
        <v>0</v>
      </c>
      <c r="C19" s="1">
        <v>294000</v>
      </c>
      <c r="D19" s="1">
        <v>0</v>
      </c>
    </row>
    <row r="20" spans="1:4" x14ac:dyDescent="0.2">
      <c r="A20" s="1">
        <v>120000</v>
      </c>
      <c r="B20" s="1">
        <v>0</v>
      </c>
      <c r="C20" s="1">
        <v>294000</v>
      </c>
      <c r="D20" s="1">
        <v>1</v>
      </c>
    </row>
    <row r="21" spans="1:4" x14ac:dyDescent="0.2">
      <c r="A21" s="1">
        <v>140000</v>
      </c>
      <c r="B21" s="1">
        <v>0</v>
      </c>
      <c r="C21" s="1">
        <v>343000</v>
      </c>
      <c r="D21" s="1">
        <v>1</v>
      </c>
    </row>
    <row r="22" spans="1:4" x14ac:dyDescent="0.2">
      <c r="A22" s="1">
        <v>140000</v>
      </c>
      <c r="B22" s="1">
        <v>0</v>
      </c>
      <c r="C22" s="1">
        <v>343000</v>
      </c>
      <c r="D22" s="1">
        <v>0</v>
      </c>
    </row>
    <row r="23" spans="1:4" x14ac:dyDescent="0.2">
      <c r="A23" s="1">
        <v>140000</v>
      </c>
      <c r="B23" s="1">
        <v>0</v>
      </c>
      <c r="C23" s="1">
        <v>343000</v>
      </c>
      <c r="D23" s="1">
        <v>0</v>
      </c>
    </row>
    <row r="24" spans="1:4" x14ac:dyDescent="0.2">
      <c r="A24" s="1">
        <v>160000</v>
      </c>
      <c r="B24" s="1">
        <v>0</v>
      </c>
      <c r="C24" s="1">
        <v>392000</v>
      </c>
      <c r="D24" s="1">
        <v>0</v>
      </c>
    </row>
    <row r="25" spans="1:4" x14ac:dyDescent="0.2">
      <c r="A25" s="1">
        <v>160000</v>
      </c>
      <c r="B25" s="1">
        <v>0</v>
      </c>
      <c r="C25" s="1">
        <v>392000</v>
      </c>
      <c r="D25" s="1">
        <v>0</v>
      </c>
    </row>
    <row r="26" spans="1:4" x14ac:dyDescent="0.2">
      <c r="A26" s="1">
        <v>160000</v>
      </c>
      <c r="B26" s="1">
        <v>0</v>
      </c>
      <c r="C26" s="1">
        <v>392000</v>
      </c>
      <c r="D26" s="1">
        <v>2</v>
      </c>
    </row>
    <row r="27" spans="1:4" x14ac:dyDescent="0.2">
      <c r="A27" s="1">
        <v>180000</v>
      </c>
      <c r="B27" s="1">
        <v>0</v>
      </c>
      <c r="C27" s="1">
        <v>441000</v>
      </c>
      <c r="D27" s="1">
        <v>2</v>
      </c>
    </row>
    <row r="28" spans="1:4" x14ac:dyDescent="0.2">
      <c r="A28" s="1">
        <v>180000</v>
      </c>
      <c r="B28" s="1">
        <v>0</v>
      </c>
      <c r="C28" s="1">
        <v>441000</v>
      </c>
      <c r="D28" s="1">
        <v>0</v>
      </c>
    </row>
    <row r="29" spans="1:4" x14ac:dyDescent="0.2">
      <c r="A29" s="1">
        <v>180000</v>
      </c>
      <c r="B29" s="1">
        <v>1</v>
      </c>
      <c r="C29" s="1">
        <v>441000</v>
      </c>
      <c r="D29" s="1">
        <v>1</v>
      </c>
    </row>
    <row r="30" spans="1:4" x14ac:dyDescent="0.2">
      <c r="A30" s="1">
        <v>200000</v>
      </c>
      <c r="B30" s="1">
        <v>1</v>
      </c>
      <c r="C30" s="1">
        <v>490000</v>
      </c>
      <c r="D30" s="1">
        <v>1</v>
      </c>
    </row>
    <row r="31" spans="1:4" x14ac:dyDescent="0.2">
      <c r="A31" s="1">
        <v>200000</v>
      </c>
      <c r="B31" s="1">
        <v>0</v>
      </c>
      <c r="C31" s="1">
        <v>490000</v>
      </c>
      <c r="D31" s="1"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37"/>
  <dimension ref="D1:AR49"/>
  <sheetViews>
    <sheetView workbookViewId="0"/>
  </sheetViews>
  <sheetFormatPr defaultRowHeight="12.75" x14ac:dyDescent="0.2"/>
  <sheetData>
    <row r="1" spans="4:44" x14ac:dyDescent="0.2">
      <c r="D1" s="1">
        <v>5462.8</v>
      </c>
      <c r="E1" s="1">
        <v>376</v>
      </c>
      <c r="G1" s="1">
        <v>1072000</v>
      </c>
      <c r="H1" s="1">
        <v>356</v>
      </c>
      <c r="J1" s="1">
        <v>1072000</v>
      </c>
      <c r="K1" s="1">
        <v>471</v>
      </c>
      <c r="M1" s="1">
        <v>376</v>
      </c>
      <c r="N1" s="1">
        <v>5462.8</v>
      </c>
      <c r="S1" s="1">
        <v>1004000</v>
      </c>
      <c r="T1" s="1">
        <v>5462.8</v>
      </c>
      <c r="V1" s="1">
        <v>978000</v>
      </c>
      <c r="W1" s="1">
        <v>5462.8</v>
      </c>
      <c r="Y1" s="1">
        <v>356</v>
      </c>
      <c r="Z1" s="1">
        <v>1072000</v>
      </c>
      <c r="AB1" s="1">
        <v>5462.8</v>
      </c>
      <c r="AC1" s="1">
        <v>1004000</v>
      </c>
      <c r="AH1" s="1">
        <v>1072000</v>
      </c>
      <c r="AI1" s="1">
        <v>1020100</v>
      </c>
      <c r="AK1" s="1">
        <v>471</v>
      </c>
      <c r="AL1" s="1">
        <v>1072000</v>
      </c>
      <c r="AN1" s="1">
        <v>5462.8</v>
      </c>
      <c r="AO1" s="1">
        <v>978000</v>
      </c>
      <c r="AQ1" s="1">
        <v>1020100</v>
      </c>
      <c r="AR1" s="1">
        <v>1072000</v>
      </c>
    </row>
    <row r="2" spans="4:44" x14ac:dyDescent="0.2">
      <c r="D2" s="1">
        <v>12681</v>
      </c>
      <c r="E2" s="1">
        <v>513</v>
      </c>
      <c r="G2" s="1">
        <v>1020100</v>
      </c>
      <c r="H2" s="1">
        <v>471</v>
      </c>
      <c r="J2" s="1">
        <v>1020100</v>
      </c>
      <c r="K2" s="1">
        <v>230</v>
      </c>
      <c r="M2" s="1">
        <v>513</v>
      </c>
      <c r="N2" s="1">
        <v>12681</v>
      </c>
      <c r="S2" s="1">
        <v>1100000</v>
      </c>
      <c r="T2" s="1">
        <v>12681</v>
      </c>
      <c r="V2" s="1">
        <v>1004000</v>
      </c>
      <c r="W2" s="1">
        <v>12681</v>
      </c>
      <c r="Y2" s="1">
        <v>471</v>
      </c>
      <c r="Z2" s="1">
        <v>1020100</v>
      </c>
      <c r="AB2" s="1">
        <v>12681</v>
      </c>
      <c r="AC2" s="1">
        <v>1100000</v>
      </c>
      <c r="AH2" s="1">
        <v>1020100</v>
      </c>
      <c r="AI2" s="1">
        <v>1028600</v>
      </c>
      <c r="AK2" s="1">
        <v>230</v>
      </c>
      <c r="AL2" s="1">
        <v>1020100</v>
      </c>
      <c r="AN2" s="1">
        <v>12681</v>
      </c>
      <c r="AO2" s="1">
        <v>1004000</v>
      </c>
      <c r="AQ2" s="1">
        <v>1028600</v>
      </c>
      <c r="AR2" s="1">
        <v>1020100</v>
      </c>
    </row>
    <row r="3" spans="4:44" x14ac:dyDescent="0.2">
      <c r="D3" s="1">
        <v>6976.5</v>
      </c>
      <c r="E3" s="1">
        <v>1165</v>
      </c>
      <c r="G3" s="1">
        <v>1028600</v>
      </c>
      <c r="H3" s="1">
        <v>230</v>
      </c>
      <c r="J3" s="1">
        <v>1028600</v>
      </c>
      <c r="K3" s="1">
        <v>264</v>
      </c>
      <c r="M3" s="1">
        <v>1165</v>
      </c>
      <c r="N3" s="1">
        <v>6976.5</v>
      </c>
      <c r="S3" s="1">
        <v>1181000</v>
      </c>
      <c r="T3" s="1">
        <v>6976.5</v>
      </c>
      <c r="V3" s="1">
        <v>1100000</v>
      </c>
      <c r="W3" s="1">
        <v>6976.5</v>
      </c>
      <c r="Y3" s="1">
        <v>230</v>
      </c>
      <c r="Z3" s="1">
        <v>1028600</v>
      </c>
      <c r="AB3" s="1">
        <v>6976.5</v>
      </c>
      <c r="AC3" s="1">
        <v>1181000</v>
      </c>
      <c r="AH3" s="1">
        <v>1028600</v>
      </c>
      <c r="AI3" s="1">
        <v>1001500</v>
      </c>
      <c r="AK3" s="1">
        <v>264</v>
      </c>
      <c r="AL3" s="1">
        <v>1028600</v>
      </c>
      <c r="AN3" s="1">
        <v>6976.5</v>
      </c>
      <c r="AO3" s="1">
        <v>1100000</v>
      </c>
      <c r="AQ3" s="1">
        <v>1001500</v>
      </c>
      <c r="AR3" s="1">
        <v>1028600</v>
      </c>
    </row>
    <row r="4" spans="4:44" x14ac:dyDescent="0.2">
      <c r="D4" s="1">
        <v>3456.8</v>
      </c>
      <c r="E4" s="1">
        <v>459</v>
      </c>
      <c r="G4" s="1">
        <v>1001500</v>
      </c>
      <c r="H4" s="1">
        <v>264</v>
      </c>
      <c r="J4" s="1">
        <v>1001500</v>
      </c>
      <c r="K4" s="1">
        <v>212</v>
      </c>
      <c r="M4" s="1">
        <v>459</v>
      </c>
      <c r="N4" s="1">
        <v>3456.8</v>
      </c>
      <c r="S4" s="1">
        <v>1171000</v>
      </c>
      <c r="T4" s="1">
        <v>3456.8</v>
      </c>
      <c r="V4" s="1">
        <v>1181000</v>
      </c>
      <c r="W4" s="1">
        <v>3456.8</v>
      </c>
      <c r="Y4" s="1">
        <v>264</v>
      </c>
      <c r="Z4" s="1">
        <v>1001500</v>
      </c>
      <c r="AB4" s="1">
        <v>3456.8</v>
      </c>
      <c r="AC4" s="1">
        <v>1171000</v>
      </c>
      <c r="AH4" s="1">
        <v>1001500</v>
      </c>
      <c r="AI4" s="1">
        <v>1071500</v>
      </c>
      <c r="AK4" s="1">
        <v>212</v>
      </c>
      <c r="AL4" s="1">
        <v>1001500</v>
      </c>
      <c r="AN4" s="1">
        <v>3456.8</v>
      </c>
      <c r="AO4" s="1">
        <v>1181000</v>
      </c>
      <c r="AQ4" s="1">
        <v>1071500</v>
      </c>
      <c r="AR4" s="1">
        <v>1001500</v>
      </c>
    </row>
    <row r="5" spans="4:44" x14ac:dyDescent="0.2">
      <c r="D5" s="1">
        <v>10036.1</v>
      </c>
      <c r="E5" s="1">
        <v>1104</v>
      </c>
      <c r="G5" s="1">
        <v>1071500</v>
      </c>
      <c r="H5" s="1">
        <v>212</v>
      </c>
      <c r="J5" s="1">
        <v>1071500</v>
      </c>
      <c r="K5" s="1">
        <v>180</v>
      </c>
      <c r="M5" s="1">
        <v>1104</v>
      </c>
      <c r="N5" s="1">
        <v>10036.1</v>
      </c>
      <c r="S5" s="1">
        <v>1265000</v>
      </c>
      <c r="T5" s="1">
        <v>10036.1</v>
      </c>
      <c r="V5" s="1">
        <v>1171000</v>
      </c>
      <c r="W5" s="1">
        <v>10036.1</v>
      </c>
      <c r="Y5" s="1">
        <v>212</v>
      </c>
      <c r="Z5" s="1">
        <v>1071500</v>
      </c>
      <c r="AB5" s="1">
        <v>10036.1</v>
      </c>
      <c r="AC5" s="1">
        <v>1265000</v>
      </c>
      <c r="AH5" s="1">
        <v>1071500</v>
      </c>
      <c r="AI5" s="1">
        <v>1019600</v>
      </c>
      <c r="AK5" s="1">
        <v>180</v>
      </c>
      <c r="AL5" s="1">
        <v>1071500</v>
      </c>
      <c r="AN5" s="1">
        <v>10036.1</v>
      </c>
      <c r="AO5" s="1">
        <v>1171000</v>
      </c>
      <c r="AQ5" s="1">
        <v>1019600</v>
      </c>
      <c r="AR5" s="1">
        <v>1071500</v>
      </c>
    </row>
    <row r="6" spans="4:44" x14ac:dyDescent="0.2">
      <c r="D6" s="1">
        <v>13926.599999999999</v>
      </c>
      <c r="E6" s="1">
        <v>1449</v>
      </c>
      <c r="G6" s="1">
        <v>1019600</v>
      </c>
      <c r="H6" s="1">
        <v>180</v>
      </c>
      <c r="J6" s="1">
        <v>1019600</v>
      </c>
      <c r="K6" s="1">
        <v>400</v>
      </c>
      <c r="M6" s="1">
        <v>1449</v>
      </c>
      <c r="N6" s="1">
        <v>13926.599999999999</v>
      </c>
      <c r="S6" s="1">
        <v>1512000</v>
      </c>
      <c r="T6" s="1">
        <v>13926.599999999999</v>
      </c>
      <c r="V6" s="1">
        <v>1265000</v>
      </c>
      <c r="W6" s="1">
        <v>13926.599999999999</v>
      </c>
      <c r="Y6" s="1">
        <v>180</v>
      </c>
      <c r="Z6" s="1">
        <v>1019600</v>
      </c>
      <c r="AB6" s="1">
        <v>13926.599999999999</v>
      </c>
      <c r="AC6" s="1">
        <v>1512000</v>
      </c>
      <c r="AH6" s="1">
        <v>1019600</v>
      </c>
      <c r="AI6" s="1">
        <v>978000</v>
      </c>
      <c r="AK6" s="1">
        <v>400</v>
      </c>
      <c r="AL6" s="1">
        <v>1019600</v>
      </c>
      <c r="AN6" s="1">
        <v>13926.599999999999</v>
      </c>
      <c r="AO6" s="1">
        <v>1265000</v>
      </c>
      <c r="AQ6" s="1">
        <v>978000</v>
      </c>
      <c r="AR6" s="1">
        <v>1019600</v>
      </c>
    </row>
    <row r="7" spans="4:44" x14ac:dyDescent="0.2">
      <c r="D7" s="1">
        <v>19974.7</v>
      </c>
      <c r="E7" s="1">
        <v>1414</v>
      </c>
      <c r="G7" s="1">
        <v>978000</v>
      </c>
      <c r="H7" s="1">
        <v>400</v>
      </c>
      <c r="J7" s="1">
        <v>978000</v>
      </c>
      <c r="K7" s="1">
        <v>376</v>
      </c>
      <c r="M7" s="1">
        <v>1414</v>
      </c>
      <c r="N7" s="1">
        <v>19974.7</v>
      </c>
      <c r="S7" s="1">
        <v>1746000</v>
      </c>
      <c r="T7" s="1">
        <v>19974.7</v>
      </c>
      <c r="V7" s="1">
        <v>1512000</v>
      </c>
      <c r="W7" s="1">
        <v>19974.7</v>
      </c>
      <c r="Y7" s="1">
        <v>400</v>
      </c>
      <c r="Z7" s="1">
        <v>978000</v>
      </c>
      <c r="AB7" s="1">
        <v>19974.7</v>
      </c>
      <c r="AC7" s="1">
        <v>1746000</v>
      </c>
      <c r="AH7" s="1">
        <v>978000</v>
      </c>
      <c r="AI7" s="1">
        <v>1004000</v>
      </c>
      <c r="AK7" s="1">
        <v>376</v>
      </c>
      <c r="AL7" s="1">
        <v>978000</v>
      </c>
      <c r="AN7" s="1">
        <v>19974.7</v>
      </c>
      <c r="AO7" s="1">
        <v>1512000</v>
      </c>
      <c r="AQ7" s="1">
        <v>1004000</v>
      </c>
      <c r="AR7" s="1">
        <v>978000</v>
      </c>
    </row>
    <row r="8" spans="4:44" x14ac:dyDescent="0.2">
      <c r="D8" s="1">
        <v>46208.2</v>
      </c>
      <c r="E8" s="1">
        <v>1923</v>
      </c>
      <c r="G8" s="1">
        <v>1004000</v>
      </c>
      <c r="H8" s="1">
        <v>376</v>
      </c>
      <c r="J8" s="1">
        <v>1004000</v>
      </c>
      <c r="K8" s="1">
        <v>513</v>
      </c>
      <c r="M8" s="1">
        <v>1923</v>
      </c>
      <c r="N8" s="1">
        <v>46208.2</v>
      </c>
      <c r="S8" s="1">
        <v>1530000</v>
      </c>
      <c r="T8" s="1">
        <v>46208.2</v>
      </c>
      <c r="V8" s="1">
        <v>1746000</v>
      </c>
      <c r="W8" s="1">
        <v>46208.2</v>
      </c>
      <c r="Y8" s="1">
        <v>376</v>
      </c>
      <c r="Z8" s="1">
        <v>1004000</v>
      </c>
      <c r="AB8" s="1">
        <v>46208.2</v>
      </c>
      <c r="AC8" s="1">
        <v>1530000</v>
      </c>
      <c r="AH8" s="1">
        <v>1004000</v>
      </c>
      <c r="AI8" s="1">
        <v>1100000</v>
      </c>
      <c r="AK8" s="1">
        <v>513</v>
      </c>
      <c r="AL8" s="1">
        <v>1004000</v>
      </c>
      <c r="AN8" s="1">
        <v>46208.2</v>
      </c>
      <c r="AO8" s="1">
        <v>1746000</v>
      </c>
      <c r="AQ8" s="1">
        <v>1100000</v>
      </c>
      <c r="AR8" s="1">
        <v>1004000</v>
      </c>
    </row>
    <row r="9" spans="4:44" x14ac:dyDescent="0.2">
      <c r="D9" s="1">
        <v>47395.7</v>
      </c>
      <c r="E9" s="1">
        <v>2146</v>
      </c>
      <c r="G9" s="1">
        <v>1100000</v>
      </c>
      <c r="H9" s="1">
        <v>513</v>
      </c>
      <c r="J9" s="1">
        <v>1100000</v>
      </c>
      <c r="K9" s="1">
        <v>1165</v>
      </c>
      <c r="M9" s="1">
        <v>2146</v>
      </c>
      <c r="N9" s="1">
        <v>47395.7</v>
      </c>
      <c r="S9" s="1">
        <v>1859000</v>
      </c>
      <c r="T9" s="1">
        <v>47395.7</v>
      </c>
      <c r="V9" s="1">
        <v>1530000</v>
      </c>
      <c r="W9" s="1">
        <v>47395.7</v>
      </c>
      <c r="Y9" s="1">
        <v>513</v>
      </c>
      <c r="Z9" s="1">
        <v>1100000</v>
      </c>
      <c r="AB9" s="1">
        <v>47395.7</v>
      </c>
      <c r="AC9" s="1">
        <v>1859000</v>
      </c>
      <c r="AH9" s="1">
        <v>1100000</v>
      </c>
      <c r="AI9" s="1">
        <v>1181000</v>
      </c>
      <c r="AK9" s="1">
        <v>1165</v>
      </c>
      <c r="AL9" s="1">
        <v>1100000</v>
      </c>
      <c r="AN9" s="1">
        <v>47395.7</v>
      </c>
      <c r="AO9" s="1">
        <v>1530000</v>
      </c>
      <c r="AQ9" s="1">
        <v>1181000</v>
      </c>
      <c r="AR9" s="1">
        <v>1100000</v>
      </c>
    </row>
    <row r="10" spans="4:44" x14ac:dyDescent="0.2">
      <c r="D10" s="1">
        <v>2295.5</v>
      </c>
      <c r="E10" s="1">
        <v>402</v>
      </c>
      <c r="G10" s="1">
        <v>1181000</v>
      </c>
      <c r="H10" s="1">
        <v>1165</v>
      </c>
      <c r="J10" s="1">
        <v>1181000</v>
      </c>
      <c r="K10" s="1">
        <v>459</v>
      </c>
      <c r="M10" s="1">
        <v>402</v>
      </c>
      <c r="N10" s="1">
        <v>2295.5</v>
      </c>
      <c r="S10" s="1">
        <v>1703000</v>
      </c>
      <c r="T10" s="1">
        <v>56380.399999999994</v>
      </c>
      <c r="V10" s="1">
        <v>1859000</v>
      </c>
      <c r="W10" s="1">
        <v>2295.5</v>
      </c>
      <c r="Y10" s="1">
        <v>1165</v>
      </c>
      <c r="Z10" s="1">
        <v>1181000</v>
      </c>
      <c r="AB10" s="1">
        <v>56380.399999999994</v>
      </c>
      <c r="AC10" s="1">
        <v>1703000</v>
      </c>
      <c r="AH10" s="1">
        <v>1181000</v>
      </c>
      <c r="AI10" s="1">
        <v>1171000</v>
      </c>
      <c r="AK10" s="1">
        <v>459</v>
      </c>
      <c r="AL10" s="1">
        <v>1181000</v>
      </c>
      <c r="AN10" s="1">
        <v>2295.5</v>
      </c>
      <c r="AO10" s="1">
        <v>1859000</v>
      </c>
      <c r="AQ10" s="1">
        <v>1171000</v>
      </c>
      <c r="AR10" s="1">
        <v>1181000</v>
      </c>
    </row>
    <row r="11" spans="4:44" x14ac:dyDescent="0.2">
      <c r="D11" s="1">
        <v>56380.399999999994</v>
      </c>
      <c r="E11" s="1">
        <v>3642</v>
      </c>
      <c r="G11" s="1">
        <v>1171000</v>
      </c>
      <c r="H11" s="1">
        <v>459</v>
      </c>
      <c r="J11" s="1">
        <v>1171000</v>
      </c>
      <c r="K11" s="1">
        <v>1104</v>
      </c>
      <c r="M11" s="1">
        <v>3642</v>
      </c>
      <c r="N11" s="1">
        <v>56380.399999999994</v>
      </c>
      <c r="S11" s="1">
        <v>1831000</v>
      </c>
      <c r="T11" s="1">
        <v>35505</v>
      </c>
      <c r="V11" s="1">
        <v>1703000</v>
      </c>
      <c r="W11" s="1">
        <v>35505</v>
      </c>
      <c r="Y11" s="1">
        <v>459</v>
      </c>
      <c r="Z11" s="1">
        <v>1171000</v>
      </c>
      <c r="AB11" s="1">
        <v>35505</v>
      </c>
      <c r="AC11" s="1">
        <v>1831000</v>
      </c>
      <c r="AH11" s="1">
        <v>1171000</v>
      </c>
      <c r="AI11" s="1">
        <v>1265000</v>
      </c>
      <c r="AK11" s="1">
        <v>1104</v>
      </c>
      <c r="AL11" s="1">
        <v>1171000</v>
      </c>
      <c r="AN11" s="1">
        <v>35505</v>
      </c>
      <c r="AO11" s="1">
        <v>1703000</v>
      </c>
      <c r="AQ11" s="1">
        <v>1265000</v>
      </c>
      <c r="AR11" s="1">
        <v>1171000</v>
      </c>
    </row>
    <row r="12" spans="4:44" x14ac:dyDescent="0.2">
      <c r="D12" s="1">
        <v>35505</v>
      </c>
      <c r="E12" s="1">
        <v>3506</v>
      </c>
      <c r="G12" s="1">
        <v>1265000</v>
      </c>
      <c r="H12" s="1">
        <v>1104</v>
      </c>
      <c r="J12" s="1">
        <v>1265000</v>
      </c>
      <c r="K12" s="1">
        <v>1449</v>
      </c>
      <c r="M12" s="1">
        <v>3506</v>
      </c>
      <c r="N12" s="1">
        <v>35505</v>
      </c>
      <c r="S12" s="1">
        <v>1726000</v>
      </c>
      <c r="T12" s="1">
        <v>10355.799999999999</v>
      </c>
      <c r="V12" s="1">
        <v>1831000</v>
      </c>
      <c r="W12" s="1">
        <v>10355.799999999999</v>
      </c>
      <c r="Y12" s="1">
        <v>1104</v>
      </c>
      <c r="Z12" s="1">
        <v>1265000</v>
      </c>
      <c r="AB12" s="1">
        <v>10355.799999999999</v>
      </c>
      <c r="AC12" s="1">
        <v>1726000</v>
      </c>
      <c r="AH12" s="1">
        <v>1265000</v>
      </c>
      <c r="AI12" s="1">
        <v>1512000</v>
      </c>
      <c r="AK12" s="1">
        <v>1449</v>
      </c>
      <c r="AL12" s="1">
        <v>1265000</v>
      </c>
      <c r="AN12" s="1">
        <v>10355.799999999999</v>
      </c>
      <c r="AO12" s="1">
        <v>1831000</v>
      </c>
      <c r="AQ12" s="1">
        <v>1512000</v>
      </c>
      <c r="AR12" s="1">
        <v>1265000</v>
      </c>
    </row>
    <row r="13" spans="4:44" x14ac:dyDescent="0.2">
      <c r="D13" s="1">
        <v>10355.799999999999</v>
      </c>
      <c r="E13" s="1">
        <v>1974</v>
      </c>
      <c r="G13" s="1">
        <v>1512000</v>
      </c>
      <c r="H13" s="1">
        <v>1449</v>
      </c>
      <c r="J13" s="1">
        <v>1512000</v>
      </c>
      <c r="K13" s="1">
        <v>1414</v>
      </c>
      <c r="M13" s="1">
        <v>1974</v>
      </c>
      <c r="N13" s="1">
        <v>10355.799999999999</v>
      </c>
      <c r="S13" s="1">
        <v>1818000</v>
      </c>
      <c r="T13" s="1">
        <v>54619.899999999994</v>
      </c>
      <c r="V13" s="1">
        <v>1726000</v>
      </c>
      <c r="W13" s="1">
        <v>54619.899999999994</v>
      </c>
      <c r="Y13" s="1">
        <v>1449</v>
      </c>
      <c r="Z13" s="1">
        <v>1512000</v>
      </c>
      <c r="AB13" s="1">
        <v>54619.899999999994</v>
      </c>
      <c r="AC13" s="1">
        <v>1818000</v>
      </c>
      <c r="AH13" s="1">
        <v>1512000</v>
      </c>
      <c r="AI13" s="1">
        <v>1746000</v>
      </c>
      <c r="AK13" s="1">
        <v>1414</v>
      </c>
      <c r="AL13" s="1">
        <v>1512000</v>
      </c>
      <c r="AN13" s="1">
        <v>54619.899999999994</v>
      </c>
      <c r="AO13" s="1">
        <v>1726000</v>
      </c>
      <c r="AQ13" s="1">
        <v>1746000</v>
      </c>
      <c r="AR13" s="1">
        <v>1512000</v>
      </c>
    </row>
    <row r="14" spans="4:44" x14ac:dyDescent="0.2">
      <c r="D14" s="1">
        <v>54619.899999999994</v>
      </c>
      <c r="E14" s="1">
        <v>5086</v>
      </c>
      <c r="G14" s="1">
        <v>1746000</v>
      </c>
      <c r="H14" s="1">
        <v>1414</v>
      </c>
      <c r="J14" s="1">
        <v>1746000</v>
      </c>
      <c r="K14" s="1">
        <v>1923</v>
      </c>
      <c r="M14" s="1">
        <v>5086</v>
      </c>
      <c r="N14" s="1">
        <v>54619.899999999994</v>
      </c>
      <c r="S14" s="1">
        <v>1778000</v>
      </c>
      <c r="T14" s="1">
        <v>16211.8</v>
      </c>
      <c r="V14" s="1">
        <v>1818000</v>
      </c>
      <c r="W14" s="1">
        <v>16211.8</v>
      </c>
      <c r="Y14" s="1">
        <v>1414</v>
      </c>
      <c r="Z14" s="1">
        <v>1746000</v>
      </c>
      <c r="AB14" s="1">
        <v>16211.8</v>
      </c>
      <c r="AC14" s="1">
        <v>1778000</v>
      </c>
      <c r="AH14" s="1">
        <v>1746000</v>
      </c>
      <c r="AI14" s="1">
        <v>1530000</v>
      </c>
      <c r="AK14" s="1">
        <v>1923</v>
      </c>
      <c r="AL14" s="1">
        <v>1746000</v>
      </c>
      <c r="AN14" s="1">
        <v>16211.8</v>
      </c>
      <c r="AO14" s="1">
        <v>1818000</v>
      </c>
      <c r="AQ14" s="1">
        <v>1530000</v>
      </c>
      <c r="AR14" s="1">
        <v>1746000</v>
      </c>
    </row>
    <row r="15" spans="4:44" x14ac:dyDescent="0.2">
      <c r="D15" s="1">
        <v>16211.8</v>
      </c>
      <c r="E15" s="1">
        <v>2394</v>
      </c>
      <c r="G15" s="1">
        <v>1530000</v>
      </c>
      <c r="H15" s="1">
        <v>1923</v>
      </c>
      <c r="J15" s="1">
        <v>1530000</v>
      </c>
      <c r="K15" s="1">
        <v>2146</v>
      </c>
      <c r="M15" s="1">
        <v>2394</v>
      </c>
      <c r="N15" s="1">
        <v>16211.8</v>
      </c>
      <c r="S15" s="1">
        <v>2576000</v>
      </c>
      <c r="T15" s="1">
        <v>2530.5</v>
      </c>
      <c r="V15" s="1">
        <v>1778000</v>
      </c>
      <c r="W15" s="1">
        <v>2530.5</v>
      </c>
      <c r="Y15" s="1">
        <v>1923</v>
      </c>
      <c r="Z15" s="1">
        <v>1530000</v>
      </c>
      <c r="AB15" s="1">
        <v>2530.5</v>
      </c>
      <c r="AC15" s="1">
        <v>2576000</v>
      </c>
      <c r="AH15" s="1">
        <v>1530000</v>
      </c>
      <c r="AI15" s="1">
        <v>1859000</v>
      </c>
      <c r="AK15" s="1">
        <v>2146</v>
      </c>
      <c r="AL15" s="1">
        <v>1530000</v>
      </c>
      <c r="AN15" s="1">
        <v>2530.5</v>
      </c>
      <c r="AO15" s="1">
        <v>1778000</v>
      </c>
      <c r="AQ15" s="1">
        <v>1859000</v>
      </c>
      <c r="AR15" s="1">
        <v>1530000</v>
      </c>
    </row>
    <row r="16" spans="4:44" x14ac:dyDescent="0.2">
      <c r="D16" s="1">
        <v>2530.5</v>
      </c>
      <c r="E16" s="1">
        <v>841</v>
      </c>
      <c r="G16" s="1">
        <v>1859000</v>
      </c>
      <c r="H16" s="1">
        <v>2146</v>
      </c>
      <c r="J16" s="1">
        <v>1859000</v>
      </c>
      <c r="K16" s="1">
        <v>402</v>
      </c>
      <c r="M16" s="1">
        <v>841</v>
      </c>
      <c r="N16" s="1">
        <v>2530.5</v>
      </c>
      <c r="S16" s="1">
        <v>2778667</v>
      </c>
      <c r="T16" s="1">
        <v>16900.199999999997</v>
      </c>
      <c r="V16" s="1">
        <v>2576000</v>
      </c>
      <c r="W16" s="1">
        <v>16900.199999999997</v>
      </c>
      <c r="Y16" s="1">
        <v>2146</v>
      </c>
      <c r="Z16" s="1">
        <v>1859000</v>
      </c>
      <c r="AB16" s="1">
        <v>16900.199999999997</v>
      </c>
      <c r="AC16" s="1">
        <v>2778667</v>
      </c>
      <c r="AH16" s="1">
        <v>1703000</v>
      </c>
      <c r="AI16" s="1">
        <v>1831000</v>
      </c>
      <c r="AK16" s="1">
        <v>402</v>
      </c>
      <c r="AL16" s="1">
        <v>1859000</v>
      </c>
      <c r="AN16" s="1">
        <v>16900.199999999997</v>
      </c>
      <c r="AO16" s="1">
        <v>2576000</v>
      </c>
      <c r="AQ16" s="1">
        <v>1831000</v>
      </c>
      <c r="AR16" s="1">
        <v>1703000</v>
      </c>
    </row>
    <row r="17" spans="4:44" x14ac:dyDescent="0.2">
      <c r="D17" s="1">
        <v>16900.199999999997</v>
      </c>
      <c r="E17" s="1">
        <v>2924</v>
      </c>
      <c r="G17" s="1">
        <v>1703000</v>
      </c>
      <c r="H17" s="1">
        <v>3642</v>
      </c>
      <c r="J17" s="1">
        <v>1703000</v>
      </c>
      <c r="K17" s="1">
        <v>3506</v>
      </c>
      <c r="M17" s="1">
        <v>2924</v>
      </c>
      <c r="N17" s="1">
        <v>16900.199999999997</v>
      </c>
      <c r="S17" s="1">
        <v>2647000</v>
      </c>
      <c r="T17" s="1">
        <v>40860.699999999997</v>
      </c>
      <c r="V17" s="1">
        <v>2778667</v>
      </c>
      <c r="W17" s="1">
        <v>40860.699999999997</v>
      </c>
      <c r="Y17" s="1">
        <v>3642</v>
      </c>
      <c r="Z17" s="1">
        <v>1703000</v>
      </c>
      <c r="AB17" s="1">
        <v>40860.699999999997</v>
      </c>
      <c r="AC17" s="1">
        <v>2647000</v>
      </c>
      <c r="AH17" s="1">
        <v>1831000</v>
      </c>
      <c r="AI17" s="1">
        <v>1726000</v>
      </c>
      <c r="AK17" s="1">
        <v>3506</v>
      </c>
      <c r="AL17" s="1">
        <v>1703000</v>
      </c>
      <c r="AN17" s="1">
        <v>40860.699999999997</v>
      </c>
      <c r="AO17" s="1">
        <v>2778667</v>
      </c>
      <c r="AQ17" s="1">
        <v>1726000</v>
      </c>
      <c r="AR17" s="1">
        <v>1831000</v>
      </c>
    </row>
    <row r="18" spans="4:44" x14ac:dyDescent="0.2">
      <c r="D18" s="1">
        <v>40860.699999999997</v>
      </c>
      <c r="E18" s="1">
        <v>4721</v>
      </c>
      <c r="G18" s="1">
        <v>1831000</v>
      </c>
      <c r="H18" s="1">
        <v>3506</v>
      </c>
      <c r="J18" s="1">
        <v>1831000</v>
      </c>
      <c r="K18" s="1">
        <v>1974</v>
      </c>
      <c r="M18" s="1">
        <v>4721</v>
      </c>
      <c r="N18" s="1">
        <v>40860.699999999997</v>
      </c>
      <c r="S18" s="1">
        <v>2974000</v>
      </c>
      <c r="T18" s="1">
        <v>14503.1</v>
      </c>
      <c r="V18" s="1">
        <v>2647000</v>
      </c>
      <c r="W18" s="1">
        <v>14503.1</v>
      </c>
      <c r="Y18" s="1">
        <v>3506</v>
      </c>
      <c r="Z18" s="1">
        <v>1831000</v>
      </c>
      <c r="AB18" s="1">
        <v>14503.1</v>
      </c>
      <c r="AC18" s="1">
        <v>2974000</v>
      </c>
      <c r="AH18" s="1">
        <v>1726000</v>
      </c>
      <c r="AI18" s="1">
        <v>1818000</v>
      </c>
      <c r="AK18" s="1">
        <v>1974</v>
      </c>
      <c r="AL18" s="1">
        <v>1831000</v>
      </c>
      <c r="AN18" s="1">
        <v>14503.1</v>
      </c>
      <c r="AO18" s="1">
        <v>2647000</v>
      </c>
      <c r="AQ18" s="1">
        <v>1818000</v>
      </c>
      <c r="AR18" s="1">
        <v>1726000</v>
      </c>
    </row>
    <row r="19" spans="4:44" x14ac:dyDescent="0.2">
      <c r="D19" s="1">
        <v>14503.1</v>
      </c>
      <c r="E19" s="1">
        <v>2370</v>
      </c>
      <c r="G19" s="1">
        <v>1726000</v>
      </c>
      <c r="H19" s="1">
        <v>1974</v>
      </c>
      <c r="J19" s="1">
        <v>1726000</v>
      </c>
      <c r="K19" s="1">
        <v>5086</v>
      </c>
      <c r="M19" s="1">
        <v>2370</v>
      </c>
      <c r="N19" s="1">
        <v>14503.1</v>
      </c>
      <c r="S19" s="1">
        <v>3299000</v>
      </c>
      <c r="T19" s="1">
        <v>13112.2</v>
      </c>
      <c r="V19" s="1">
        <v>2974000</v>
      </c>
      <c r="W19" s="1">
        <v>22614.1</v>
      </c>
      <c r="Y19" s="1">
        <v>1974</v>
      </c>
      <c r="Z19" s="1">
        <v>1726000</v>
      </c>
      <c r="AB19" s="1">
        <v>13112.2</v>
      </c>
      <c r="AC19" s="1">
        <v>3299000</v>
      </c>
      <c r="AH19" s="1">
        <v>1818000</v>
      </c>
      <c r="AI19" s="1">
        <v>1778000</v>
      </c>
      <c r="AK19" s="1">
        <v>5086</v>
      </c>
      <c r="AL19" s="1">
        <v>1726000</v>
      </c>
      <c r="AN19" s="1">
        <v>22614.1</v>
      </c>
      <c r="AO19" s="1">
        <v>2974000</v>
      </c>
      <c r="AQ19" s="1">
        <v>1778000</v>
      </c>
      <c r="AR19" s="1">
        <v>1818000</v>
      </c>
    </row>
    <row r="20" spans="4:44" x14ac:dyDescent="0.2">
      <c r="D20" s="1">
        <v>22614.1</v>
      </c>
      <c r="E20" s="1">
        <v>3900</v>
      </c>
      <c r="G20" s="1">
        <v>1818000</v>
      </c>
      <c r="H20" s="1">
        <v>5086</v>
      </c>
      <c r="J20" s="1">
        <v>1818000</v>
      </c>
      <c r="K20" s="1">
        <v>2394</v>
      </c>
      <c r="M20" s="1">
        <v>3900</v>
      </c>
      <c r="N20" s="1">
        <v>22614.1</v>
      </c>
      <c r="S20" s="1">
        <v>4679959</v>
      </c>
      <c r="T20" s="1">
        <v>85108.7</v>
      </c>
      <c r="V20" s="1">
        <v>3299000</v>
      </c>
      <c r="W20" s="1">
        <v>85108.7</v>
      </c>
      <c r="Y20" s="1">
        <v>5086</v>
      </c>
      <c r="Z20" s="1">
        <v>1818000</v>
      </c>
      <c r="AB20" s="1">
        <v>85108.7</v>
      </c>
      <c r="AC20" s="1">
        <v>4679959</v>
      </c>
      <c r="AH20" s="1">
        <v>1778000</v>
      </c>
      <c r="AI20" s="1">
        <v>2576000</v>
      </c>
      <c r="AK20" s="1">
        <v>2394</v>
      </c>
      <c r="AL20" s="1">
        <v>1818000</v>
      </c>
      <c r="AN20" s="1">
        <v>85108.7</v>
      </c>
      <c r="AO20" s="1">
        <v>3299000</v>
      </c>
      <c r="AQ20" s="1">
        <v>2576000</v>
      </c>
      <c r="AR20" s="1">
        <v>1778000</v>
      </c>
    </row>
    <row r="21" spans="4:44" x14ac:dyDescent="0.2">
      <c r="D21" s="1">
        <v>13112.2</v>
      </c>
      <c r="E21" s="1">
        <v>3895</v>
      </c>
      <c r="G21" s="1">
        <v>1778000</v>
      </c>
      <c r="H21" s="1">
        <v>2394</v>
      </c>
      <c r="J21" s="1">
        <v>1778000</v>
      </c>
      <c r="K21" s="1">
        <v>841</v>
      </c>
      <c r="M21" s="1">
        <v>3895</v>
      </c>
      <c r="N21" s="1">
        <v>13112.2</v>
      </c>
      <c r="S21" s="1">
        <v>6157494</v>
      </c>
      <c r="T21" s="1">
        <v>18740.8</v>
      </c>
      <c r="V21" s="1">
        <v>4679959</v>
      </c>
      <c r="W21" s="1">
        <v>18740.8</v>
      </c>
      <c r="Y21" s="1">
        <v>2394</v>
      </c>
      <c r="Z21" s="1">
        <v>1778000</v>
      </c>
      <c r="AB21" s="1">
        <v>18740.8</v>
      </c>
      <c r="AC21" s="1">
        <v>6157494</v>
      </c>
      <c r="AH21" s="1">
        <v>2576000</v>
      </c>
      <c r="AI21" s="1">
        <v>2778667</v>
      </c>
      <c r="AK21" s="1">
        <v>841</v>
      </c>
      <c r="AL21" s="1">
        <v>1778000</v>
      </c>
      <c r="AN21" s="1">
        <v>18740.8</v>
      </c>
      <c r="AO21" s="1">
        <v>4679959</v>
      </c>
      <c r="AQ21" s="1">
        <v>2778667</v>
      </c>
      <c r="AR21" s="1">
        <v>2576000</v>
      </c>
    </row>
    <row r="22" spans="4:44" x14ac:dyDescent="0.2">
      <c r="D22" s="1">
        <v>85108.7</v>
      </c>
      <c r="E22" s="1">
        <v>8243</v>
      </c>
      <c r="G22" s="1">
        <v>2576000</v>
      </c>
      <c r="H22" s="1">
        <v>841</v>
      </c>
      <c r="J22" s="1">
        <v>2576000</v>
      </c>
      <c r="K22" s="1">
        <v>2924</v>
      </c>
      <c r="M22" s="1">
        <v>8243</v>
      </c>
      <c r="N22" s="1">
        <v>85108.7</v>
      </c>
      <c r="S22" s="1">
        <v>5812414</v>
      </c>
      <c r="T22" s="1">
        <v>2488.5</v>
      </c>
      <c r="V22" s="1">
        <v>6157494</v>
      </c>
      <c r="W22" s="1">
        <v>2488.5</v>
      </c>
      <c r="Y22" s="1">
        <v>841</v>
      </c>
      <c r="Z22" s="1">
        <v>2576000</v>
      </c>
      <c r="AB22" s="1">
        <v>2488.5</v>
      </c>
      <c r="AC22" s="1">
        <v>5812414</v>
      </c>
      <c r="AH22" s="1">
        <v>2778667</v>
      </c>
      <c r="AI22" s="1">
        <v>2647000</v>
      </c>
      <c r="AK22" s="1">
        <v>2924</v>
      </c>
      <c r="AL22" s="1">
        <v>2576000</v>
      </c>
      <c r="AN22" s="1">
        <v>2488.5</v>
      </c>
      <c r="AO22" s="1">
        <v>6157494</v>
      </c>
      <c r="AQ22" s="1">
        <v>2647000</v>
      </c>
      <c r="AR22" s="1">
        <v>2778667</v>
      </c>
    </row>
    <row r="23" spans="4:44" x14ac:dyDescent="0.2">
      <c r="D23" s="1">
        <v>18740.8</v>
      </c>
      <c r="E23" s="1">
        <v>4045</v>
      </c>
      <c r="G23" s="1">
        <v>2778667</v>
      </c>
      <c r="H23" s="1">
        <v>2924</v>
      </c>
      <c r="J23" s="1">
        <v>2778667</v>
      </c>
      <c r="K23" s="1">
        <v>4721</v>
      </c>
      <c r="M23" s="1">
        <v>4045</v>
      </c>
      <c r="N23" s="1">
        <v>18740.8</v>
      </c>
      <c r="S23" s="1">
        <v>5174769</v>
      </c>
      <c r="T23" s="1">
        <v>2586</v>
      </c>
      <c r="V23" s="1">
        <v>5812414</v>
      </c>
      <c r="W23" s="1">
        <v>2586</v>
      </c>
      <c r="Y23" s="1">
        <v>2924</v>
      </c>
      <c r="Z23" s="1">
        <v>2778667</v>
      </c>
      <c r="AB23" s="1">
        <v>2586</v>
      </c>
      <c r="AC23" s="1">
        <v>5174769</v>
      </c>
      <c r="AH23" s="1">
        <v>2647000</v>
      </c>
      <c r="AI23" s="1">
        <v>2974000</v>
      </c>
      <c r="AK23" s="1">
        <v>4721</v>
      </c>
      <c r="AL23" s="1">
        <v>2778667</v>
      </c>
      <c r="AN23" s="1">
        <v>2586</v>
      </c>
      <c r="AO23" s="1">
        <v>5812414</v>
      </c>
      <c r="AQ23" s="1">
        <v>2974000</v>
      </c>
      <c r="AR23" s="1">
        <v>2647000</v>
      </c>
    </row>
    <row r="24" spans="4:44" x14ac:dyDescent="0.2">
      <c r="D24" s="1">
        <v>2488.5</v>
      </c>
      <c r="E24" s="1">
        <v>4717</v>
      </c>
      <c r="G24" s="1">
        <v>2647000</v>
      </c>
      <c r="H24" s="1">
        <v>4721</v>
      </c>
      <c r="J24" s="1">
        <v>2647000</v>
      </c>
      <c r="K24" s="1">
        <v>2370</v>
      </c>
      <c r="M24" s="1">
        <v>4717</v>
      </c>
      <c r="N24" s="1">
        <v>2488.5</v>
      </c>
      <c r="S24" s="1">
        <v>5167265</v>
      </c>
      <c r="T24" s="1">
        <v>1306.0999999999999</v>
      </c>
      <c r="V24" s="1">
        <v>5174769</v>
      </c>
      <c r="W24" s="1">
        <v>1306.0999999999999</v>
      </c>
      <c r="Y24" s="1">
        <v>4721</v>
      </c>
      <c r="Z24" s="1">
        <v>2647000</v>
      </c>
      <c r="AB24" s="1">
        <v>1306.0999999999999</v>
      </c>
      <c r="AC24" s="1">
        <v>5167265</v>
      </c>
      <c r="AH24" s="1">
        <v>3299000</v>
      </c>
      <c r="AI24" s="1">
        <v>4679959</v>
      </c>
      <c r="AK24" s="1">
        <v>2370</v>
      </c>
      <c r="AL24" s="1">
        <v>2647000</v>
      </c>
      <c r="AN24" s="1">
        <v>1306.0999999999999</v>
      </c>
      <c r="AO24" s="1">
        <v>5174769</v>
      </c>
      <c r="AQ24" s="1">
        <v>4679959</v>
      </c>
      <c r="AR24" s="1">
        <v>3299000</v>
      </c>
    </row>
    <row r="25" spans="4:44" x14ac:dyDescent="0.2">
      <c r="D25" s="1">
        <v>2586</v>
      </c>
      <c r="E25" s="1">
        <v>8145</v>
      </c>
      <c r="G25" s="1">
        <v>2974000</v>
      </c>
      <c r="H25" s="1">
        <v>2370</v>
      </c>
      <c r="J25" s="1">
        <v>2974000</v>
      </c>
      <c r="K25" s="1">
        <v>3900</v>
      </c>
      <c r="M25" s="1">
        <v>8145</v>
      </c>
      <c r="N25" s="1">
        <v>2586</v>
      </c>
      <c r="S25" s="1">
        <v>4356245</v>
      </c>
      <c r="T25" s="1">
        <v>1732.1</v>
      </c>
      <c r="V25" s="1">
        <v>5167265</v>
      </c>
      <c r="W25" s="1">
        <v>1732.1</v>
      </c>
      <c r="Y25" s="1">
        <v>2370</v>
      </c>
      <c r="Z25" s="1">
        <v>2974000</v>
      </c>
      <c r="AB25" s="1">
        <v>1732.1</v>
      </c>
      <c r="AC25" s="1">
        <v>4356245</v>
      </c>
      <c r="AH25" s="1">
        <v>4679959</v>
      </c>
      <c r="AI25" s="1">
        <v>6157494</v>
      </c>
      <c r="AK25" s="1">
        <v>3900</v>
      </c>
      <c r="AL25" s="1">
        <v>2974000</v>
      </c>
      <c r="AN25" s="1">
        <v>1732.1</v>
      </c>
      <c r="AO25" s="1">
        <v>5167265</v>
      </c>
      <c r="AQ25" s="1">
        <v>6157494</v>
      </c>
      <c r="AR25" s="1">
        <v>4679959</v>
      </c>
    </row>
    <row r="26" spans="4:44" x14ac:dyDescent="0.2">
      <c r="D26" s="1">
        <v>1306.0999999999999</v>
      </c>
      <c r="E26" s="1">
        <v>6339</v>
      </c>
      <c r="G26" s="1">
        <v>3299000</v>
      </c>
      <c r="H26" s="1">
        <v>3895</v>
      </c>
      <c r="J26" s="1">
        <v>3299000</v>
      </c>
      <c r="K26" s="1">
        <v>8243</v>
      </c>
      <c r="M26" s="1">
        <v>6339</v>
      </c>
      <c r="N26" s="1">
        <v>1306.0999999999999</v>
      </c>
      <c r="S26" s="1">
        <v>5585120</v>
      </c>
      <c r="T26" s="1">
        <v>11876.6</v>
      </c>
      <c r="V26" s="1">
        <v>4356245</v>
      </c>
      <c r="W26" s="1">
        <v>11876.6</v>
      </c>
      <c r="Y26" s="1">
        <v>3895</v>
      </c>
      <c r="Z26" s="1">
        <v>3299000</v>
      </c>
      <c r="AB26" s="1">
        <v>11876.6</v>
      </c>
      <c r="AC26" s="1">
        <v>5585120</v>
      </c>
      <c r="AH26" s="1">
        <v>6157494</v>
      </c>
      <c r="AI26" s="1">
        <v>5812414</v>
      </c>
      <c r="AK26" s="1">
        <v>8243</v>
      </c>
      <c r="AL26" s="1">
        <v>3299000</v>
      </c>
      <c r="AN26" s="1">
        <v>11876.6</v>
      </c>
      <c r="AO26" s="1">
        <v>4356245</v>
      </c>
      <c r="AQ26" s="1">
        <v>5812414</v>
      </c>
      <c r="AR26" s="1">
        <v>6157494</v>
      </c>
    </row>
    <row r="27" spans="4:44" x14ac:dyDescent="0.2">
      <c r="D27" s="1">
        <v>1732.1</v>
      </c>
      <c r="E27" s="1">
        <v>8480</v>
      </c>
      <c r="G27" s="1">
        <v>4679959</v>
      </c>
      <c r="H27" s="1">
        <v>8243</v>
      </c>
      <c r="J27" s="1">
        <v>4679959</v>
      </c>
      <c r="K27" s="1">
        <v>4045</v>
      </c>
      <c r="M27" s="1">
        <v>8480</v>
      </c>
      <c r="N27" s="1">
        <v>1732.1</v>
      </c>
      <c r="S27" s="1">
        <v>5835684</v>
      </c>
      <c r="T27" s="1">
        <v>3469.2999999999997</v>
      </c>
      <c r="V27" s="1">
        <v>5585120</v>
      </c>
      <c r="W27" s="1">
        <v>3469.2999999999997</v>
      </c>
      <c r="Y27" s="1">
        <v>8243</v>
      </c>
      <c r="Z27" s="1">
        <v>4679959</v>
      </c>
      <c r="AB27" s="1">
        <v>3469.2999999999997</v>
      </c>
      <c r="AC27" s="1">
        <v>5835684</v>
      </c>
      <c r="AH27" s="1">
        <v>5812414</v>
      </c>
      <c r="AI27" s="1">
        <v>5174769</v>
      </c>
      <c r="AK27" s="1">
        <v>4045</v>
      </c>
      <c r="AL27" s="1">
        <v>4679959</v>
      </c>
      <c r="AN27" s="1">
        <v>3469.2999999999997</v>
      </c>
      <c r="AO27" s="1">
        <v>5585120</v>
      </c>
      <c r="AQ27" s="1">
        <v>5174769</v>
      </c>
      <c r="AR27" s="1">
        <v>5812414</v>
      </c>
    </row>
    <row r="28" spans="4:44" x14ac:dyDescent="0.2">
      <c r="D28" s="1">
        <v>11876.6</v>
      </c>
      <c r="E28" s="1">
        <v>15253</v>
      </c>
      <c r="G28" s="1">
        <v>6157494</v>
      </c>
      <c r="H28" s="1">
        <v>4045</v>
      </c>
      <c r="J28" s="1">
        <v>6157494</v>
      </c>
      <c r="K28" s="1">
        <v>4717</v>
      </c>
      <c r="M28" s="1">
        <v>15253</v>
      </c>
      <c r="N28" s="1">
        <v>11876.6</v>
      </c>
      <c r="S28" s="1">
        <v>5838288</v>
      </c>
      <c r="T28" s="1">
        <v>11093.560000000001</v>
      </c>
      <c r="V28" s="1">
        <v>5835684</v>
      </c>
      <c r="W28" s="1">
        <v>5586.85</v>
      </c>
      <c r="Y28" s="1">
        <v>4045</v>
      </c>
      <c r="Z28" s="1">
        <v>6157494</v>
      </c>
      <c r="AB28" s="1">
        <v>11093.560000000001</v>
      </c>
      <c r="AC28" s="1">
        <v>5838288</v>
      </c>
      <c r="AH28" s="1">
        <v>5174769</v>
      </c>
      <c r="AI28" s="1">
        <v>5167265</v>
      </c>
      <c r="AK28" s="1">
        <v>4717</v>
      </c>
      <c r="AL28" s="1">
        <v>6157494</v>
      </c>
      <c r="AN28" s="1">
        <v>5586.85</v>
      </c>
      <c r="AO28" s="1">
        <v>5835684</v>
      </c>
      <c r="AQ28" s="1">
        <v>5167265</v>
      </c>
      <c r="AR28" s="1">
        <v>5174769</v>
      </c>
    </row>
    <row r="29" spans="4:44" x14ac:dyDescent="0.2">
      <c r="D29" s="1">
        <v>3469.2999999999997</v>
      </c>
      <c r="E29" s="1">
        <v>10261</v>
      </c>
      <c r="G29" s="1">
        <v>5812414</v>
      </c>
      <c r="H29" s="1">
        <v>4717</v>
      </c>
      <c r="J29" s="1">
        <v>5812414</v>
      </c>
      <c r="K29" s="1">
        <v>8145</v>
      </c>
      <c r="M29" s="1">
        <v>10261</v>
      </c>
      <c r="N29" s="1">
        <v>3469.2999999999997</v>
      </c>
      <c r="S29" s="1">
        <v>5914185</v>
      </c>
      <c r="T29" s="1">
        <v>2461.41</v>
      </c>
      <c r="V29" s="1">
        <v>5838288</v>
      </c>
      <c r="W29" s="1">
        <v>2461.41</v>
      </c>
      <c r="Y29" s="1">
        <v>4717</v>
      </c>
      <c r="Z29" s="1">
        <v>5812414</v>
      </c>
      <c r="AB29" s="1">
        <v>2461.41</v>
      </c>
      <c r="AC29" s="1">
        <v>5914185</v>
      </c>
      <c r="AH29" s="1">
        <v>5167265</v>
      </c>
      <c r="AI29" s="1">
        <v>4356245</v>
      </c>
      <c r="AK29" s="1">
        <v>8145</v>
      </c>
      <c r="AL29" s="1">
        <v>5812414</v>
      </c>
      <c r="AN29" s="1">
        <v>2461.41</v>
      </c>
      <c r="AO29" s="1">
        <v>5838288</v>
      </c>
      <c r="AQ29" s="1">
        <v>4356245</v>
      </c>
      <c r="AR29" s="1">
        <v>5167265</v>
      </c>
    </row>
    <row r="30" spans="4:44" x14ac:dyDescent="0.2">
      <c r="D30" s="1">
        <v>5586.85</v>
      </c>
      <c r="E30" s="1">
        <v>14317</v>
      </c>
      <c r="G30" s="1">
        <v>5174769</v>
      </c>
      <c r="H30" s="1">
        <v>8145</v>
      </c>
      <c r="J30" s="1">
        <v>5174769</v>
      </c>
      <c r="K30" s="1">
        <v>6339</v>
      </c>
      <c r="M30" s="1">
        <v>14317</v>
      </c>
      <c r="N30" s="1">
        <v>5586.85</v>
      </c>
      <c r="S30" s="1">
        <v>5733493</v>
      </c>
      <c r="T30" s="1">
        <v>10138.380000000001</v>
      </c>
      <c r="V30" s="1">
        <v>5914185</v>
      </c>
      <c r="W30" s="1">
        <v>10138.380000000001</v>
      </c>
      <c r="Y30" s="1">
        <v>8145</v>
      </c>
      <c r="Z30" s="1">
        <v>5174769</v>
      </c>
      <c r="AB30" s="1">
        <v>10138.380000000001</v>
      </c>
      <c r="AC30" s="1">
        <v>5733493</v>
      </c>
      <c r="AH30" s="1">
        <v>4356245</v>
      </c>
      <c r="AI30" s="1">
        <v>5585120</v>
      </c>
      <c r="AK30" s="1">
        <v>6339</v>
      </c>
      <c r="AL30" s="1">
        <v>5174769</v>
      </c>
      <c r="AN30" s="1">
        <v>10138.380000000001</v>
      </c>
      <c r="AO30" s="1">
        <v>5914185</v>
      </c>
      <c r="AQ30" s="1">
        <v>5585120</v>
      </c>
      <c r="AR30" s="1">
        <v>4356245</v>
      </c>
    </row>
    <row r="31" spans="4:44" x14ac:dyDescent="0.2">
      <c r="D31" s="1">
        <v>11093.560000000001</v>
      </c>
      <c r="E31" s="1">
        <v>13196</v>
      </c>
      <c r="G31" s="1">
        <v>5167265</v>
      </c>
      <c r="H31" s="1">
        <v>6339</v>
      </c>
      <c r="J31" s="1">
        <v>5167265</v>
      </c>
      <c r="K31" s="1">
        <v>8480</v>
      </c>
      <c r="M31" s="1">
        <v>13196</v>
      </c>
      <c r="N31" s="1">
        <v>11093.560000000001</v>
      </c>
      <c r="S31" s="1">
        <v>5196064</v>
      </c>
      <c r="T31" s="1">
        <v>4023.2700000000004</v>
      </c>
      <c r="V31" s="1">
        <v>5733493</v>
      </c>
      <c r="W31" s="1">
        <v>4023.2700000000004</v>
      </c>
      <c r="Y31" s="1">
        <v>6339</v>
      </c>
      <c r="Z31" s="1">
        <v>5167265</v>
      </c>
      <c r="AB31" s="1">
        <v>4023.2700000000004</v>
      </c>
      <c r="AC31" s="1">
        <v>5196064</v>
      </c>
      <c r="AH31" s="1">
        <v>5585120</v>
      </c>
      <c r="AI31" s="1">
        <v>5835684</v>
      </c>
      <c r="AK31" s="1">
        <v>8480</v>
      </c>
      <c r="AL31" s="1">
        <v>5167265</v>
      </c>
      <c r="AN31" s="1">
        <v>4023.2700000000004</v>
      </c>
      <c r="AO31" s="1">
        <v>5733493</v>
      </c>
      <c r="AQ31" s="1">
        <v>5835684</v>
      </c>
      <c r="AR31" s="1">
        <v>5585120</v>
      </c>
    </row>
    <row r="32" spans="4:44" x14ac:dyDescent="0.2">
      <c r="D32" s="1">
        <v>2461.41</v>
      </c>
      <c r="E32" s="1">
        <v>8593</v>
      </c>
      <c r="G32" s="1">
        <v>4356245</v>
      </c>
      <c r="H32" s="1">
        <v>8480</v>
      </c>
      <c r="J32" s="1">
        <v>4356245</v>
      </c>
      <c r="K32" s="1">
        <v>15253</v>
      </c>
      <c r="M32" s="1">
        <v>8593</v>
      </c>
      <c r="N32" s="1">
        <v>2461.41</v>
      </c>
      <c r="S32" s="1">
        <v>4910067</v>
      </c>
      <c r="T32" s="1">
        <v>7378.41</v>
      </c>
      <c r="V32" s="1">
        <v>5196064</v>
      </c>
      <c r="W32" s="1">
        <v>7378.41</v>
      </c>
      <c r="Y32" s="1">
        <v>8480</v>
      </c>
      <c r="Z32" s="1">
        <v>4356245</v>
      </c>
      <c r="AB32" s="1">
        <v>7378.41</v>
      </c>
      <c r="AC32" s="1">
        <v>4910067</v>
      </c>
      <c r="AH32" s="1">
        <v>5838288</v>
      </c>
      <c r="AI32" s="1">
        <v>5914185</v>
      </c>
      <c r="AK32" s="1">
        <v>15253</v>
      </c>
      <c r="AL32" s="1">
        <v>4356245</v>
      </c>
      <c r="AN32" s="1">
        <v>7378.41</v>
      </c>
      <c r="AO32" s="1">
        <v>5196064</v>
      </c>
      <c r="AQ32" s="1">
        <v>5914185</v>
      </c>
      <c r="AR32" s="1">
        <v>5838288</v>
      </c>
    </row>
    <row r="33" spans="4:44" x14ac:dyDescent="0.2">
      <c r="D33" s="1">
        <v>10138.380000000001</v>
      </c>
      <c r="E33" s="1">
        <v>12589</v>
      </c>
      <c r="G33" s="1">
        <v>5585120</v>
      </c>
      <c r="H33" s="1">
        <v>15253</v>
      </c>
      <c r="J33" s="1">
        <v>5585120</v>
      </c>
      <c r="K33" s="1">
        <v>10261</v>
      </c>
      <c r="M33" s="1">
        <v>12589</v>
      </c>
      <c r="N33" s="1">
        <v>10138.380000000001</v>
      </c>
      <c r="S33" s="1">
        <v>6120874</v>
      </c>
      <c r="T33" s="1">
        <v>4945.9500000000007</v>
      </c>
      <c r="V33" s="1">
        <v>4910067</v>
      </c>
      <c r="W33" s="1">
        <v>4945.9500000000007</v>
      </c>
      <c r="Y33" s="1">
        <v>15253</v>
      </c>
      <c r="Z33" s="1">
        <v>5585120</v>
      </c>
      <c r="AB33" s="1">
        <v>4945.9500000000007</v>
      </c>
      <c r="AC33" s="1">
        <v>6120874</v>
      </c>
      <c r="AH33" s="1">
        <v>5914185</v>
      </c>
      <c r="AI33" s="1">
        <v>5733493</v>
      </c>
      <c r="AK33" s="1">
        <v>10261</v>
      </c>
      <c r="AL33" s="1">
        <v>5585120</v>
      </c>
      <c r="AN33" s="1">
        <v>4945.9500000000007</v>
      </c>
      <c r="AO33" s="1">
        <v>4910067</v>
      </c>
      <c r="AQ33" s="1">
        <v>5733493</v>
      </c>
      <c r="AR33" s="1">
        <v>5914185</v>
      </c>
    </row>
    <row r="34" spans="4:44" x14ac:dyDescent="0.2">
      <c r="D34" s="1">
        <v>4023.2700000000004</v>
      </c>
      <c r="E34" s="1">
        <v>10025</v>
      </c>
      <c r="G34" s="1">
        <v>5835684</v>
      </c>
      <c r="H34" s="1">
        <v>10261</v>
      </c>
      <c r="J34" s="1">
        <v>5835684</v>
      </c>
      <c r="K34" s="1">
        <v>14317</v>
      </c>
      <c r="M34" s="1">
        <v>10025</v>
      </c>
      <c r="N34" s="1">
        <v>4023.2700000000004</v>
      </c>
      <c r="S34" s="1">
        <v>5490126</v>
      </c>
      <c r="T34" s="1">
        <v>9728.1</v>
      </c>
      <c r="V34" s="1">
        <v>6120874</v>
      </c>
      <c r="W34" s="1">
        <v>9728.1</v>
      </c>
      <c r="Y34" s="1">
        <v>10261</v>
      </c>
      <c r="Z34" s="1">
        <v>5835684</v>
      </c>
      <c r="AB34" s="1">
        <v>9728.1</v>
      </c>
      <c r="AC34" s="1">
        <v>5490126</v>
      </c>
      <c r="AH34" s="1">
        <v>5733493</v>
      </c>
      <c r="AI34" s="1">
        <v>5196064</v>
      </c>
      <c r="AK34" s="1">
        <v>14317</v>
      </c>
      <c r="AL34" s="1">
        <v>5835684</v>
      </c>
      <c r="AN34" s="1">
        <v>9728.1</v>
      </c>
      <c r="AO34" s="1">
        <v>6120874</v>
      </c>
      <c r="AQ34" s="1">
        <v>5196064</v>
      </c>
      <c r="AR34" s="1">
        <v>5733493</v>
      </c>
    </row>
    <row r="35" spans="4:44" x14ac:dyDescent="0.2">
      <c r="D35" s="1">
        <v>7378.41</v>
      </c>
      <c r="E35" s="1">
        <v>10773</v>
      </c>
      <c r="G35" s="1">
        <v>5838288</v>
      </c>
      <c r="H35" s="1">
        <v>13196</v>
      </c>
      <c r="J35" s="1">
        <v>5838288</v>
      </c>
      <c r="K35" s="1">
        <v>8593</v>
      </c>
      <c r="M35" s="1">
        <v>10773</v>
      </c>
      <c r="N35" s="1">
        <v>7378.41</v>
      </c>
      <c r="S35" s="1">
        <v>6925043.9399999995</v>
      </c>
      <c r="T35" s="1">
        <v>22311.38</v>
      </c>
      <c r="V35" s="1">
        <v>5490126</v>
      </c>
      <c r="W35" s="1">
        <v>22311.38</v>
      </c>
      <c r="Y35" s="1">
        <v>13196</v>
      </c>
      <c r="Z35" s="1">
        <v>5838288</v>
      </c>
      <c r="AB35" s="1">
        <v>22311.38</v>
      </c>
      <c r="AC35" s="1">
        <v>6925043.9399999995</v>
      </c>
      <c r="AH35" s="1">
        <v>5196064</v>
      </c>
      <c r="AI35" s="1">
        <v>4910067</v>
      </c>
      <c r="AK35" s="1">
        <v>8593</v>
      </c>
      <c r="AL35" s="1">
        <v>5838288</v>
      </c>
      <c r="AN35" s="1">
        <v>22311.38</v>
      </c>
      <c r="AO35" s="1">
        <v>5490126</v>
      </c>
      <c r="AQ35" s="1">
        <v>4910067</v>
      </c>
      <c r="AR35" s="1">
        <v>5196064</v>
      </c>
    </row>
    <row r="36" spans="4:44" x14ac:dyDescent="0.2">
      <c r="D36" s="1">
        <v>4945.9500000000007</v>
      </c>
      <c r="E36" s="1">
        <v>8483</v>
      </c>
      <c r="G36" s="1">
        <v>5914185</v>
      </c>
      <c r="H36" s="1">
        <v>8593</v>
      </c>
      <c r="J36" s="1">
        <v>5914185</v>
      </c>
      <c r="K36" s="1">
        <v>12589</v>
      </c>
      <c r="M36" s="1">
        <v>8483</v>
      </c>
      <c r="N36" s="1">
        <v>4945.9500000000007</v>
      </c>
      <c r="S36" s="1">
        <v>6686988</v>
      </c>
      <c r="T36" s="1">
        <v>55532.800000000003</v>
      </c>
      <c r="V36" s="1">
        <v>6925043.9399999995</v>
      </c>
      <c r="W36" s="1">
        <v>55532.800000000003</v>
      </c>
      <c r="Y36" s="1">
        <v>8593</v>
      </c>
      <c r="Z36" s="1">
        <v>5914185</v>
      </c>
      <c r="AB36" s="1">
        <v>55532.800000000003</v>
      </c>
      <c r="AC36" s="1">
        <v>6686988</v>
      </c>
      <c r="AH36" s="1">
        <v>4910067</v>
      </c>
      <c r="AI36" s="1">
        <v>6120874</v>
      </c>
      <c r="AK36" s="1">
        <v>12589</v>
      </c>
      <c r="AL36" s="1">
        <v>5914185</v>
      </c>
      <c r="AN36" s="1">
        <v>55532.800000000003</v>
      </c>
      <c r="AO36" s="1">
        <v>6925043.9399999995</v>
      </c>
      <c r="AQ36" s="1">
        <v>6120874</v>
      </c>
      <c r="AR36" s="1">
        <v>4910067</v>
      </c>
    </row>
    <row r="37" spans="4:44" x14ac:dyDescent="0.2">
      <c r="D37" s="1">
        <v>9728.1</v>
      </c>
      <c r="E37" s="1">
        <v>10618</v>
      </c>
      <c r="G37" s="1">
        <v>5733493</v>
      </c>
      <c r="H37" s="1">
        <v>12589</v>
      </c>
      <c r="J37" s="1">
        <v>5733493</v>
      </c>
      <c r="K37" s="1">
        <v>10025</v>
      </c>
      <c r="M37" s="1">
        <v>10618</v>
      </c>
      <c r="N37" s="1">
        <v>9728.1</v>
      </c>
      <c r="S37" s="1">
        <v>7181500</v>
      </c>
      <c r="T37" s="1">
        <v>1190.93</v>
      </c>
      <c r="V37" s="1">
        <v>6686988</v>
      </c>
      <c r="W37" s="1">
        <v>1190.93</v>
      </c>
      <c r="Y37" s="1">
        <v>12589</v>
      </c>
      <c r="Z37" s="1">
        <v>5733493</v>
      </c>
      <c r="AB37" s="1">
        <v>1190.93</v>
      </c>
      <c r="AC37" s="1">
        <v>7181500</v>
      </c>
      <c r="AH37" s="1">
        <v>6120874</v>
      </c>
      <c r="AI37" s="1">
        <v>5490126</v>
      </c>
      <c r="AK37" s="1">
        <v>10025</v>
      </c>
      <c r="AL37" s="1">
        <v>5733493</v>
      </c>
      <c r="AN37" s="1">
        <v>1190.93</v>
      </c>
      <c r="AO37" s="1">
        <v>6686988</v>
      </c>
      <c r="AQ37" s="1">
        <v>5490126</v>
      </c>
      <c r="AR37" s="1">
        <v>6120874</v>
      </c>
    </row>
    <row r="38" spans="4:44" x14ac:dyDescent="0.2">
      <c r="D38" s="1">
        <v>22311.38</v>
      </c>
      <c r="E38" s="1">
        <v>11573</v>
      </c>
      <c r="G38" s="1">
        <v>5196064</v>
      </c>
      <c r="H38" s="1">
        <v>10025</v>
      </c>
      <c r="J38" s="1">
        <v>5196064</v>
      </c>
      <c r="K38" s="1">
        <v>10773</v>
      </c>
      <c r="M38" s="1">
        <v>11573</v>
      </c>
      <c r="N38" s="1">
        <v>22311.38</v>
      </c>
      <c r="S38" s="1">
        <v>7377400</v>
      </c>
      <c r="T38" s="1">
        <v>998.23</v>
      </c>
      <c r="V38" s="1">
        <v>7181500</v>
      </c>
      <c r="W38" s="1">
        <v>998.23</v>
      </c>
      <c r="Y38" s="1">
        <v>10025</v>
      </c>
      <c r="Z38" s="1">
        <v>5196064</v>
      </c>
      <c r="AB38" s="1">
        <v>998.23</v>
      </c>
      <c r="AC38" s="1">
        <v>7377400</v>
      </c>
      <c r="AH38" s="1">
        <v>5490126</v>
      </c>
      <c r="AI38" s="1">
        <v>6925043.9399999995</v>
      </c>
      <c r="AK38" s="1">
        <v>10773</v>
      </c>
      <c r="AL38" s="1">
        <v>5196064</v>
      </c>
      <c r="AN38" s="1">
        <v>998.23</v>
      </c>
      <c r="AO38" s="1">
        <v>7181500</v>
      </c>
      <c r="AQ38" s="1">
        <v>6925043.9399999995</v>
      </c>
      <c r="AR38" s="1">
        <v>5490126</v>
      </c>
    </row>
    <row r="39" spans="4:44" x14ac:dyDescent="0.2">
      <c r="D39" s="1">
        <v>55532.800000000003</v>
      </c>
      <c r="E39" s="1">
        <v>6996</v>
      </c>
      <c r="G39" s="1">
        <v>4910067</v>
      </c>
      <c r="H39" s="1">
        <v>10773</v>
      </c>
      <c r="J39" s="1">
        <v>4910067</v>
      </c>
      <c r="K39" s="1">
        <v>8483</v>
      </c>
      <c r="M39" s="1">
        <v>6996</v>
      </c>
      <c r="N39" s="1">
        <v>55532.800000000003</v>
      </c>
      <c r="S39" s="1">
        <v>6140667.4299999997</v>
      </c>
      <c r="T39" s="1">
        <v>2277</v>
      </c>
      <c r="V39" s="1">
        <v>7377400</v>
      </c>
      <c r="W39" s="1">
        <v>2277</v>
      </c>
      <c r="Y39" s="1">
        <v>10773</v>
      </c>
      <c r="Z39" s="1">
        <v>4910067</v>
      </c>
      <c r="AB39" s="1">
        <v>2277</v>
      </c>
      <c r="AC39" s="1">
        <v>6140667.4299999997</v>
      </c>
      <c r="AH39" s="1">
        <v>6925043.9399999995</v>
      </c>
      <c r="AI39" s="1">
        <v>6686988</v>
      </c>
      <c r="AK39" s="1">
        <v>8483</v>
      </c>
      <c r="AL39" s="1">
        <v>4910067</v>
      </c>
      <c r="AN39" s="1">
        <v>2277</v>
      </c>
      <c r="AO39" s="1">
        <v>7377400</v>
      </c>
      <c r="AQ39" s="1">
        <v>6686988</v>
      </c>
      <c r="AR39" s="1">
        <v>6925043.9399999995</v>
      </c>
    </row>
    <row r="40" spans="4:44" x14ac:dyDescent="0.2">
      <c r="D40" s="1">
        <v>1190.93</v>
      </c>
      <c r="E40" s="1">
        <v>3157</v>
      </c>
      <c r="G40" s="1">
        <v>6120874</v>
      </c>
      <c r="H40" s="1">
        <v>8483</v>
      </c>
      <c r="J40" s="1">
        <v>6120874</v>
      </c>
      <c r="K40" s="1">
        <v>10618</v>
      </c>
      <c r="M40" s="1">
        <v>3157</v>
      </c>
      <c r="N40" s="1">
        <v>1190.93</v>
      </c>
      <c r="S40" s="1">
        <v>6876697</v>
      </c>
      <c r="T40" s="1">
        <v>3034.9799999999996</v>
      </c>
      <c r="V40" s="1">
        <v>6140667.4299999997</v>
      </c>
      <c r="W40" s="1">
        <v>3034.9799999999996</v>
      </c>
      <c r="Y40" s="1">
        <v>8483</v>
      </c>
      <c r="Z40" s="1">
        <v>6120874</v>
      </c>
      <c r="AB40" s="1">
        <v>3034.9799999999996</v>
      </c>
      <c r="AC40" s="1">
        <v>6876697</v>
      </c>
      <c r="AH40" s="1">
        <v>6686988</v>
      </c>
      <c r="AI40" s="1">
        <v>7181500</v>
      </c>
      <c r="AK40" s="1">
        <v>10618</v>
      </c>
      <c r="AL40" s="1">
        <v>6120874</v>
      </c>
      <c r="AN40" s="1">
        <v>3034.9799999999996</v>
      </c>
      <c r="AO40" s="1">
        <v>6140667.4299999997</v>
      </c>
      <c r="AQ40" s="1">
        <v>7181500</v>
      </c>
      <c r="AR40" s="1">
        <v>6686988</v>
      </c>
    </row>
    <row r="41" spans="4:44" x14ac:dyDescent="0.2">
      <c r="D41" s="1">
        <v>998.23</v>
      </c>
      <c r="E41" s="1">
        <v>2546</v>
      </c>
      <c r="G41" s="1">
        <v>5490126</v>
      </c>
      <c r="H41" s="1">
        <v>10618</v>
      </c>
      <c r="J41" s="1">
        <v>5490126</v>
      </c>
      <c r="K41" s="1">
        <v>11573</v>
      </c>
      <c r="M41" s="1">
        <v>2546</v>
      </c>
      <c r="N41" s="1">
        <v>998.23</v>
      </c>
      <c r="S41" s="1">
        <v>7744446</v>
      </c>
      <c r="T41" s="1">
        <v>9270.3799999999992</v>
      </c>
      <c r="V41" s="1">
        <v>6876697</v>
      </c>
      <c r="W41" s="1">
        <v>9270.3799999999992</v>
      </c>
      <c r="Y41" s="1">
        <v>10618</v>
      </c>
      <c r="Z41" s="1">
        <v>5490126</v>
      </c>
      <c r="AB41" s="1">
        <v>9270.3799999999992</v>
      </c>
      <c r="AC41" s="1">
        <v>7744446</v>
      </c>
      <c r="AH41" s="1">
        <v>7181500</v>
      </c>
      <c r="AI41" s="1">
        <v>7377400</v>
      </c>
      <c r="AK41" s="1">
        <v>11573</v>
      </c>
      <c r="AL41" s="1">
        <v>5490126</v>
      </c>
      <c r="AN41" s="1">
        <v>9270.3799999999992</v>
      </c>
      <c r="AO41" s="1">
        <v>6876697</v>
      </c>
      <c r="AQ41" s="1">
        <v>7377400</v>
      </c>
      <c r="AR41" s="1">
        <v>7181500</v>
      </c>
    </row>
    <row r="42" spans="4:44" x14ac:dyDescent="0.2">
      <c r="D42" s="1">
        <v>2277</v>
      </c>
      <c r="E42" s="1">
        <v>3970</v>
      </c>
      <c r="G42" s="1">
        <v>6925043.9399999995</v>
      </c>
      <c r="H42" s="1">
        <v>11573</v>
      </c>
      <c r="J42" s="1">
        <v>6925043.9399999995</v>
      </c>
      <c r="K42" s="1">
        <v>6996</v>
      </c>
      <c r="M42" s="1">
        <v>3970</v>
      </c>
      <c r="N42" s="1">
        <v>2277</v>
      </c>
      <c r="S42" s="1">
        <v>7519875</v>
      </c>
      <c r="T42" s="1">
        <v>5038.74</v>
      </c>
      <c r="V42" s="1">
        <v>7744446</v>
      </c>
      <c r="W42" s="1">
        <v>5038.74</v>
      </c>
      <c r="Y42" s="1">
        <v>11573</v>
      </c>
      <c r="Z42" s="1">
        <v>6925043.9399999995</v>
      </c>
      <c r="AB42" s="1">
        <v>5038.74</v>
      </c>
      <c r="AC42" s="1">
        <v>7519875</v>
      </c>
      <c r="AH42" s="1">
        <v>7377400</v>
      </c>
      <c r="AI42" s="1">
        <v>6140667.4299999997</v>
      </c>
      <c r="AK42" s="1">
        <v>6996</v>
      </c>
      <c r="AL42" s="1">
        <v>6925043.9399999995</v>
      </c>
      <c r="AN42" s="1">
        <v>5038.74</v>
      </c>
      <c r="AO42" s="1">
        <v>7744446</v>
      </c>
      <c r="AQ42" s="1">
        <v>6140667.4299999997</v>
      </c>
      <c r="AR42" s="1">
        <v>7377400</v>
      </c>
    </row>
    <row r="43" spans="4:44" x14ac:dyDescent="0.2">
      <c r="D43" s="1">
        <v>3034.9799999999996</v>
      </c>
      <c r="E43" s="1">
        <v>3852</v>
      </c>
      <c r="G43" s="1">
        <v>6686988</v>
      </c>
      <c r="H43" s="1">
        <v>6996</v>
      </c>
      <c r="J43" s="1">
        <v>6686988</v>
      </c>
      <c r="K43" s="1">
        <v>3157</v>
      </c>
      <c r="M43" s="1">
        <v>3852</v>
      </c>
      <c r="N43" s="1">
        <v>3034.9799999999996</v>
      </c>
      <c r="Y43" s="1">
        <v>6996</v>
      </c>
      <c r="Z43" s="1">
        <v>6686988</v>
      </c>
      <c r="AH43" s="1">
        <v>6140667.4299999997</v>
      </c>
      <c r="AI43" s="1">
        <v>6876697</v>
      </c>
      <c r="AK43" s="1">
        <v>3157</v>
      </c>
      <c r="AL43" s="1">
        <v>6686988</v>
      </c>
      <c r="AQ43" s="1">
        <v>6876697</v>
      </c>
      <c r="AR43" s="1">
        <v>6140667.4299999997</v>
      </c>
    </row>
    <row r="44" spans="4:44" x14ac:dyDescent="0.2">
      <c r="D44" s="1">
        <v>9270.3799999999992</v>
      </c>
      <c r="E44" s="1">
        <v>6342</v>
      </c>
      <c r="G44" s="1">
        <v>7181500</v>
      </c>
      <c r="H44" s="1">
        <v>3157</v>
      </c>
      <c r="J44" s="1">
        <v>7181500</v>
      </c>
      <c r="K44" s="1">
        <v>2546</v>
      </c>
      <c r="M44" s="1">
        <v>6342</v>
      </c>
      <c r="N44" s="1">
        <v>9270.3799999999992</v>
      </c>
      <c r="Y44" s="1">
        <v>3157</v>
      </c>
      <c r="Z44" s="1">
        <v>7181500</v>
      </c>
      <c r="AH44" s="1">
        <v>6876697</v>
      </c>
      <c r="AI44" s="1">
        <v>7744446</v>
      </c>
      <c r="AK44" s="1">
        <v>2546</v>
      </c>
      <c r="AL44" s="1">
        <v>7181500</v>
      </c>
      <c r="AQ44" s="1">
        <v>7744446</v>
      </c>
      <c r="AR44" s="1">
        <v>6876697</v>
      </c>
    </row>
    <row r="45" spans="4:44" x14ac:dyDescent="0.2">
      <c r="D45" s="1">
        <v>5038.74</v>
      </c>
      <c r="E45" s="1">
        <v>3794</v>
      </c>
      <c r="G45" s="1">
        <v>7377400</v>
      </c>
      <c r="H45" s="1">
        <v>2546</v>
      </c>
      <c r="J45" s="1">
        <v>7377400</v>
      </c>
      <c r="K45" s="1">
        <v>3970</v>
      </c>
      <c r="M45" s="1">
        <v>3794</v>
      </c>
      <c r="N45" s="1">
        <v>5038.74</v>
      </c>
      <c r="Y45" s="1">
        <v>2546</v>
      </c>
      <c r="Z45" s="1">
        <v>7377400</v>
      </c>
      <c r="AH45" s="1">
        <v>7744446</v>
      </c>
      <c r="AI45" s="1">
        <v>7519875</v>
      </c>
      <c r="AK45" s="1">
        <v>3970</v>
      </c>
      <c r="AL45" s="1">
        <v>7377400</v>
      </c>
      <c r="AQ45" s="1">
        <v>7519875</v>
      </c>
      <c r="AR45" s="1">
        <v>7744446</v>
      </c>
    </row>
    <row r="46" spans="4:44" x14ac:dyDescent="0.2">
      <c r="G46" s="1">
        <v>6140667.4299999997</v>
      </c>
      <c r="H46" s="1">
        <v>3970</v>
      </c>
      <c r="J46" s="1">
        <v>6140667.4299999997</v>
      </c>
      <c r="K46" s="1">
        <v>3852</v>
      </c>
      <c r="Y46" s="1">
        <v>3970</v>
      </c>
      <c r="Z46" s="1">
        <v>6140667.4299999997</v>
      </c>
      <c r="AK46" s="1">
        <v>3852</v>
      </c>
      <c r="AL46" s="1">
        <v>6140667.4299999997</v>
      </c>
    </row>
    <row r="47" spans="4:44" x14ac:dyDescent="0.2">
      <c r="G47" s="1">
        <v>6876697</v>
      </c>
      <c r="H47" s="1">
        <v>3852</v>
      </c>
      <c r="J47" s="1">
        <v>6876697</v>
      </c>
      <c r="K47" s="1">
        <v>6342</v>
      </c>
      <c r="Y47" s="1">
        <v>3852</v>
      </c>
      <c r="Z47" s="1">
        <v>6876697</v>
      </c>
      <c r="AK47" s="1">
        <v>6342</v>
      </c>
      <c r="AL47" s="1">
        <v>6876697</v>
      </c>
    </row>
    <row r="48" spans="4:44" x14ac:dyDescent="0.2">
      <c r="G48" s="1">
        <v>7744446</v>
      </c>
      <c r="H48" s="1">
        <v>6342</v>
      </c>
      <c r="J48" s="1">
        <v>7744446</v>
      </c>
      <c r="K48" s="1">
        <v>3794</v>
      </c>
      <c r="Y48" s="1">
        <v>6342</v>
      </c>
      <c r="Z48" s="1">
        <v>7744446</v>
      </c>
      <c r="AK48" s="1">
        <v>3794</v>
      </c>
      <c r="AL48" s="1">
        <v>7744446</v>
      </c>
    </row>
    <row r="49" spans="7:26" x14ac:dyDescent="0.2">
      <c r="G49" s="1">
        <v>7519875</v>
      </c>
      <c r="H49" s="1">
        <v>3794</v>
      </c>
      <c r="Y49" s="1">
        <v>3794</v>
      </c>
      <c r="Z49" s="1">
        <v>7519875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la29"/>
  <dimension ref="A1:M25"/>
  <sheetViews>
    <sheetView workbookViewId="0">
      <selection activeCell="I40" sqref="I40"/>
    </sheetView>
  </sheetViews>
  <sheetFormatPr defaultRowHeight="12.75" x14ac:dyDescent="0.2"/>
  <cols>
    <col min="1" max="1" width="14.42578125" bestFit="1" customWidth="1"/>
    <col min="2" max="2" width="12.85546875" customWidth="1"/>
    <col min="3" max="3" width="11.85546875" customWidth="1"/>
    <col min="4" max="6" width="11.140625" customWidth="1"/>
    <col min="7" max="7" width="22.28515625" style="124" bestFit="1" customWidth="1"/>
    <col min="8" max="10" width="14.28515625" style="124" customWidth="1"/>
    <col min="11" max="11" width="18.85546875" style="124" customWidth="1"/>
    <col min="12" max="13" width="14.42578125" style="124" customWidth="1"/>
  </cols>
  <sheetData>
    <row r="1" spans="1:13" x14ac:dyDescent="0.2">
      <c r="A1" s="134" t="s">
        <v>310</v>
      </c>
      <c r="B1" s="135" t="s">
        <v>311</v>
      </c>
      <c r="C1" s="135" t="s">
        <v>31</v>
      </c>
      <c r="D1" s="135" t="s">
        <v>350</v>
      </c>
      <c r="E1" s="135" t="s">
        <v>22</v>
      </c>
      <c r="F1" s="135" t="s">
        <v>23</v>
      </c>
      <c r="G1" s="141" t="s">
        <v>351</v>
      </c>
      <c r="H1" s="141" t="s">
        <v>364</v>
      </c>
      <c r="I1" s="141" t="s">
        <v>352</v>
      </c>
      <c r="J1" s="141" t="s">
        <v>365</v>
      </c>
      <c r="K1" s="141"/>
      <c r="L1" s="141" t="s">
        <v>353</v>
      </c>
      <c r="M1" s="141" t="s">
        <v>354</v>
      </c>
    </row>
    <row r="2" spans="1:13" x14ac:dyDescent="0.2">
      <c r="A2" s="136" t="s">
        <v>2</v>
      </c>
      <c r="B2" s="139">
        <v>1683.3333333333335</v>
      </c>
      <c r="C2" s="139">
        <v>175.85236576587346</v>
      </c>
      <c r="D2" s="137">
        <v>45</v>
      </c>
      <c r="E2" s="140">
        <v>154</v>
      </c>
      <c r="F2" s="140">
        <v>4717</v>
      </c>
      <c r="G2" s="7">
        <v>0.3432876817733197</v>
      </c>
      <c r="H2" s="148">
        <v>0.67325648810407734</v>
      </c>
      <c r="I2" s="7">
        <v>0.63685805339712587</v>
      </c>
      <c r="J2" s="142">
        <v>-0.66445599935519684</v>
      </c>
      <c r="K2" s="7"/>
      <c r="L2" s="7">
        <v>2.4310372763284741E-2</v>
      </c>
      <c r="M2" s="7">
        <v>2.4110606829873787E-2</v>
      </c>
    </row>
    <row r="3" spans="1:13" x14ac:dyDescent="0.2">
      <c r="A3" s="136" t="s">
        <v>1</v>
      </c>
      <c r="B3" s="139">
        <v>1642.7555555555557</v>
      </c>
      <c r="C3" s="139">
        <v>220.34660519225858</v>
      </c>
      <c r="D3" s="137">
        <v>45</v>
      </c>
      <c r="E3" s="140">
        <v>78</v>
      </c>
      <c r="F3" s="140">
        <v>5317</v>
      </c>
      <c r="G3" s="7">
        <v>9.4669869822671116E-3</v>
      </c>
      <c r="H3" s="148">
        <v>0.69360722125350815</v>
      </c>
      <c r="I3" s="7">
        <v>0.93065208342179961</v>
      </c>
      <c r="J3" s="7">
        <v>-0.11689940042231935</v>
      </c>
      <c r="K3" s="7"/>
      <c r="L3" s="7">
        <v>1.6346977489010636E-3</v>
      </c>
      <c r="M3" s="7">
        <v>5.3152854488439181E-3</v>
      </c>
    </row>
    <row r="4" spans="1:13" x14ac:dyDescent="0.2">
      <c r="A4" s="138" t="s">
        <v>35</v>
      </c>
      <c r="B4" s="139">
        <v>1264.2444444444445</v>
      </c>
      <c r="C4" s="139">
        <v>166.35802074507177</v>
      </c>
      <c r="D4" s="137">
        <v>45</v>
      </c>
      <c r="E4" s="140">
        <v>67</v>
      </c>
      <c r="F4" s="140">
        <v>5009</v>
      </c>
      <c r="G4" s="7">
        <v>0.3719345023996134</v>
      </c>
      <c r="H4" s="148">
        <v>0.67249998292409885</v>
      </c>
      <c r="I4" s="7">
        <v>0.6058713604090834</v>
      </c>
      <c r="J4" s="142">
        <v>-0.65056044901649634</v>
      </c>
      <c r="K4" s="7"/>
      <c r="L4" s="7">
        <v>3.2085005024388435E-2</v>
      </c>
      <c r="M4" s="7">
        <v>3.1354226269331799E-2</v>
      </c>
    </row>
    <row r="5" spans="1:13" x14ac:dyDescent="0.2">
      <c r="A5" s="136" t="s">
        <v>50</v>
      </c>
      <c r="B5" s="139">
        <v>897.22222222222217</v>
      </c>
      <c r="C5" s="139">
        <v>109.74407275077853</v>
      </c>
      <c r="D5" s="137">
        <v>45</v>
      </c>
      <c r="E5" s="140">
        <v>56</v>
      </c>
      <c r="F5" s="140">
        <v>2246</v>
      </c>
      <c r="G5" s="7">
        <v>0.55264946862417874</v>
      </c>
      <c r="H5" s="148">
        <v>0.61299999999999999</v>
      </c>
      <c r="I5" s="7">
        <v>0.29677803165785571</v>
      </c>
      <c r="J5" s="142">
        <v>-0.59399999999999997</v>
      </c>
      <c r="K5" s="7"/>
      <c r="L5" s="7">
        <v>1.7838991669103858E-2</v>
      </c>
      <c r="M5" s="7">
        <v>1.2893817116572571E-2</v>
      </c>
    </row>
    <row r="6" spans="1:13" x14ac:dyDescent="0.2">
      <c r="A6" s="136" t="s">
        <v>0</v>
      </c>
      <c r="B6" s="139">
        <v>798.80000000000007</v>
      </c>
      <c r="C6" s="139">
        <v>92.036518882891301</v>
      </c>
      <c r="D6" s="137">
        <v>45</v>
      </c>
      <c r="E6" s="140">
        <v>38</v>
      </c>
      <c r="F6" s="140">
        <v>2465</v>
      </c>
      <c r="G6" s="7">
        <v>0.2671745533341775</v>
      </c>
      <c r="H6" s="148">
        <v>0.62303993472114549</v>
      </c>
      <c r="I6" s="7">
        <v>0.63703165739814183</v>
      </c>
      <c r="J6" s="142">
        <v>-0.33882288797942961</v>
      </c>
      <c r="K6" s="7"/>
      <c r="L6" s="7">
        <v>1.9632420421970199E-2</v>
      </c>
      <c r="M6" s="7">
        <v>1.4390892250281439E-2</v>
      </c>
    </row>
    <row r="7" spans="1:13" x14ac:dyDescent="0.2">
      <c r="A7" s="138" t="s">
        <v>43</v>
      </c>
      <c r="B7" s="139">
        <v>432.57777777777784</v>
      </c>
      <c r="C7" s="139">
        <v>43.338000784634474</v>
      </c>
      <c r="D7" s="137">
        <v>45</v>
      </c>
      <c r="E7" s="140">
        <v>24</v>
      </c>
      <c r="F7" s="140">
        <v>1075</v>
      </c>
      <c r="G7" s="7">
        <v>2.6538573817043079E-4</v>
      </c>
      <c r="H7" s="149"/>
      <c r="I7" s="7">
        <v>0.39816199707127348</v>
      </c>
      <c r="J7" s="142">
        <v>0.56483436266884157</v>
      </c>
      <c r="K7" s="7"/>
      <c r="L7" s="7">
        <v>2.6538573817043069E-4</v>
      </c>
      <c r="M7" s="7">
        <v>2.7652906521423781E-2</v>
      </c>
    </row>
    <row r="8" spans="1:13" x14ac:dyDescent="0.2">
      <c r="A8" s="136" t="s">
        <v>41</v>
      </c>
      <c r="B8" s="139">
        <v>318.0888888888889</v>
      </c>
      <c r="C8" s="139">
        <v>34.999954144590774</v>
      </c>
      <c r="D8" s="137">
        <v>45</v>
      </c>
      <c r="E8" s="140">
        <v>72</v>
      </c>
      <c r="F8" s="140">
        <v>1227</v>
      </c>
      <c r="G8" s="7">
        <v>0.82588503196841512</v>
      </c>
      <c r="H8" s="149">
        <v>0.24787041453875255</v>
      </c>
      <c r="I8" s="7">
        <v>0.12318090872637795</v>
      </c>
      <c r="J8" s="7">
        <v>9.6259695365026043E-2</v>
      </c>
      <c r="K8" s="7"/>
      <c r="L8" s="7">
        <v>9.6695431420606784E-3</v>
      </c>
      <c r="M8" s="7">
        <v>9.6406129097380711E-3</v>
      </c>
    </row>
    <row r="9" spans="1:13" x14ac:dyDescent="0.2">
      <c r="A9" s="136" t="s">
        <v>51</v>
      </c>
      <c r="B9" s="139">
        <v>315.42222222222222</v>
      </c>
      <c r="C9" s="139">
        <v>32.752538476512669</v>
      </c>
      <c r="D9" s="137">
        <v>45</v>
      </c>
      <c r="E9" s="140">
        <v>5</v>
      </c>
      <c r="F9" s="140">
        <v>835</v>
      </c>
      <c r="G9" s="7">
        <v>2.7066669534960729E-5</v>
      </c>
      <c r="H9" s="149">
        <v>2.6125939465067683E-2</v>
      </c>
      <c r="I9" s="7">
        <v>0.39628739465908219</v>
      </c>
      <c r="J9" s="142">
        <v>0.45103894662552346</v>
      </c>
      <c r="K9" s="7"/>
      <c r="L9" s="7">
        <v>2.3843221140579344E-5</v>
      </c>
      <c r="M9" s="7">
        <v>3.1996124185094552E-2</v>
      </c>
    </row>
    <row r="10" spans="1:13" x14ac:dyDescent="0.2">
      <c r="A10" s="136" t="s">
        <v>48</v>
      </c>
      <c r="B10" s="139">
        <v>272.89189189189193</v>
      </c>
      <c r="C10" s="139">
        <v>35.732632098298438</v>
      </c>
      <c r="D10" s="137">
        <v>37</v>
      </c>
      <c r="E10" s="140">
        <v>31</v>
      </c>
      <c r="F10" s="140">
        <v>698</v>
      </c>
      <c r="G10" s="7">
        <v>0</v>
      </c>
      <c r="H10" s="149"/>
      <c r="I10" s="7">
        <v>0.4526118600145117</v>
      </c>
      <c r="J10" s="142">
        <v>0.58094945835805045</v>
      </c>
      <c r="K10" s="7"/>
      <c r="L10" s="7">
        <v>0</v>
      </c>
      <c r="M10" s="7">
        <v>1.9636416067976951E-2</v>
      </c>
    </row>
    <row r="11" spans="1:13" x14ac:dyDescent="0.2">
      <c r="A11" s="136" t="s">
        <v>44</v>
      </c>
      <c r="B11" s="139">
        <v>236.6</v>
      </c>
      <c r="C11" s="139">
        <v>15.144969495185554</v>
      </c>
      <c r="D11" s="137">
        <v>45</v>
      </c>
      <c r="E11" s="140">
        <v>47</v>
      </c>
      <c r="F11" s="140">
        <v>549</v>
      </c>
      <c r="G11" s="7">
        <v>9.0317519880419043E-4</v>
      </c>
      <c r="H11" s="149">
        <v>-7.1540501683488395E-3</v>
      </c>
      <c r="I11" s="7">
        <v>0.89778318855719608</v>
      </c>
      <c r="J11" s="7">
        <v>1.7071657286056297E-2</v>
      </c>
      <c r="K11" s="7"/>
      <c r="L11" s="7">
        <v>3.691911637748202E-4</v>
      </c>
      <c r="M11" s="7">
        <v>3.6751860024515307E-3</v>
      </c>
    </row>
    <row r="12" spans="1:13" x14ac:dyDescent="0.2">
      <c r="A12" s="136" t="s">
        <v>349</v>
      </c>
      <c r="B12" s="139">
        <v>189.44117647058826</v>
      </c>
      <c r="C12" s="139">
        <v>35.60889229747599</v>
      </c>
      <c r="D12" s="137">
        <v>34</v>
      </c>
      <c r="E12" s="140">
        <v>63</v>
      </c>
      <c r="F12" s="140">
        <v>1309</v>
      </c>
      <c r="G12" s="7">
        <v>2.9851430542054247E-2</v>
      </c>
      <c r="H12" s="149">
        <v>0.10408762477233331</v>
      </c>
      <c r="I12" s="7">
        <v>0.91592765366259177</v>
      </c>
      <c r="J12" s="7">
        <v>0.18129575192861638</v>
      </c>
      <c r="K12" s="7"/>
      <c r="L12" s="7">
        <v>6.8889247502832845E-3</v>
      </c>
      <c r="M12" s="7">
        <v>7.7250845139331739E-3</v>
      </c>
    </row>
    <row r="13" spans="1:13" x14ac:dyDescent="0.2">
      <c r="A13" s="136" t="s">
        <v>42</v>
      </c>
      <c r="B13" s="139">
        <v>145.62222222222223</v>
      </c>
      <c r="C13" s="139">
        <v>11.551434774187664</v>
      </c>
      <c r="D13" s="137">
        <v>45</v>
      </c>
      <c r="E13" s="140">
        <v>22</v>
      </c>
      <c r="F13" s="140">
        <v>400</v>
      </c>
      <c r="G13" s="7">
        <v>4.4171806240371931E-6</v>
      </c>
      <c r="H13" s="149">
        <v>0.1399883206717045</v>
      </c>
      <c r="I13" s="7">
        <v>0.70217763619489004</v>
      </c>
      <c r="J13" s="7">
        <v>-0.13124969943221007</v>
      </c>
      <c r="K13" s="7"/>
      <c r="L13" s="7">
        <v>4.4171806240371931E-6</v>
      </c>
      <c r="M13" s="7">
        <v>9.2816036084903998E-3</v>
      </c>
    </row>
    <row r="14" spans="1:13" x14ac:dyDescent="0.2">
      <c r="A14" s="136" t="s">
        <v>45</v>
      </c>
      <c r="B14" s="139">
        <v>124.17777777777778</v>
      </c>
      <c r="C14" s="139">
        <v>9.6602010189307332</v>
      </c>
      <c r="D14" s="137">
        <v>45</v>
      </c>
      <c r="E14" s="140">
        <v>10</v>
      </c>
      <c r="F14" s="140">
        <v>261</v>
      </c>
      <c r="G14" s="7">
        <v>3.5912885703258617E-2</v>
      </c>
      <c r="H14" s="149">
        <v>0.27742826813002108</v>
      </c>
      <c r="I14" s="7">
        <v>0.57446882530421184</v>
      </c>
      <c r="J14" s="7">
        <v>-0.10570332910397585</v>
      </c>
      <c r="K14" s="7"/>
      <c r="L14" s="7">
        <v>6.6632933032988173E-3</v>
      </c>
      <c r="M14" s="7">
        <v>1.232757725362198E-2</v>
      </c>
    </row>
    <row r="15" spans="1:13" x14ac:dyDescent="0.2">
      <c r="A15" s="136" t="s">
        <v>47</v>
      </c>
      <c r="B15" s="139">
        <v>117.55555555555554</v>
      </c>
      <c r="C15" s="139">
        <v>8.5339817198955075</v>
      </c>
      <c r="D15" s="137">
        <v>45</v>
      </c>
      <c r="E15" s="140">
        <v>19</v>
      </c>
      <c r="F15" s="140">
        <v>268</v>
      </c>
      <c r="G15" s="7">
        <v>8.3803154769761308E-6</v>
      </c>
      <c r="H15" s="149">
        <v>-2.0909143053717143E-2</v>
      </c>
      <c r="I15" s="7">
        <v>0.95484114945801912</v>
      </c>
      <c r="J15" s="7">
        <v>-0.14517951253304343</v>
      </c>
      <c r="K15" s="7"/>
      <c r="L15" s="7">
        <v>8.3803154769761325E-6</v>
      </c>
      <c r="M15" s="7">
        <v>1.2752395742406341E-2</v>
      </c>
    </row>
    <row r="16" spans="1:13" x14ac:dyDescent="0.2">
      <c r="A16" s="136" t="s">
        <v>318</v>
      </c>
      <c r="B16" s="139">
        <v>99.288888888888906</v>
      </c>
      <c r="C16" s="139">
        <v>11.710291693104756</v>
      </c>
      <c r="D16" s="137">
        <v>45</v>
      </c>
      <c r="E16" s="140">
        <v>2</v>
      </c>
      <c r="F16" s="140">
        <v>276</v>
      </c>
      <c r="G16" s="7">
        <v>0</v>
      </c>
      <c r="H16" s="149"/>
      <c r="I16" s="7">
        <v>0.44261944401535186</v>
      </c>
      <c r="J16" s="7">
        <v>-0.15373384950233426</v>
      </c>
      <c r="K16" s="7"/>
      <c r="L16" s="7">
        <v>0</v>
      </c>
      <c r="M16" s="7">
        <v>2.7659651897172875E-2</v>
      </c>
    </row>
    <row r="17" spans="1:13" x14ac:dyDescent="0.2">
      <c r="A17" s="136" t="s">
        <v>46</v>
      </c>
      <c r="B17" s="139">
        <v>83.444444444444457</v>
      </c>
      <c r="C17" s="139">
        <v>7.0076837738512801</v>
      </c>
      <c r="D17" s="137">
        <v>45</v>
      </c>
      <c r="E17" s="140">
        <v>6</v>
      </c>
      <c r="F17" s="140">
        <v>198</v>
      </c>
      <c r="G17" s="7">
        <v>0</v>
      </c>
      <c r="H17" s="149"/>
      <c r="I17" s="7">
        <v>0.93237995720114941</v>
      </c>
      <c r="J17" s="142">
        <v>-0.44232546049516752</v>
      </c>
      <c r="K17" s="7"/>
      <c r="L17" s="7">
        <v>0</v>
      </c>
      <c r="M17" s="7">
        <v>5.573077724988074E-3</v>
      </c>
    </row>
    <row r="18" spans="1:13" x14ac:dyDescent="0.2">
      <c r="A18" s="136" t="s">
        <v>52</v>
      </c>
      <c r="B18" s="139">
        <v>81.355555555555554</v>
      </c>
      <c r="C18" s="139">
        <v>9.5615578986928753</v>
      </c>
      <c r="D18" s="137">
        <v>45</v>
      </c>
      <c r="E18" s="140">
        <v>9</v>
      </c>
      <c r="F18" s="140">
        <v>323</v>
      </c>
      <c r="G18" s="7">
        <v>0</v>
      </c>
      <c r="H18" s="149"/>
      <c r="I18" s="7">
        <v>0.22695143227509282</v>
      </c>
      <c r="J18" s="7">
        <v>0.29374775764197769</v>
      </c>
      <c r="K18" s="7"/>
      <c r="L18" s="7">
        <v>0</v>
      </c>
      <c r="M18" s="7">
        <v>3.8839521476945742E-2</v>
      </c>
    </row>
    <row r="19" spans="1:13" x14ac:dyDescent="0.2">
      <c r="A19" s="136" t="s">
        <v>319</v>
      </c>
      <c r="B19" s="139">
        <v>76.222222222222229</v>
      </c>
      <c r="C19" s="139">
        <v>6.8291479339613197</v>
      </c>
      <c r="D19" s="137">
        <v>45</v>
      </c>
      <c r="E19" s="140">
        <v>2</v>
      </c>
      <c r="F19" s="140">
        <v>227</v>
      </c>
      <c r="G19" s="7">
        <v>4.8449612403100791E-4</v>
      </c>
      <c r="H19" s="149"/>
      <c r="I19" s="7">
        <v>0.80213782196838412</v>
      </c>
      <c r="J19" s="7">
        <v>-0.30390389445135518</v>
      </c>
      <c r="K19" s="7"/>
      <c r="L19" s="7">
        <v>4.8449612403100775E-4</v>
      </c>
      <c r="M19" s="7">
        <v>2.3754375268464984E-2</v>
      </c>
    </row>
    <row r="20" spans="1:13" x14ac:dyDescent="0.2">
      <c r="A20" s="136" t="s">
        <v>54</v>
      </c>
      <c r="B20" s="139">
        <v>73.73333333333332</v>
      </c>
      <c r="C20" s="139">
        <v>6.9422873417450477</v>
      </c>
      <c r="D20" s="137">
        <v>45</v>
      </c>
      <c r="E20" s="140">
        <v>7</v>
      </c>
      <c r="F20" s="140">
        <v>197</v>
      </c>
      <c r="G20" s="7">
        <v>0</v>
      </c>
      <c r="H20" s="149"/>
      <c r="I20" s="7">
        <v>0.27262389925918601</v>
      </c>
      <c r="J20" s="142">
        <v>0.57238659375350509</v>
      </c>
      <c r="K20" s="7"/>
      <c r="L20" s="7">
        <v>0</v>
      </c>
      <c r="M20" s="7">
        <v>2.1684949161696936E-2</v>
      </c>
    </row>
    <row r="21" spans="1:13" x14ac:dyDescent="0.2">
      <c r="A21" s="136" t="s">
        <v>320</v>
      </c>
      <c r="B21" s="139">
        <v>69.977777777777789</v>
      </c>
      <c r="C21" s="139">
        <v>5.2557317330113706</v>
      </c>
      <c r="D21" s="137">
        <v>45</v>
      </c>
      <c r="E21" s="140">
        <v>15</v>
      </c>
      <c r="F21" s="140">
        <v>142</v>
      </c>
      <c r="G21" s="7">
        <v>0</v>
      </c>
      <c r="H21" s="149"/>
      <c r="I21" s="7">
        <v>0.87183652067820816</v>
      </c>
      <c r="J21" s="7">
        <v>-0.2596604907535035</v>
      </c>
      <c r="K21" s="7"/>
      <c r="L21" s="7">
        <v>0</v>
      </c>
      <c r="M21" s="7">
        <v>8.3541685314762627E-3</v>
      </c>
    </row>
    <row r="22" spans="1:13" x14ac:dyDescent="0.2">
      <c r="A22" s="136" t="s">
        <v>53</v>
      </c>
      <c r="B22" s="139">
        <v>47.577777777777776</v>
      </c>
      <c r="C22" s="139">
        <v>5.0535005258270456</v>
      </c>
      <c r="D22" s="137">
        <v>45</v>
      </c>
      <c r="E22" s="140">
        <v>1</v>
      </c>
      <c r="F22" s="140">
        <v>156</v>
      </c>
      <c r="G22" s="7">
        <v>0</v>
      </c>
      <c r="H22" s="150"/>
      <c r="I22" s="7">
        <v>0.92241740187110011</v>
      </c>
      <c r="J22" s="142">
        <v>-0.36783902467861018</v>
      </c>
      <c r="K22" s="7"/>
      <c r="L22" s="7">
        <v>0</v>
      </c>
      <c r="M22" s="7">
        <v>4.6248897546525567E-3</v>
      </c>
    </row>
    <row r="25" spans="1:13" x14ac:dyDescent="0.2">
      <c r="G25" s="151" t="s">
        <v>373</v>
      </c>
      <c r="H25" s="39">
        <v>0.49707405238474867</v>
      </c>
      <c r="J25" s="7">
        <v>-0.1140843273504818</v>
      </c>
    </row>
  </sheetData>
  <sortState ref="A2:J22">
    <sortCondition descending="1" ref="B2:B22"/>
  </sortState>
  <pageMargins left="0.7" right="0.7" top="0.75" bottom="0.75" header="0.3" footer="0.3"/>
  <drawing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51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1</v>
      </c>
      <c r="D1" s="1">
        <v>0</v>
      </c>
    </row>
    <row r="2" spans="1:4" x14ac:dyDescent="0.2">
      <c r="A2" s="1">
        <v>0</v>
      </c>
      <c r="B2" s="1">
        <v>11</v>
      </c>
      <c r="C2" s="1">
        <v>1</v>
      </c>
      <c r="D2" s="1">
        <v>2</v>
      </c>
    </row>
    <row r="3" spans="1:4" x14ac:dyDescent="0.2">
      <c r="A3" s="1">
        <v>65000</v>
      </c>
      <c r="B3" s="1">
        <v>11</v>
      </c>
      <c r="C3" s="1">
        <v>1.9200000000000002</v>
      </c>
      <c r="D3" s="1">
        <v>2</v>
      </c>
    </row>
    <row r="4" spans="1:4" x14ac:dyDescent="0.2">
      <c r="A4" s="1">
        <v>65000</v>
      </c>
      <c r="B4" s="1">
        <v>0</v>
      </c>
      <c r="C4" s="1">
        <v>1.9200000000000002</v>
      </c>
      <c r="D4" s="1">
        <v>0</v>
      </c>
    </row>
    <row r="5" spans="1:4" x14ac:dyDescent="0.2">
      <c r="A5" s="1">
        <v>65000</v>
      </c>
      <c r="B5" s="1">
        <v>1</v>
      </c>
      <c r="C5" s="1">
        <v>1.9200000000000002</v>
      </c>
      <c r="D5" s="1">
        <v>0</v>
      </c>
    </row>
    <row r="6" spans="1:4" x14ac:dyDescent="0.2">
      <c r="A6" s="1">
        <v>130000</v>
      </c>
      <c r="B6" s="1">
        <v>1</v>
      </c>
      <c r="C6" s="1">
        <v>2.8400000000000003</v>
      </c>
      <c r="D6" s="1">
        <v>0</v>
      </c>
    </row>
    <row r="7" spans="1:4" x14ac:dyDescent="0.2">
      <c r="A7" s="1">
        <v>130000</v>
      </c>
      <c r="B7" s="1">
        <v>0</v>
      </c>
      <c r="C7" s="1">
        <v>2.8400000000000003</v>
      </c>
      <c r="D7" s="1">
        <v>0</v>
      </c>
    </row>
    <row r="8" spans="1:4" x14ac:dyDescent="0.2">
      <c r="A8" s="1">
        <v>130000</v>
      </c>
      <c r="B8" s="1">
        <v>0</v>
      </c>
      <c r="C8" s="1">
        <v>2.8400000000000003</v>
      </c>
      <c r="D8" s="1">
        <v>0</v>
      </c>
    </row>
    <row r="9" spans="1:4" x14ac:dyDescent="0.2">
      <c r="A9" s="1">
        <v>195000</v>
      </c>
      <c r="B9" s="1">
        <v>0</v>
      </c>
      <c r="C9" s="1">
        <v>3.7600000000000002</v>
      </c>
      <c r="D9" s="1">
        <v>0</v>
      </c>
    </row>
    <row r="10" spans="1:4" x14ac:dyDescent="0.2">
      <c r="A10" s="1">
        <v>195000</v>
      </c>
      <c r="B10" s="1">
        <v>0</v>
      </c>
      <c r="C10" s="1">
        <v>3.7600000000000002</v>
      </c>
      <c r="D10" s="1">
        <v>0</v>
      </c>
    </row>
    <row r="11" spans="1:4" x14ac:dyDescent="0.2">
      <c r="A11" s="1">
        <v>195000</v>
      </c>
      <c r="B11" s="1">
        <v>0</v>
      </c>
      <c r="C11" s="1">
        <v>3.7600000000000002</v>
      </c>
      <c r="D11" s="1">
        <v>6</v>
      </c>
    </row>
    <row r="12" spans="1:4" x14ac:dyDescent="0.2">
      <c r="A12" s="1">
        <v>260000</v>
      </c>
      <c r="B12" s="1">
        <v>0</v>
      </c>
      <c r="C12" s="1">
        <v>4.6800000000000006</v>
      </c>
      <c r="D12" s="1">
        <v>6</v>
      </c>
    </row>
    <row r="13" spans="1:4" x14ac:dyDescent="0.2">
      <c r="A13" s="1">
        <v>260000</v>
      </c>
      <c r="B13" s="1">
        <v>0</v>
      </c>
      <c r="C13" s="1">
        <v>4.6800000000000006</v>
      </c>
      <c r="D13" s="1">
        <v>0</v>
      </c>
    </row>
    <row r="14" spans="1:4" x14ac:dyDescent="0.2">
      <c r="A14" s="1">
        <v>260000</v>
      </c>
      <c r="B14" s="1">
        <v>0</v>
      </c>
      <c r="C14" s="1">
        <v>4.6800000000000006</v>
      </c>
      <c r="D14" s="1">
        <v>6</v>
      </c>
    </row>
    <row r="15" spans="1:4" x14ac:dyDescent="0.2">
      <c r="A15" s="1">
        <v>325000</v>
      </c>
      <c r="B15" s="1">
        <v>0</v>
      </c>
      <c r="C15" s="1">
        <v>5.6000000000000005</v>
      </c>
      <c r="D15" s="1">
        <v>6</v>
      </c>
    </row>
    <row r="16" spans="1:4" x14ac:dyDescent="0.2">
      <c r="A16" s="1">
        <v>325000</v>
      </c>
      <c r="B16" s="1">
        <v>0</v>
      </c>
      <c r="C16" s="1">
        <v>5.6000000000000005</v>
      </c>
      <c r="D16" s="1">
        <v>0</v>
      </c>
    </row>
    <row r="17" spans="1:4" x14ac:dyDescent="0.2">
      <c r="A17" s="1">
        <v>325000</v>
      </c>
      <c r="B17" s="1">
        <v>0</v>
      </c>
      <c r="C17" s="1">
        <v>5.6000000000000005</v>
      </c>
      <c r="D17" s="1">
        <v>8</v>
      </c>
    </row>
    <row r="18" spans="1:4" x14ac:dyDescent="0.2">
      <c r="A18" s="1">
        <v>390000</v>
      </c>
      <c r="B18" s="1">
        <v>0</v>
      </c>
      <c r="C18" s="1">
        <v>6.5200000000000005</v>
      </c>
      <c r="D18" s="1">
        <v>8</v>
      </c>
    </row>
    <row r="19" spans="1:4" x14ac:dyDescent="0.2">
      <c r="A19" s="1">
        <v>390000</v>
      </c>
      <c r="B19" s="1">
        <v>0</v>
      </c>
      <c r="C19" s="1">
        <v>6.5200000000000005</v>
      </c>
      <c r="D19" s="1">
        <v>0</v>
      </c>
    </row>
    <row r="20" spans="1:4" x14ac:dyDescent="0.2">
      <c r="A20" s="1">
        <v>390000</v>
      </c>
      <c r="B20" s="1">
        <v>0</v>
      </c>
      <c r="C20" s="1">
        <v>6.5200000000000005</v>
      </c>
      <c r="D20" s="1">
        <v>4</v>
      </c>
    </row>
    <row r="21" spans="1:4" x14ac:dyDescent="0.2">
      <c r="A21" s="1">
        <v>455000</v>
      </c>
      <c r="B21" s="1">
        <v>0</v>
      </c>
      <c r="C21" s="1">
        <v>7.44</v>
      </c>
      <c r="D21" s="1">
        <v>4</v>
      </c>
    </row>
    <row r="22" spans="1:4" x14ac:dyDescent="0.2">
      <c r="A22" s="1">
        <v>455000</v>
      </c>
      <c r="B22" s="1">
        <v>0</v>
      </c>
      <c r="C22" s="1">
        <v>7.44</v>
      </c>
      <c r="D22" s="1">
        <v>0</v>
      </c>
    </row>
    <row r="23" spans="1:4" x14ac:dyDescent="0.2">
      <c r="A23" s="1">
        <v>455000</v>
      </c>
      <c r="B23" s="1">
        <v>0</v>
      </c>
      <c r="C23" s="1">
        <v>7.44</v>
      </c>
      <c r="D23" s="1">
        <v>2</v>
      </c>
    </row>
    <row r="24" spans="1:4" x14ac:dyDescent="0.2">
      <c r="A24" s="1">
        <v>520000</v>
      </c>
      <c r="B24" s="1">
        <v>0</v>
      </c>
      <c r="C24" s="1">
        <v>8.3600000000000012</v>
      </c>
      <c r="D24" s="1">
        <v>2</v>
      </c>
    </row>
    <row r="25" spans="1:4" x14ac:dyDescent="0.2">
      <c r="A25" s="1">
        <v>520000</v>
      </c>
      <c r="B25" s="1">
        <v>0</v>
      </c>
      <c r="C25" s="1">
        <v>8.3600000000000012</v>
      </c>
      <c r="D25" s="1">
        <v>0</v>
      </c>
    </row>
    <row r="26" spans="1:4" x14ac:dyDescent="0.2">
      <c r="A26" s="1">
        <v>520000</v>
      </c>
      <c r="B26" s="1">
        <v>0</v>
      </c>
      <c r="C26" s="1">
        <v>8.3600000000000012</v>
      </c>
      <c r="D26" s="1">
        <v>3</v>
      </c>
    </row>
    <row r="27" spans="1:4" x14ac:dyDescent="0.2">
      <c r="A27" s="1">
        <v>585000</v>
      </c>
      <c r="B27" s="1">
        <v>0</v>
      </c>
      <c r="C27" s="1">
        <v>9.2800000000000011</v>
      </c>
      <c r="D27" s="1">
        <v>3</v>
      </c>
    </row>
    <row r="28" spans="1:4" x14ac:dyDescent="0.2">
      <c r="A28" s="1">
        <v>585000</v>
      </c>
      <c r="B28" s="1">
        <v>0</v>
      </c>
      <c r="C28" s="1">
        <v>9.2800000000000011</v>
      </c>
      <c r="D28" s="1">
        <v>0</v>
      </c>
    </row>
    <row r="29" spans="1:4" x14ac:dyDescent="0.2">
      <c r="A29" s="1">
        <v>585000</v>
      </c>
      <c r="B29" s="1">
        <v>2</v>
      </c>
      <c r="C29" s="1">
        <v>9.2800000000000011</v>
      </c>
      <c r="D29" s="1">
        <v>4</v>
      </c>
    </row>
    <row r="30" spans="1:4" x14ac:dyDescent="0.2">
      <c r="A30" s="1">
        <v>650000</v>
      </c>
      <c r="B30" s="1">
        <v>2</v>
      </c>
      <c r="C30" s="1">
        <v>10.200000000000001</v>
      </c>
      <c r="D30" s="1">
        <v>4</v>
      </c>
    </row>
    <row r="31" spans="1:4" x14ac:dyDescent="0.2">
      <c r="A31" s="1">
        <v>650000</v>
      </c>
      <c r="B31" s="1">
        <v>0</v>
      </c>
      <c r="C31" s="1">
        <v>10.200000000000001</v>
      </c>
      <c r="D31" s="1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53"/>
  <dimension ref="D1:H14"/>
  <sheetViews>
    <sheetView workbookViewId="0"/>
  </sheetViews>
  <sheetFormatPr defaultRowHeight="12.75" x14ac:dyDescent="0.2"/>
  <sheetData>
    <row r="1" spans="4:8" x14ac:dyDescent="0.2">
      <c r="D1" s="1">
        <v>6.0698449995565342</v>
      </c>
      <c r="E1" s="1">
        <v>0</v>
      </c>
      <c r="G1" s="1">
        <v>0</v>
      </c>
      <c r="H1" s="1">
        <v>6.0698449995565342</v>
      </c>
    </row>
    <row r="2" spans="4:8" x14ac:dyDescent="0.2">
      <c r="D2" s="1">
        <v>4.9651702418060859</v>
      </c>
      <c r="E2" s="1">
        <v>0</v>
      </c>
      <c r="G2" s="1">
        <v>0</v>
      </c>
      <c r="H2" s="1">
        <v>4.9651702418060859</v>
      </c>
    </row>
    <row r="3" spans="4:8" x14ac:dyDescent="0.2">
      <c r="D3" s="1">
        <v>5.8414207588872982</v>
      </c>
      <c r="E3" s="1">
        <v>0</v>
      </c>
      <c r="G3" s="1">
        <v>0</v>
      </c>
      <c r="H3" s="1">
        <v>5.8414207588872982</v>
      </c>
    </row>
    <row r="4" spans="4:8" x14ac:dyDescent="0.2">
      <c r="D4" s="1">
        <v>4.3105653099553356</v>
      </c>
      <c r="E4" s="1">
        <v>0</v>
      </c>
      <c r="G4" s="1">
        <v>0</v>
      </c>
      <c r="H4" s="1">
        <v>4.3105653099553356</v>
      </c>
    </row>
    <row r="5" spans="4:8" x14ac:dyDescent="0.2">
      <c r="D5" s="1">
        <v>8.6819286573850096</v>
      </c>
      <c r="E5" s="1">
        <v>10000</v>
      </c>
      <c r="G5" s="1">
        <v>10000</v>
      </c>
      <c r="H5" s="1">
        <v>8.6819286573850096</v>
      </c>
    </row>
    <row r="6" spans="4:8" x14ac:dyDescent="0.2">
      <c r="D6" s="1">
        <v>8.5072964063318501</v>
      </c>
      <c r="E6" s="1">
        <v>0</v>
      </c>
      <c r="G6" s="1">
        <v>0</v>
      </c>
      <c r="H6" s="1">
        <v>8.5072964063318501</v>
      </c>
    </row>
    <row r="7" spans="4:8" x14ac:dyDescent="0.2">
      <c r="D7" s="1">
        <v>6.8894150295407535</v>
      </c>
      <c r="E7" s="1">
        <v>8000</v>
      </c>
      <c r="G7" s="1">
        <v>8000</v>
      </c>
      <c r="H7" s="1">
        <v>6.8894150295407535</v>
      </c>
    </row>
    <row r="8" spans="4:8" x14ac:dyDescent="0.2">
      <c r="D8" s="1">
        <v>9.3563920275718786</v>
      </c>
      <c r="E8" s="1">
        <v>72000</v>
      </c>
      <c r="G8" s="1">
        <v>72000</v>
      </c>
      <c r="H8" s="1">
        <v>9.3563920275718786</v>
      </c>
    </row>
    <row r="9" spans="4:8" x14ac:dyDescent="0.2">
      <c r="D9" s="1">
        <v>10.194363044193498</v>
      </c>
      <c r="E9" s="1">
        <v>647000</v>
      </c>
      <c r="G9" s="1">
        <v>647000</v>
      </c>
      <c r="H9" s="1">
        <v>10.194363044193498</v>
      </c>
    </row>
    <row r="10" spans="4:8" x14ac:dyDescent="0.2">
      <c r="D10" s="1">
        <v>5.2480206109745682</v>
      </c>
      <c r="E10" s="1">
        <v>0</v>
      </c>
      <c r="G10" s="1">
        <v>0</v>
      </c>
      <c r="H10" s="1">
        <v>5.2480206109745682</v>
      </c>
    </row>
    <row r="11" spans="4:8" x14ac:dyDescent="0.2">
      <c r="D11" s="1">
        <v>4.4179967146277637</v>
      </c>
      <c r="E11" s="1">
        <v>0</v>
      </c>
      <c r="G11" s="1">
        <v>0</v>
      </c>
      <c r="H11" s="1">
        <v>4.4179967146277637</v>
      </c>
    </row>
    <row r="12" spans="4:8" x14ac:dyDescent="0.2">
      <c r="D12" s="1">
        <v>9.9762265142859388</v>
      </c>
      <c r="E12" s="1">
        <v>640000</v>
      </c>
      <c r="G12" s="1">
        <v>640000</v>
      </c>
      <c r="H12" s="1">
        <v>9.9762265142859388</v>
      </c>
    </row>
    <row r="13" spans="4:8" x14ac:dyDescent="0.2">
      <c r="D13" s="1">
        <v>4.8553816390389022</v>
      </c>
      <c r="E13" s="1">
        <v>0</v>
      </c>
      <c r="G13" s="1">
        <v>0</v>
      </c>
      <c r="H13" s="1">
        <v>4.8553816390389022</v>
      </c>
    </row>
    <row r="14" spans="4:8" x14ac:dyDescent="0.2">
      <c r="D14" s="1">
        <v>7.7156678293694831</v>
      </c>
      <c r="E14" s="1">
        <v>20000</v>
      </c>
      <c r="G14" s="1">
        <v>20000</v>
      </c>
      <c r="H14" s="1">
        <v>7.7156678293694831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54"/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2</v>
      </c>
      <c r="D1" s="1">
        <v>0</v>
      </c>
    </row>
    <row r="2" spans="1:4" x14ac:dyDescent="0.2">
      <c r="A2" s="1">
        <v>0</v>
      </c>
      <c r="B2" s="1">
        <v>12</v>
      </c>
      <c r="C2" s="1">
        <v>2</v>
      </c>
      <c r="D2" s="1">
        <v>0</v>
      </c>
    </row>
    <row r="3" spans="1:4" x14ac:dyDescent="0.2">
      <c r="A3" s="1">
        <v>65000</v>
      </c>
      <c r="B3" s="1">
        <v>12</v>
      </c>
      <c r="C3" s="1">
        <v>2.7895005239727904</v>
      </c>
      <c r="D3" s="1">
        <v>0</v>
      </c>
    </row>
    <row r="4" spans="1:4" x14ac:dyDescent="0.2">
      <c r="A4" s="1">
        <v>65000</v>
      </c>
      <c r="B4" s="1">
        <v>0</v>
      </c>
      <c r="C4" s="1">
        <v>2.7895005239727904</v>
      </c>
      <c r="D4" s="1">
        <v>0</v>
      </c>
    </row>
    <row r="5" spans="1:4" x14ac:dyDescent="0.2">
      <c r="A5" s="1">
        <v>65000</v>
      </c>
      <c r="B5" s="1">
        <v>1</v>
      </c>
      <c r="C5" s="1">
        <v>2.7895005239727904</v>
      </c>
      <c r="D5" s="1">
        <v>2</v>
      </c>
    </row>
    <row r="6" spans="1:4" x14ac:dyDescent="0.2">
      <c r="A6" s="1">
        <v>130000</v>
      </c>
      <c r="B6" s="1">
        <v>1</v>
      </c>
      <c r="C6" s="1">
        <v>3.5790010479455807</v>
      </c>
      <c r="D6" s="1">
        <v>2</v>
      </c>
    </row>
    <row r="7" spans="1:4" x14ac:dyDescent="0.2">
      <c r="A7" s="1">
        <v>130000</v>
      </c>
      <c r="B7" s="1">
        <v>0</v>
      </c>
      <c r="C7" s="1">
        <v>3.5790010479455807</v>
      </c>
      <c r="D7" s="1">
        <v>0</v>
      </c>
    </row>
    <row r="8" spans="1:4" x14ac:dyDescent="0.2">
      <c r="A8" s="1">
        <v>130000</v>
      </c>
      <c r="B8" s="1">
        <v>0</v>
      </c>
      <c r="C8" s="1">
        <v>3.5790010479455807</v>
      </c>
      <c r="D8" s="1">
        <v>1</v>
      </c>
    </row>
    <row r="9" spans="1:4" x14ac:dyDescent="0.2">
      <c r="A9" s="1">
        <v>195000</v>
      </c>
      <c r="B9" s="1">
        <v>0</v>
      </c>
      <c r="C9" s="1">
        <v>4.3685015719183715</v>
      </c>
      <c r="D9" s="1">
        <v>1</v>
      </c>
    </row>
    <row r="10" spans="1:4" x14ac:dyDescent="0.2">
      <c r="A10" s="1">
        <v>195000</v>
      </c>
      <c r="B10" s="1">
        <v>0</v>
      </c>
      <c r="C10" s="1">
        <v>4.3685015719183715</v>
      </c>
      <c r="D10" s="1">
        <v>0</v>
      </c>
    </row>
    <row r="11" spans="1:4" x14ac:dyDescent="0.2">
      <c r="A11" s="1">
        <v>195000</v>
      </c>
      <c r="B11" s="1">
        <v>1</v>
      </c>
      <c r="C11" s="1">
        <v>4.3685015719183715</v>
      </c>
      <c r="D11" s="1">
        <v>0</v>
      </c>
    </row>
    <row r="12" spans="1:4" x14ac:dyDescent="0.2">
      <c r="A12" s="1">
        <v>260000</v>
      </c>
      <c r="B12" s="1">
        <v>1</v>
      </c>
      <c r="C12" s="1">
        <v>5.1580020958911614</v>
      </c>
      <c r="D12" s="1">
        <v>0</v>
      </c>
    </row>
    <row r="13" spans="1:4" x14ac:dyDescent="0.2">
      <c r="A13" s="1">
        <v>260000</v>
      </c>
      <c r="B13" s="1">
        <v>0</v>
      </c>
      <c r="C13" s="1">
        <v>5.1580020958911614</v>
      </c>
      <c r="D13" s="1">
        <v>0</v>
      </c>
    </row>
    <row r="14" spans="1:4" x14ac:dyDescent="0.2">
      <c r="A14" s="1">
        <v>260000</v>
      </c>
      <c r="B14" s="1">
        <v>0</v>
      </c>
      <c r="C14" s="1">
        <v>5.1580020958911614</v>
      </c>
      <c r="D14" s="1">
        <v>3</v>
      </c>
    </row>
    <row r="15" spans="1:4" x14ac:dyDescent="0.2">
      <c r="A15" s="1">
        <v>325000</v>
      </c>
      <c r="B15" s="1">
        <v>0</v>
      </c>
      <c r="C15" s="1">
        <v>5.9475026198639522</v>
      </c>
      <c r="D15" s="1">
        <v>3</v>
      </c>
    </row>
    <row r="16" spans="1:4" x14ac:dyDescent="0.2">
      <c r="A16" s="1">
        <v>325000</v>
      </c>
      <c r="B16" s="1">
        <v>0</v>
      </c>
      <c r="C16" s="1">
        <v>5.9475026198639522</v>
      </c>
      <c r="D16" s="1">
        <v>0</v>
      </c>
    </row>
    <row r="17" spans="1:4" x14ac:dyDescent="0.2">
      <c r="A17" s="1">
        <v>325000</v>
      </c>
      <c r="B17" s="1">
        <v>0</v>
      </c>
      <c r="C17" s="1">
        <v>5.9475026198639522</v>
      </c>
      <c r="D17" s="1">
        <v>1</v>
      </c>
    </row>
    <row r="18" spans="1:4" x14ac:dyDescent="0.2">
      <c r="A18" s="1">
        <v>390000</v>
      </c>
      <c r="B18" s="1">
        <v>0</v>
      </c>
      <c r="C18" s="1">
        <v>6.737003143836743</v>
      </c>
      <c r="D18" s="1">
        <v>1</v>
      </c>
    </row>
    <row r="19" spans="1:4" x14ac:dyDescent="0.2">
      <c r="A19" s="1">
        <v>390000</v>
      </c>
      <c r="B19" s="1">
        <v>0</v>
      </c>
      <c r="C19" s="1">
        <v>6.737003143836743</v>
      </c>
      <c r="D19" s="1">
        <v>0</v>
      </c>
    </row>
    <row r="20" spans="1:4" x14ac:dyDescent="0.2">
      <c r="A20" s="1">
        <v>390000</v>
      </c>
      <c r="B20" s="1">
        <v>0</v>
      </c>
      <c r="C20" s="1">
        <v>6.737003143836743</v>
      </c>
      <c r="D20" s="1">
        <v>3</v>
      </c>
    </row>
    <row r="21" spans="1:4" x14ac:dyDescent="0.2">
      <c r="A21" s="1">
        <v>455000</v>
      </c>
      <c r="B21" s="1">
        <v>0</v>
      </c>
      <c r="C21" s="1">
        <v>7.5265036678095329</v>
      </c>
      <c r="D21" s="1">
        <v>3</v>
      </c>
    </row>
    <row r="22" spans="1:4" x14ac:dyDescent="0.2">
      <c r="A22" s="1">
        <v>455000</v>
      </c>
      <c r="B22" s="1">
        <v>0</v>
      </c>
      <c r="C22" s="1">
        <v>7.5265036678095329</v>
      </c>
      <c r="D22" s="1">
        <v>0</v>
      </c>
    </row>
    <row r="23" spans="1:4" x14ac:dyDescent="0.2">
      <c r="A23" s="1">
        <v>455000</v>
      </c>
      <c r="B23" s="1">
        <v>0</v>
      </c>
      <c r="C23" s="1">
        <v>7.5265036678095329</v>
      </c>
      <c r="D23" s="1">
        <v>0</v>
      </c>
    </row>
    <row r="24" spans="1:4" x14ac:dyDescent="0.2">
      <c r="A24" s="1">
        <v>520000</v>
      </c>
      <c r="B24" s="1">
        <v>0</v>
      </c>
      <c r="C24" s="1">
        <v>8.3160041917823229</v>
      </c>
      <c r="D24" s="1">
        <v>0</v>
      </c>
    </row>
    <row r="25" spans="1:4" x14ac:dyDescent="0.2">
      <c r="A25" s="1">
        <v>520000</v>
      </c>
      <c r="B25" s="1">
        <v>0</v>
      </c>
      <c r="C25" s="1">
        <v>8.3160041917823229</v>
      </c>
      <c r="D25" s="1">
        <v>0</v>
      </c>
    </row>
    <row r="26" spans="1:4" x14ac:dyDescent="0.2">
      <c r="A26" s="1">
        <v>520000</v>
      </c>
      <c r="B26" s="1">
        <v>0</v>
      </c>
      <c r="C26" s="1">
        <v>8.3160041917823229</v>
      </c>
      <c r="D26" s="1">
        <v>2</v>
      </c>
    </row>
    <row r="27" spans="1:4" x14ac:dyDescent="0.2">
      <c r="A27" s="1">
        <v>585000</v>
      </c>
      <c r="B27" s="1">
        <v>0</v>
      </c>
      <c r="C27" s="1">
        <v>9.1055047157551137</v>
      </c>
      <c r="D27" s="1">
        <v>2</v>
      </c>
    </row>
    <row r="28" spans="1:4" x14ac:dyDescent="0.2">
      <c r="A28" s="1">
        <v>585000</v>
      </c>
      <c r="B28" s="1">
        <v>0</v>
      </c>
      <c r="C28" s="1">
        <v>9.1055047157551137</v>
      </c>
      <c r="D28" s="1">
        <v>0</v>
      </c>
    </row>
    <row r="29" spans="1:4" x14ac:dyDescent="0.2">
      <c r="A29" s="1">
        <v>585000</v>
      </c>
      <c r="B29" s="1">
        <v>2</v>
      </c>
      <c r="C29" s="1">
        <v>9.1055047157551137</v>
      </c>
      <c r="D29" s="1">
        <v>1</v>
      </c>
    </row>
    <row r="30" spans="1:4" x14ac:dyDescent="0.2">
      <c r="A30" s="1">
        <v>650000</v>
      </c>
      <c r="B30" s="1">
        <v>2</v>
      </c>
      <c r="C30" s="1">
        <v>9.8950052397279045</v>
      </c>
      <c r="D30" s="1">
        <v>1</v>
      </c>
    </row>
    <row r="31" spans="1:4" x14ac:dyDescent="0.2">
      <c r="A31" s="1">
        <v>650000</v>
      </c>
      <c r="B31" s="1">
        <v>0</v>
      </c>
      <c r="C31" s="1">
        <v>9.8950052397279045</v>
      </c>
      <c r="D31" s="1"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59"/>
  <dimension ref="D1:H13"/>
  <sheetViews>
    <sheetView workbookViewId="0"/>
  </sheetViews>
  <sheetFormatPr defaultRowHeight="12.75" x14ac:dyDescent="0.2"/>
  <sheetData>
    <row r="1" spans="4:8" x14ac:dyDescent="0.2">
      <c r="D1" s="1">
        <v>5.2202612023197608</v>
      </c>
      <c r="E1" s="1">
        <v>0</v>
      </c>
      <c r="G1" s="1">
        <v>0</v>
      </c>
      <c r="H1" s="1">
        <v>5.2202612023197608</v>
      </c>
    </row>
    <row r="2" spans="4:8" x14ac:dyDescent="0.2">
      <c r="D2" s="1">
        <v>2.8529793300545307</v>
      </c>
      <c r="E2" s="1">
        <v>0</v>
      </c>
      <c r="G2" s="1">
        <v>0</v>
      </c>
      <c r="H2" s="1">
        <v>2.8529793300545307</v>
      </c>
    </row>
    <row r="3" spans="4:8" x14ac:dyDescent="0.2">
      <c r="D3" s="1">
        <v>7.1458986870336512</v>
      </c>
      <c r="E3" s="1">
        <v>10000</v>
      </c>
      <c r="G3" s="1">
        <v>10000</v>
      </c>
      <c r="H3" s="1">
        <v>7.1458986870336512</v>
      </c>
    </row>
    <row r="4" spans="4:8" x14ac:dyDescent="0.2">
      <c r="D4" s="1">
        <v>6.2611456390424101</v>
      </c>
      <c r="E4" s="1">
        <v>0</v>
      </c>
      <c r="G4" s="1">
        <v>0</v>
      </c>
      <c r="H4" s="1">
        <v>6.2611456390424101</v>
      </c>
    </row>
    <row r="5" spans="4:8" x14ac:dyDescent="0.2">
      <c r="D5" s="1">
        <v>8.4706881735817934</v>
      </c>
      <c r="E5" s="1">
        <v>72000</v>
      </c>
      <c r="G5" s="1">
        <v>72000</v>
      </c>
      <c r="H5" s="1">
        <v>8.4706881735817934</v>
      </c>
    </row>
    <row r="6" spans="4:8" x14ac:dyDescent="0.2">
      <c r="D6" s="1">
        <v>9.7950052397279048</v>
      </c>
      <c r="E6" s="1">
        <v>647000</v>
      </c>
      <c r="G6" s="1">
        <v>647000</v>
      </c>
      <c r="H6" s="1">
        <v>9.7950052397279048</v>
      </c>
    </row>
    <row r="7" spans="4:8" x14ac:dyDescent="0.2">
      <c r="D7" s="1">
        <v>5.79994071179439</v>
      </c>
      <c r="E7" s="1">
        <v>0</v>
      </c>
      <c r="G7" s="1">
        <v>0</v>
      </c>
      <c r="H7" s="1">
        <v>5.79994071179439</v>
      </c>
    </row>
    <row r="8" spans="4:8" x14ac:dyDescent="0.2">
      <c r="D8" s="1">
        <v>3.5780606827381845</v>
      </c>
      <c r="E8" s="1">
        <v>0</v>
      </c>
      <c r="G8" s="1">
        <v>0</v>
      </c>
      <c r="H8" s="1">
        <v>3.5780606827381845</v>
      </c>
    </row>
    <row r="9" spans="4:8" x14ac:dyDescent="0.2">
      <c r="D9" s="1">
        <v>8.8569617292540705</v>
      </c>
      <c r="E9" s="1">
        <v>640000</v>
      </c>
      <c r="G9" s="1">
        <v>640000</v>
      </c>
      <c r="H9" s="1">
        <v>8.8569617292540705</v>
      </c>
    </row>
    <row r="10" spans="4:8" x14ac:dyDescent="0.2">
      <c r="D10" s="1">
        <v>5.19713967145191</v>
      </c>
      <c r="E10" s="1">
        <v>0</v>
      </c>
      <c r="G10" s="1">
        <v>0</v>
      </c>
      <c r="H10" s="1">
        <v>5.19713967145191</v>
      </c>
    </row>
    <row r="11" spans="4:8" x14ac:dyDescent="0.2">
      <c r="D11" s="1">
        <v>7.1426663508064374</v>
      </c>
      <c r="E11" s="1">
        <v>20000</v>
      </c>
      <c r="G11" s="1">
        <v>20000</v>
      </c>
      <c r="H11" s="1">
        <v>7.1426663508064374</v>
      </c>
    </row>
    <row r="12" spans="4:8" x14ac:dyDescent="0.2">
      <c r="D12" s="1">
        <v>4.0152017481211777</v>
      </c>
      <c r="E12" s="1">
        <v>215000</v>
      </c>
      <c r="G12" s="1">
        <v>215000</v>
      </c>
      <c r="H12" s="1">
        <v>4.0152017481211777</v>
      </c>
    </row>
    <row r="13" spans="4:8" x14ac:dyDescent="0.2">
      <c r="D13" s="1">
        <v>7.4866883260265222</v>
      </c>
      <c r="E13" s="1">
        <v>60000</v>
      </c>
      <c r="G13" s="1">
        <v>60000</v>
      </c>
      <c r="H13" s="1">
        <v>7.4866883260265222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la2"/>
  <dimension ref="A1:W84"/>
  <sheetViews>
    <sheetView topLeftCell="A21" workbookViewId="0">
      <selection activeCell="D48" sqref="D48"/>
    </sheetView>
  </sheetViews>
  <sheetFormatPr defaultRowHeight="12.75" x14ac:dyDescent="0.2"/>
  <cols>
    <col min="1" max="1" width="20.42578125" bestFit="1" customWidth="1"/>
    <col min="14" max="14" width="12.28515625" bestFit="1" customWidth="1"/>
    <col min="22" max="23" width="8.140625" customWidth="1"/>
    <col min="41" max="41" width="8.140625" customWidth="1"/>
  </cols>
  <sheetData>
    <row r="1" spans="1:23" x14ac:dyDescent="0.2">
      <c r="A1" s="75"/>
      <c r="B1" s="76" t="s">
        <v>57</v>
      </c>
      <c r="C1" s="76"/>
      <c r="D1" s="76"/>
      <c r="E1" s="76"/>
      <c r="F1" s="75" t="s">
        <v>371</v>
      </c>
      <c r="G1" s="75"/>
      <c r="H1" s="75"/>
      <c r="I1" s="76"/>
      <c r="J1" s="76"/>
      <c r="K1" s="76"/>
      <c r="L1" s="76"/>
      <c r="Q1" t="s">
        <v>370</v>
      </c>
    </row>
    <row r="2" spans="1:23" x14ac:dyDescent="0.2">
      <c r="A2" s="75"/>
      <c r="B2" s="76" t="s">
        <v>58</v>
      </c>
      <c r="C2" s="76"/>
      <c r="D2" s="76"/>
      <c r="E2" s="76"/>
      <c r="F2" s="75"/>
      <c r="G2" s="75"/>
      <c r="H2" s="75"/>
      <c r="I2" s="76"/>
      <c r="J2" s="76"/>
      <c r="K2" s="76"/>
      <c r="L2" s="76"/>
      <c r="Q2" t="s">
        <v>372</v>
      </c>
    </row>
    <row r="3" spans="1:23" ht="82.5" customHeight="1" x14ac:dyDescent="0.2">
      <c r="A3" s="77" t="s">
        <v>59</v>
      </c>
      <c r="B3" s="77">
        <v>1991</v>
      </c>
      <c r="C3" s="77">
        <v>1992</v>
      </c>
      <c r="D3" s="77">
        <v>1993</v>
      </c>
      <c r="E3" s="77">
        <v>1994</v>
      </c>
      <c r="F3" s="77">
        <v>1995</v>
      </c>
      <c r="G3" s="78" t="s">
        <v>60</v>
      </c>
      <c r="H3" s="78" t="s">
        <v>61</v>
      </c>
      <c r="I3" s="78" t="s">
        <v>62</v>
      </c>
      <c r="J3" s="78" t="s">
        <v>63</v>
      </c>
      <c r="K3" s="78" t="s">
        <v>64</v>
      </c>
      <c r="L3" s="78" t="s">
        <v>65</v>
      </c>
      <c r="M3" s="84" t="s">
        <v>117</v>
      </c>
      <c r="N3" s="82" t="s">
        <v>31</v>
      </c>
      <c r="O3" s="83" t="s">
        <v>116</v>
      </c>
      <c r="P3" s="83" t="s">
        <v>358</v>
      </c>
      <c r="Q3" s="82">
        <v>2011</v>
      </c>
      <c r="R3" s="82">
        <v>2012</v>
      </c>
      <c r="S3" s="82">
        <v>2013</v>
      </c>
      <c r="T3" s="82">
        <v>2014</v>
      </c>
      <c r="U3" s="84" t="s">
        <v>124</v>
      </c>
      <c r="V3" s="83" t="s">
        <v>31</v>
      </c>
      <c r="W3" s="83" t="s">
        <v>359</v>
      </c>
    </row>
    <row r="4" spans="1:23" x14ac:dyDescent="0.2">
      <c r="A4" s="23" t="s">
        <v>66</v>
      </c>
      <c r="B4" s="79">
        <v>147</v>
      </c>
      <c r="C4" s="79">
        <v>695</v>
      </c>
      <c r="D4" s="79">
        <v>560</v>
      </c>
      <c r="E4" s="79">
        <v>585</v>
      </c>
      <c r="F4" s="79">
        <v>110</v>
      </c>
      <c r="G4" s="79">
        <v>490</v>
      </c>
      <c r="H4" s="79">
        <v>395</v>
      </c>
      <c r="I4" s="79">
        <v>395</v>
      </c>
      <c r="J4" s="79">
        <v>395</v>
      </c>
      <c r="K4" s="79">
        <v>395</v>
      </c>
      <c r="L4" s="79">
        <v>395</v>
      </c>
      <c r="M4" s="1">
        <f>AVERAGE(B4:L4)</f>
        <v>414.72727272727275</v>
      </c>
      <c r="N4" s="19">
        <f>_xlfn.STDEV.S(B4:M4)/SQRT(COUNT(B4:M4))</f>
        <v>47.736507043176026</v>
      </c>
      <c r="O4" s="79">
        <v>0</v>
      </c>
      <c r="P4" s="8">
        <v>6.0698449995565342</v>
      </c>
      <c r="Q4" s="79"/>
      <c r="R4" s="79"/>
      <c r="S4" s="79"/>
      <c r="T4" s="79"/>
      <c r="V4" s="19"/>
      <c r="W4" s="19"/>
    </row>
    <row r="5" spans="1:23" x14ac:dyDescent="0.2">
      <c r="A5" t="s">
        <v>67</v>
      </c>
      <c r="B5" s="79">
        <v>78</v>
      </c>
      <c r="C5" s="79">
        <v>165</v>
      </c>
      <c r="D5" s="79">
        <v>178</v>
      </c>
      <c r="E5" s="79">
        <v>94</v>
      </c>
      <c r="F5" s="79">
        <v>64</v>
      </c>
      <c r="G5" s="79">
        <v>41</v>
      </c>
      <c r="H5" s="79">
        <v>66</v>
      </c>
      <c r="I5" s="79">
        <v>57</v>
      </c>
      <c r="J5" s="79">
        <v>57</v>
      </c>
      <c r="K5" s="79">
        <v>57</v>
      </c>
      <c r="L5" s="79">
        <v>57</v>
      </c>
      <c r="M5" s="1">
        <f t="shared" ref="M5:M66" si="0">AVERAGE(B5:L5)</f>
        <v>83.090909090909093</v>
      </c>
      <c r="N5" s="19">
        <f t="shared" ref="N5:N66" si="1">_xlfn.STDEV.S(B5:M5)/SQRT(COUNT(B5:M5))</f>
        <v>12.617000643344669</v>
      </c>
      <c r="P5" s="7">
        <v>4.4426108801793722</v>
      </c>
      <c r="V5" s="19"/>
      <c r="W5" s="19"/>
    </row>
    <row r="6" spans="1:23" x14ac:dyDescent="0.2">
      <c r="A6" t="s">
        <v>110</v>
      </c>
      <c r="B6" s="79">
        <v>65</v>
      </c>
      <c r="C6" s="79">
        <v>26</v>
      </c>
      <c r="D6" s="79">
        <v>36</v>
      </c>
      <c r="E6" s="79">
        <v>43</v>
      </c>
      <c r="F6" s="79">
        <v>40</v>
      </c>
      <c r="G6" s="79">
        <v>185</v>
      </c>
      <c r="H6" s="79">
        <v>35</v>
      </c>
      <c r="I6" s="79">
        <v>16</v>
      </c>
      <c r="J6" s="79">
        <v>16</v>
      </c>
      <c r="K6" s="79">
        <v>1</v>
      </c>
      <c r="L6" s="79">
        <v>4</v>
      </c>
      <c r="M6" s="1">
        <f t="shared" si="0"/>
        <v>42.454545454545453</v>
      </c>
      <c r="N6" s="19">
        <f t="shared" si="1"/>
        <v>13.980161071363492</v>
      </c>
      <c r="P6" s="7">
        <v>3.7647344910579248</v>
      </c>
      <c r="V6" s="19"/>
      <c r="W6" s="19"/>
    </row>
    <row r="7" spans="1:23" x14ac:dyDescent="0.2">
      <c r="A7" s="23" t="s">
        <v>68</v>
      </c>
      <c r="B7" s="79">
        <v>139.33333333333334</v>
      </c>
      <c r="C7" s="79">
        <v>139.33333333333334</v>
      </c>
      <c r="D7" s="79">
        <v>158</v>
      </c>
      <c r="E7" s="79">
        <v>104</v>
      </c>
      <c r="F7" s="79">
        <v>156</v>
      </c>
      <c r="G7" s="79">
        <v>139.33333333333334</v>
      </c>
      <c r="H7" s="79">
        <v>139.33333333333334</v>
      </c>
      <c r="I7" s="79">
        <v>139.33333333333334</v>
      </c>
      <c r="J7" s="79">
        <v>139.33333333333334</v>
      </c>
      <c r="K7" s="79">
        <v>139.33333333333334</v>
      </c>
      <c r="L7" s="79">
        <v>139.33333333333334</v>
      </c>
      <c r="M7" s="1">
        <f t="shared" si="0"/>
        <v>139.33333333333331</v>
      </c>
      <c r="N7" s="19">
        <f t="shared" si="1"/>
        <v>3.7685567797261861</v>
      </c>
      <c r="O7" s="79">
        <v>0</v>
      </c>
      <c r="P7" s="7">
        <v>4.9651702418060859</v>
      </c>
      <c r="Q7" s="79"/>
      <c r="R7" s="79"/>
      <c r="S7" s="79"/>
      <c r="T7" s="79"/>
      <c r="V7" s="19"/>
      <c r="W7" s="19"/>
    </row>
    <row r="8" spans="1:23" x14ac:dyDescent="0.2">
      <c r="A8" t="s">
        <v>69</v>
      </c>
      <c r="B8" s="79">
        <v>73</v>
      </c>
      <c r="C8" s="79">
        <v>602</v>
      </c>
      <c r="D8" s="79">
        <v>1196</v>
      </c>
      <c r="E8" s="79">
        <v>667</v>
      </c>
      <c r="F8" s="79">
        <v>114</v>
      </c>
      <c r="G8" s="79">
        <v>246</v>
      </c>
      <c r="H8" s="79">
        <v>200</v>
      </c>
      <c r="I8" s="79">
        <v>578</v>
      </c>
      <c r="J8" s="79">
        <v>320</v>
      </c>
      <c r="K8" s="79">
        <v>1710</v>
      </c>
      <c r="L8" s="79">
        <v>825</v>
      </c>
      <c r="M8" s="1">
        <f t="shared" si="0"/>
        <v>593.72727272727275</v>
      </c>
      <c r="N8" s="19">
        <f t="shared" si="1"/>
        <v>138.17331512913086</v>
      </c>
      <c r="P8" s="7">
        <v>6.4338335269969509</v>
      </c>
      <c r="V8" s="19"/>
      <c r="W8" s="19"/>
    </row>
    <row r="9" spans="1:23" ht="61.35" customHeight="1" x14ac:dyDescent="0.2">
      <c r="A9" s="23" t="s">
        <v>70</v>
      </c>
      <c r="B9" s="79">
        <v>218</v>
      </c>
      <c r="C9" s="79">
        <v>325</v>
      </c>
      <c r="D9" s="79">
        <v>372</v>
      </c>
      <c r="E9" s="79">
        <v>181</v>
      </c>
      <c r="F9" s="79">
        <v>109</v>
      </c>
      <c r="G9" s="79">
        <v>305</v>
      </c>
      <c r="H9" s="79">
        <v>305</v>
      </c>
      <c r="I9" s="79">
        <v>441</v>
      </c>
      <c r="J9" s="79">
        <v>223</v>
      </c>
      <c r="K9" s="79">
        <v>706</v>
      </c>
      <c r="L9" s="79">
        <v>456.66666666666669</v>
      </c>
      <c r="M9" s="1">
        <f t="shared" si="0"/>
        <v>331.06060606060606</v>
      </c>
      <c r="N9" s="19">
        <f t="shared" si="1"/>
        <v>45.042326113559383</v>
      </c>
      <c r="O9" s="79">
        <v>0</v>
      </c>
      <c r="P9" s="7">
        <v>5.8414207588872982</v>
      </c>
      <c r="Q9" s="79">
        <v>280</v>
      </c>
      <c r="R9" s="79">
        <v>569</v>
      </c>
      <c r="S9" s="79">
        <v>137</v>
      </c>
      <c r="T9" s="79">
        <v>43</v>
      </c>
      <c r="U9" s="1">
        <f>AVERAGE(Q9:T9)</f>
        <v>257.25</v>
      </c>
      <c r="V9" s="19">
        <f>STDEV(Q9:T9)/SQRT(COUNT(Q9:T9))</f>
        <v>114.7710583437015</v>
      </c>
      <c r="W9" s="8">
        <v>5.2202612023197608</v>
      </c>
    </row>
    <row r="10" spans="1:23" x14ac:dyDescent="0.2">
      <c r="A10" s="23" t="s">
        <v>111</v>
      </c>
      <c r="B10" s="79">
        <v>47</v>
      </c>
      <c r="C10" s="79">
        <v>18</v>
      </c>
      <c r="D10" s="79">
        <v>16</v>
      </c>
      <c r="E10" s="79">
        <v>35</v>
      </c>
      <c r="F10" s="79">
        <v>24</v>
      </c>
      <c r="G10" s="79">
        <v>20</v>
      </c>
      <c r="H10" s="79">
        <v>19</v>
      </c>
      <c r="I10" s="79">
        <v>19</v>
      </c>
      <c r="J10" s="79">
        <v>20</v>
      </c>
      <c r="K10" s="79">
        <v>285</v>
      </c>
      <c r="L10" s="79">
        <v>299</v>
      </c>
      <c r="M10" s="1">
        <f t="shared" si="0"/>
        <v>72.909090909090907</v>
      </c>
      <c r="N10" s="19">
        <f t="shared" si="1"/>
        <v>29.932361767687755</v>
      </c>
      <c r="O10" s="79">
        <v>0</v>
      </c>
      <c r="P10" s="7">
        <v>4.3105653099553356</v>
      </c>
      <c r="Q10" s="79">
        <v>85</v>
      </c>
      <c r="R10" s="79">
        <v>78</v>
      </c>
      <c r="S10" s="79">
        <v>135</v>
      </c>
      <c r="T10" s="79">
        <v>68</v>
      </c>
      <c r="U10" s="1">
        <f>AVERAGE(Q10:T10)</f>
        <v>91.5</v>
      </c>
      <c r="V10" s="19">
        <f>STDEV(Q10:T10)/SQRT(COUNT(Q10:T10))</f>
        <v>14.91364028889884</v>
      </c>
      <c r="W10" s="7">
        <v>2.8529793300545307</v>
      </c>
    </row>
    <row r="11" spans="1:23" x14ac:dyDescent="0.2">
      <c r="A11" t="s">
        <v>71</v>
      </c>
      <c r="B11" s="79">
        <v>961</v>
      </c>
      <c r="C11" s="79">
        <v>2586</v>
      </c>
      <c r="D11" s="79">
        <v>1951</v>
      </c>
      <c r="E11" s="79">
        <v>2052</v>
      </c>
      <c r="F11" s="79">
        <v>1331</v>
      </c>
      <c r="G11" s="79">
        <v>1421</v>
      </c>
      <c r="H11" s="79">
        <v>1398</v>
      </c>
      <c r="I11" s="79">
        <v>2563</v>
      </c>
      <c r="J11" s="79">
        <v>1403</v>
      </c>
      <c r="K11" s="79">
        <v>1499</v>
      </c>
      <c r="L11" s="79">
        <v>1821.6666666666667</v>
      </c>
      <c r="M11" s="1">
        <f t="shared" si="0"/>
        <v>1726.0606060606062</v>
      </c>
      <c r="N11" s="19">
        <f t="shared" si="1"/>
        <v>143.12367693465666</v>
      </c>
      <c r="P11" s="7">
        <v>7.5182333277999795</v>
      </c>
      <c r="V11" s="19"/>
      <c r="W11" s="7"/>
    </row>
    <row r="12" spans="1:23" x14ac:dyDescent="0.2">
      <c r="A12" t="s">
        <v>112</v>
      </c>
      <c r="B12" s="79">
        <v>6</v>
      </c>
      <c r="C12" s="79">
        <v>2</v>
      </c>
      <c r="D12" s="79">
        <v>14</v>
      </c>
      <c r="E12" s="79">
        <v>6</v>
      </c>
      <c r="F12" s="79">
        <v>6</v>
      </c>
      <c r="G12" s="79">
        <v>14</v>
      </c>
      <c r="H12" s="79">
        <v>7</v>
      </c>
      <c r="I12" s="79">
        <v>0</v>
      </c>
      <c r="J12" s="79">
        <v>0</v>
      </c>
      <c r="K12" s="79">
        <v>0</v>
      </c>
      <c r="L12" s="79">
        <v>8</v>
      </c>
      <c r="M12" s="1">
        <f t="shared" si="0"/>
        <v>5.7272727272727275</v>
      </c>
      <c r="N12" s="19">
        <f t="shared" si="1"/>
        <v>1.3931156986633446</v>
      </c>
      <c r="P12" s="7">
        <v>1.7487675446542148</v>
      </c>
      <c r="V12" s="19"/>
      <c r="W12" s="7"/>
    </row>
    <row r="13" spans="1:23" x14ac:dyDescent="0.2">
      <c r="A13" t="s">
        <v>72</v>
      </c>
      <c r="B13" s="79">
        <v>39</v>
      </c>
      <c r="C13" s="79">
        <v>348</v>
      </c>
      <c r="D13" s="79">
        <v>207</v>
      </c>
      <c r="E13" s="79">
        <v>289</v>
      </c>
      <c r="F13" s="79">
        <v>188</v>
      </c>
      <c r="G13" s="79">
        <v>273</v>
      </c>
      <c r="H13" s="79">
        <v>359</v>
      </c>
      <c r="I13" s="79">
        <v>61</v>
      </c>
      <c r="J13" s="79">
        <v>130</v>
      </c>
      <c r="K13" s="79">
        <v>158</v>
      </c>
      <c r="L13" s="79">
        <v>116.33333333333333</v>
      </c>
      <c r="M13" s="1">
        <f t="shared" si="0"/>
        <v>197.12121212121212</v>
      </c>
      <c r="N13" s="19">
        <f t="shared" si="1"/>
        <v>30.081070950137285</v>
      </c>
      <c r="P13" s="7">
        <v>5.3162462435789521</v>
      </c>
      <c r="V13" s="19"/>
      <c r="W13" s="7"/>
    </row>
    <row r="14" spans="1:23" x14ac:dyDescent="0.2">
      <c r="A14" t="s">
        <v>73</v>
      </c>
      <c r="B14" s="79">
        <v>287</v>
      </c>
      <c r="C14" s="79">
        <v>852</v>
      </c>
      <c r="D14" s="79">
        <v>286</v>
      </c>
      <c r="E14" s="79">
        <v>1054</v>
      </c>
      <c r="F14" s="79">
        <v>1031</v>
      </c>
      <c r="G14" s="79">
        <v>2349</v>
      </c>
      <c r="H14" s="79">
        <v>2595</v>
      </c>
      <c r="I14" s="79">
        <v>557</v>
      </c>
      <c r="J14" s="79">
        <v>2769</v>
      </c>
      <c r="K14" s="79">
        <v>805</v>
      </c>
      <c r="L14" s="79">
        <v>751</v>
      </c>
      <c r="M14" s="1">
        <f t="shared" si="0"/>
        <v>1212.3636363636363</v>
      </c>
      <c r="N14" s="19">
        <f t="shared" si="1"/>
        <v>251.31964654258934</v>
      </c>
      <c r="P14" s="7">
        <v>7.1589656762945779</v>
      </c>
      <c r="V14" s="19"/>
      <c r="W14" s="7"/>
    </row>
    <row r="15" spans="1:23" x14ac:dyDescent="0.2">
      <c r="A15" s="23" t="s">
        <v>74</v>
      </c>
      <c r="B15" s="79">
        <v>3888</v>
      </c>
      <c r="C15" s="79">
        <v>4008</v>
      </c>
      <c r="D15" s="79">
        <v>4765</v>
      </c>
      <c r="E15" s="79">
        <v>4633</v>
      </c>
      <c r="F15" s="79">
        <v>6563</v>
      </c>
      <c r="G15" s="79">
        <v>6401</v>
      </c>
      <c r="H15" s="79">
        <v>8005</v>
      </c>
      <c r="I15" s="79">
        <v>6289</v>
      </c>
      <c r="J15" s="79">
        <v>4952</v>
      </c>
      <c r="K15" s="79">
        <v>5742</v>
      </c>
      <c r="L15" s="79">
        <v>4257</v>
      </c>
      <c r="M15" s="1">
        <f t="shared" si="0"/>
        <v>5409.363636363636</v>
      </c>
      <c r="N15" s="19">
        <f t="shared" si="1"/>
        <v>356.42788536471846</v>
      </c>
      <c r="O15" s="79">
        <v>10000</v>
      </c>
      <c r="P15" s="7">
        <v>8.6819286573850096</v>
      </c>
      <c r="Q15" s="79">
        <v>4500</v>
      </c>
      <c r="R15" s="79">
        <v>4105</v>
      </c>
      <c r="S15" s="79">
        <v>2223</v>
      </c>
      <c r="T15" s="79">
        <v>2778</v>
      </c>
      <c r="U15" s="1">
        <f>AVERAGE(Q15:T15)</f>
        <v>3401.5</v>
      </c>
      <c r="V15" s="19">
        <f>STDEV(Q15:T15)/SQRT(COUNT(Q15:T15))</f>
        <v>538.45682278154857</v>
      </c>
      <c r="W15" s="7">
        <v>7.1458986870336512</v>
      </c>
    </row>
    <row r="16" spans="1:23" x14ac:dyDescent="0.2">
      <c r="A16" t="s">
        <v>75</v>
      </c>
      <c r="B16" s="79">
        <v>1846</v>
      </c>
      <c r="C16" s="79">
        <v>3012</v>
      </c>
      <c r="D16" s="79">
        <v>1694</v>
      </c>
      <c r="E16" s="79">
        <v>1696</v>
      </c>
      <c r="F16" s="79">
        <v>1237</v>
      </c>
      <c r="G16" s="79">
        <v>1748</v>
      </c>
      <c r="H16" s="79">
        <v>1467</v>
      </c>
      <c r="I16" s="79">
        <v>1032</v>
      </c>
      <c r="J16" s="79">
        <v>1178</v>
      </c>
      <c r="K16" s="79">
        <v>1210</v>
      </c>
      <c r="L16" s="79">
        <v>1032</v>
      </c>
      <c r="M16" s="1">
        <f t="shared" si="0"/>
        <v>1559.2727272727273</v>
      </c>
      <c r="N16" s="19">
        <f t="shared" si="1"/>
        <v>155.72071400860534</v>
      </c>
      <c r="P16" s="7">
        <v>7.4148557057941229</v>
      </c>
      <c r="V16" s="19"/>
      <c r="W16" s="7"/>
    </row>
    <row r="17" spans="1:23" x14ac:dyDescent="0.2">
      <c r="A17" s="23" t="s">
        <v>76</v>
      </c>
      <c r="B17" s="79">
        <v>858</v>
      </c>
      <c r="C17" s="79">
        <v>2582</v>
      </c>
      <c r="D17" s="79">
        <v>2406</v>
      </c>
      <c r="E17" s="79">
        <v>1763</v>
      </c>
      <c r="F17" s="79">
        <v>1438</v>
      </c>
      <c r="G17" s="79">
        <v>1508</v>
      </c>
      <c r="H17" s="79">
        <v>2271</v>
      </c>
      <c r="I17" s="79">
        <v>9282</v>
      </c>
      <c r="J17" s="79">
        <v>10723</v>
      </c>
      <c r="K17" s="79">
        <v>14650</v>
      </c>
      <c r="L17" s="79">
        <v>2658</v>
      </c>
      <c r="M17" s="1">
        <f t="shared" si="0"/>
        <v>4558.090909090909</v>
      </c>
      <c r="N17" s="19">
        <f t="shared" si="1"/>
        <v>1291.2492157558443</v>
      </c>
      <c r="O17" s="79">
        <v>0</v>
      </c>
      <c r="P17" s="7">
        <v>8.5072964063318501</v>
      </c>
      <c r="Q17" s="79">
        <v>1653</v>
      </c>
      <c r="R17" s="79">
        <v>1559</v>
      </c>
      <c r="S17" s="79">
        <v>862</v>
      </c>
      <c r="T17" s="79">
        <v>552</v>
      </c>
      <c r="U17" s="1">
        <f>AVERAGE(Q17:T17)</f>
        <v>1156.5</v>
      </c>
      <c r="V17" s="19">
        <f>STDEV(Q17:T17)/SQRT(COUNT(Q17:T17))</f>
        <v>267.81041179660411</v>
      </c>
      <c r="W17" s="7">
        <v>6.2611456390424101</v>
      </c>
    </row>
    <row r="18" spans="1:23" x14ac:dyDescent="0.2">
      <c r="A18" t="s">
        <v>77</v>
      </c>
      <c r="B18" s="79">
        <v>393</v>
      </c>
      <c r="C18" s="79">
        <v>393</v>
      </c>
      <c r="D18" s="79">
        <v>393</v>
      </c>
      <c r="E18" s="79">
        <v>393</v>
      </c>
      <c r="F18" s="79">
        <v>393</v>
      </c>
      <c r="G18" s="79">
        <v>393</v>
      </c>
      <c r="H18" s="79">
        <v>393</v>
      </c>
      <c r="I18" s="79">
        <v>393</v>
      </c>
      <c r="J18" s="79">
        <v>393</v>
      </c>
      <c r="K18" s="79">
        <v>393</v>
      </c>
      <c r="L18" s="79">
        <v>393</v>
      </c>
      <c r="M18" s="1">
        <f t="shared" si="0"/>
        <v>393</v>
      </c>
      <c r="N18" s="19">
        <f t="shared" si="1"/>
        <v>0</v>
      </c>
      <c r="P18" s="7">
        <v>6.0152812153899493</v>
      </c>
      <c r="V18" s="19"/>
      <c r="W18" s="7"/>
    </row>
    <row r="19" spans="1:23" x14ac:dyDescent="0.2">
      <c r="A19" t="s">
        <v>113</v>
      </c>
      <c r="B19" s="79">
        <v>194</v>
      </c>
      <c r="C19" s="79">
        <v>156</v>
      </c>
      <c r="D19" s="79">
        <v>123</v>
      </c>
      <c r="E19" s="79">
        <v>149</v>
      </c>
      <c r="F19" s="79">
        <v>142.66666666666666</v>
      </c>
      <c r="G19" s="79">
        <v>142.66666666666666</v>
      </c>
      <c r="H19" s="79">
        <v>142.66666666666666</v>
      </c>
      <c r="I19" s="79">
        <v>142.66666666666666</v>
      </c>
      <c r="J19" s="79">
        <v>142.66666666666666</v>
      </c>
      <c r="K19" s="79">
        <v>142.66666666666666</v>
      </c>
      <c r="L19" s="79">
        <v>142.66666666666666</v>
      </c>
      <c r="M19" s="1">
        <f t="shared" si="0"/>
        <v>147.33333333333337</v>
      </c>
      <c r="N19" s="19">
        <f t="shared" si="1"/>
        <v>4.7674895101044283</v>
      </c>
      <c r="P19" s="7">
        <v>5.0216436435219549</v>
      </c>
      <c r="V19" s="19"/>
      <c r="W19" s="7"/>
    </row>
    <row r="20" spans="1:23" x14ac:dyDescent="0.2">
      <c r="A20" s="23" t="s">
        <v>78</v>
      </c>
      <c r="B20" s="79">
        <v>697</v>
      </c>
      <c r="C20" s="79">
        <v>1057</v>
      </c>
      <c r="D20" s="79">
        <v>939</v>
      </c>
      <c r="E20" s="79">
        <v>765</v>
      </c>
      <c r="F20" s="79">
        <v>1030</v>
      </c>
      <c r="G20" s="79">
        <v>1031</v>
      </c>
      <c r="H20" s="79">
        <v>942</v>
      </c>
      <c r="I20" s="79">
        <v>942</v>
      </c>
      <c r="J20" s="79">
        <v>942</v>
      </c>
      <c r="K20" s="79">
        <v>942</v>
      </c>
      <c r="L20" s="79">
        <v>942</v>
      </c>
      <c r="M20" s="1">
        <f t="shared" si="0"/>
        <v>929.90909090909088</v>
      </c>
      <c r="N20" s="19">
        <f t="shared" si="1"/>
        <v>29.980411419300623</v>
      </c>
      <c r="O20" s="79">
        <v>8000</v>
      </c>
      <c r="P20" s="7">
        <v>6.8894150295407535</v>
      </c>
      <c r="Q20" s="79"/>
      <c r="R20" s="79"/>
      <c r="S20" s="79"/>
      <c r="T20" s="79"/>
      <c r="V20" s="19"/>
      <c r="W20" s="7"/>
    </row>
    <row r="21" spans="1:23" x14ac:dyDescent="0.2">
      <c r="A21" s="23" t="s">
        <v>79</v>
      </c>
      <c r="B21" s="79">
        <v>11965</v>
      </c>
      <c r="C21" s="79">
        <v>14545</v>
      </c>
      <c r="D21" s="79">
        <v>15380</v>
      </c>
      <c r="E21" s="79">
        <v>11588</v>
      </c>
      <c r="F21" s="79">
        <v>7377</v>
      </c>
      <c r="G21" s="79">
        <v>9093</v>
      </c>
      <c r="H21" s="79">
        <v>11612</v>
      </c>
      <c r="I21" s="79">
        <v>9540</v>
      </c>
      <c r="J21" s="79">
        <v>6932</v>
      </c>
      <c r="K21" s="79">
        <v>10038</v>
      </c>
      <c r="L21" s="79">
        <v>7134</v>
      </c>
      <c r="M21" s="1">
        <f t="shared" si="0"/>
        <v>10473.09090909091</v>
      </c>
      <c r="N21" s="19">
        <f t="shared" si="1"/>
        <v>786.55065388662388</v>
      </c>
      <c r="O21" s="79">
        <v>72000</v>
      </c>
      <c r="P21" s="7">
        <v>9.3563920275718786</v>
      </c>
      <c r="Q21" s="79">
        <v>8181</v>
      </c>
      <c r="R21" s="79">
        <v>8252</v>
      </c>
      <c r="S21" s="79">
        <v>2936</v>
      </c>
      <c r="T21" s="79">
        <v>3257</v>
      </c>
      <c r="U21" s="1">
        <f>AVERAGE(Q21:T21)</f>
        <v>5656.5</v>
      </c>
      <c r="V21" s="19">
        <f>STDEV(Q21:T21)/SQRT(COUNT(Q21:T21))</f>
        <v>1479.5393708854117</v>
      </c>
      <c r="W21" s="7">
        <v>8.4706881735817934</v>
      </c>
    </row>
    <row r="22" spans="1:23" x14ac:dyDescent="0.2">
      <c r="A22" t="s">
        <v>80</v>
      </c>
      <c r="B22" s="79">
        <v>1109.6666666666667</v>
      </c>
      <c r="C22" s="79">
        <v>1510</v>
      </c>
      <c r="D22" s="79">
        <v>965</v>
      </c>
      <c r="E22" s="79">
        <v>854</v>
      </c>
      <c r="F22" s="79">
        <v>582</v>
      </c>
      <c r="G22" s="79">
        <v>1095</v>
      </c>
      <c r="H22" s="79">
        <v>768</v>
      </c>
      <c r="I22" s="79">
        <v>357</v>
      </c>
      <c r="J22" s="79">
        <v>1196</v>
      </c>
      <c r="K22" s="79">
        <v>915</v>
      </c>
      <c r="L22" s="79">
        <v>822.66666666666663</v>
      </c>
      <c r="M22" s="1">
        <f t="shared" si="0"/>
        <v>924.93939393939399</v>
      </c>
      <c r="N22" s="19">
        <f t="shared" si="1"/>
        <v>85.315939063099805</v>
      </c>
      <c r="P22" s="7">
        <v>6.883971038700242</v>
      </c>
      <c r="V22" s="19"/>
      <c r="W22" s="7"/>
    </row>
    <row r="23" spans="1:23" x14ac:dyDescent="0.2">
      <c r="A23" t="s">
        <v>81</v>
      </c>
      <c r="B23" s="79">
        <v>147</v>
      </c>
      <c r="C23" s="79">
        <v>1154</v>
      </c>
      <c r="D23" s="79">
        <v>635</v>
      </c>
      <c r="E23" s="79">
        <v>714</v>
      </c>
      <c r="F23" s="79">
        <v>472</v>
      </c>
      <c r="G23" s="79">
        <v>889</v>
      </c>
      <c r="H23" s="79">
        <v>565</v>
      </c>
      <c r="I23" s="79">
        <v>231</v>
      </c>
      <c r="J23" s="79">
        <v>1022</v>
      </c>
      <c r="K23" s="79">
        <v>654</v>
      </c>
      <c r="L23" s="79">
        <v>287</v>
      </c>
      <c r="M23" s="1">
        <f t="shared" si="0"/>
        <v>615.4545454545455</v>
      </c>
      <c r="N23" s="19">
        <f t="shared" si="1"/>
        <v>88.761628656548879</v>
      </c>
      <c r="P23" s="7">
        <v>6.4703110366501955</v>
      </c>
      <c r="V23" s="19"/>
      <c r="W23" s="7"/>
    </row>
    <row r="24" spans="1:23" x14ac:dyDescent="0.2">
      <c r="A24" t="s">
        <v>82</v>
      </c>
      <c r="B24" s="79">
        <v>11</v>
      </c>
      <c r="C24" s="79">
        <v>8</v>
      </c>
      <c r="D24" s="79">
        <v>15</v>
      </c>
      <c r="E24" s="79">
        <v>7</v>
      </c>
      <c r="F24" s="79">
        <v>4</v>
      </c>
      <c r="G24" s="79">
        <v>3</v>
      </c>
      <c r="H24" s="79">
        <v>1</v>
      </c>
      <c r="I24" s="79">
        <v>2.6666666666666665</v>
      </c>
      <c r="J24" s="79">
        <v>2.6666666666666665</v>
      </c>
      <c r="K24" s="79">
        <v>2.6666666666666665</v>
      </c>
      <c r="L24" s="79">
        <v>2.6666666666666665</v>
      </c>
      <c r="M24" s="1">
        <f t="shared" si="0"/>
        <v>5.424242424242423</v>
      </c>
      <c r="N24" s="19">
        <f t="shared" si="1"/>
        <v>1.1991094542693044</v>
      </c>
      <c r="P24" s="7">
        <v>1.6941898315753594</v>
      </c>
      <c r="V24" s="19"/>
      <c r="W24" s="7"/>
    </row>
    <row r="25" spans="1:23" x14ac:dyDescent="0.2">
      <c r="A25" t="s">
        <v>83</v>
      </c>
      <c r="B25" s="79">
        <v>117</v>
      </c>
      <c r="C25" s="79">
        <v>76</v>
      </c>
      <c r="D25" s="79">
        <v>83</v>
      </c>
      <c r="E25" s="79">
        <v>51</v>
      </c>
      <c r="F25" s="79">
        <v>77</v>
      </c>
      <c r="G25" s="79">
        <v>77</v>
      </c>
      <c r="H25" s="79">
        <v>68</v>
      </c>
      <c r="I25" s="79">
        <v>74</v>
      </c>
      <c r="J25" s="79">
        <v>74</v>
      </c>
      <c r="K25" s="79">
        <v>74</v>
      </c>
      <c r="L25" s="79">
        <v>74</v>
      </c>
      <c r="M25" s="1">
        <f t="shared" si="0"/>
        <v>76.818181818181813</v>
      </c>
      <c r="N25" s="19">
        <f t="shared" si="1"/>
        <v>4.2902606084192954</v>
      </c>
      <c r="P25" s="7">
        <v>4.3633173666019225</v>
      </c>
      <c r="V25" s="19"/>
      <c r="W25" s="7"/>
    </row>
    <row r="26" spans="1:23" x14ac:dyDescent="0.2">
      <c r="A26" t="s">
        <v>84</v>
      </c>
      <c r="B26" s="79">
        <v>976</v>
      </c>
      <c r="C26" s="79">
        <v>892</v>
      </c>
      <c r="D26" s="79">
        <v>253</v>
      </c>
      <c r="E26" s="79">
        <v>471</v>
      </c>
      <c r="F26" s="79">
        <v>181</v>
      </c>
      <c r="G26" s="79">
        <v>246</v>
      </c>
      <c r="H26" s="79">
        <v>108</v>
      </c>
      <c r="I26" s="79">
        <v>14</v>
      </c>
      <c r="J26" s="79">
        <v>148</v>
      </c>
      <c r="K26" s="79">
        <v>97</v>
      </c>
      <c r="L26" s="79">
        <v>86.333333333333329</v>
      </c>
      <c r="M26" s="1">
        <f t="shared" si="0"/>
        <v>315.66666666666669</v>
      </c>
      <c r="N26" s="19">
        <f t="shared" si="1"/>
        <v>90.532664269109532</v>
      </c>
      <c r="P26" s="7">
        <v>5.7931652841543029</v>
      </c>
      <c r="V26" s="19"/>
      <c r="W26" s="7"/>
    </row>
    <row r="27" spans="1:23" x14ac:dyDescent="0.2">
      <c r="A27" t="s">
        <v>85</v>
      </c>
      <c r="B27" s="79">
        <v>3008</v>
      </c>
      <c r="C27" s="79">
        <v>9305</v>
      </c>
      <c r="D27" s="79">
        <v>4421</v>
      </c>
      <c r="E27" s="79">
        <v>5152</v>
      </c>
      <c r="F27" s="79">
        <v>4143</v>
      </c>
      <c r="G27" s="79">
        <v>4546</v>
      </c>
      <c r="H27" s="79">
        <v>3624</v>
      </c>
      <c r="I27" s="79">
        <v>21346</v>
      </c>
      <c r="J27" s="79">
        <v>32649</v>
      </c>
      <c r="K27" s="79">
        <v>31632</v>
      </c>
      <c r="L27" s="79">
        <v>28542.333333333332</v>
      </c>
      <c r="M27" s="1">
        <f t="shared" si="0"/>
        <v>13488.030303030304</v>
      </c>
      <c r="N27" s="19">
        <f t="shared" si="1"/>
        <v>3402.6993875418011</v>
      </c>
      <c r="P27" s="7">
        <v>9.6149375045543604</v>
      </c>
      <c r="V27" s="19"/>
      <c r="W27" s="7"/>
    </row>
    <row r="28" spans="1:23" x14ac:dyDescent="0.2">
      <c r="A28" s="23" t="s">
        <v>86</v>
      </c>
      <c r="B28" s="79">
        <v>13118</v>
      </c>
      <c r="C28" s="79">
        <v>14954</v>
      </c>
      <c r="D28" s="79">
        <v>13919</v>
      </c>
      <c r="E28" s="79">
        <v>18104</v>
      </c>
      <c r="F28" s="79">
        <v>28044</v>
      </c>
      <c r="G28" s="79">
        <v>28626</v>
      </c>
      <c r="H28" s="79">
        <v>23497</v>
      </c>
      <c r="I28" s="79">
        <v>34676</v>
      </c>
      <c r="J28" s="79">
        <v>25477</v>
      </c>
      <c r="K28" s="79">
        <v>34109</v>
      </c>
      <c r="L28" s="79">
        <v>26900</v>
      </c>
      <c r="M28" s="1">
        <f t="shared" si="0"/>
        <v>23765.81818181818</v>
      </c>
      <c r="N28" s="19">
        <f t="shared" si="1"/>
        <v>2133.4304635257572</v>
      </c>
      <c r="O28" s="79">
        <v>647000</v>
      </c>
      <c r="P28" s="7">
        <v>10.194363044193498</v>
      </c>
      <c r="Q28" s="79">
        <v>25221</v>
      </c>
      <c r="R28" s="79">
        <v>21176</v>
      </c>
      <c r="S28" s="79">
        <v>19291</v>
      </c>
      <c r="T28" s="79">
        <v>7067</v>
      </c>
      <c r="U28" s="1">
        <f t="shared" ref="U28:U29" si="2">AVERAGE(Q28:T28)</f>
        <v>18188.75</v>
      </c>
      <c r="V28" s="19">
        <f t="shared" ref="V28:V29" si="3">STDEV(Q28:T28)/SQRT(COUNT(Q28:T28))</f>
        <v>3908.1589948678734</v>
      </c>
      <c r="W28" s="7">
        <v>9.7950052397279048</v>
      </c>
    </row>
    <row r="29" spans="1:23" x14ac:dyDescent="0.2">
      <c r="A29" s="23" t="s">
        <v>87</v>
      </c>
      <c r="B29" s="79">
        <v>44</v>
      </c>
      <c r="C29" s="79">
        <v>187</v>
      </c>
      <c r="D29" s="79">
        <v>160</v>
      </c>
      <c r="E29" s="79">
        <v>121</v>
      </c>
      <c r="F29" s="79">
        <v>50</v>
      </c>
      <c r="G29" s="79">
        <v>87</v>
      </c>
      <c r="H29" s="79">
        <v>34</v>
      </c>
      <c r="I29" s="79">
        <v>181</v>
      </c>
      <c r="J29" s="79">
        <v>139</v>
      </c>
      <c r="K29" s="79">
        <v>688</v>
      </c>
      <c r="L29" s="79">
        <v>336</v>
      </c>
      <c r="M29" s="1">
        <f t="shared" si="0"/>
        <v>184.27272727272728</v>
      </c>
      <c r="N29" s="19">
        <f t="shared" si="1"/>
        <v>51.725688317855401</v>
      </c>
      <c r="O29" s="79">
        <v>0</v>
      </c>
      <c r="P29" s="7">
        <v>5.2480206109745682</v>
      </c>
      <c r="Q29" s="79">
        <v>340</v>
      </c>
      <c r="R29" s="79">
        <v>882</v>
      </c>
      <c r="S29" s="79">
        <v>116</v>
      </c>
      <c r="T29" s="79">
        <v>83</v>
      </c>
      <c r="U29" s="1">
        <f t="shared" si="2"/>
        <v>355.25</v>
      </c>
      <c r="V29" s="19">
        <f t="shared" si="3"/>
        <v>184.62997905721232</v>
      </c>
      <c r="W29" s="7">
        <v>5.79994071179439</v>
      </c>
    </row>
    <row r="30" spans="1:23" x14ac:dyDescent="0.2">
      <c r="A30" t="s">
        <v>88</v>
      </c>
      <c r="B30" s="79">
        <v>246.11111111111111</v>
      </c>
      <c r="C30" s="79">
        <v>246.11111111111111</v>
      </c>
      <c r="D30" s="79">
        <v>246.11111111111111</v>
      </c>
      <c r="E30" s="79">
        <v>246.11111111111111</v>
      </c>
      <c r="F30" s="79">
        <v>246.11111111111111</v>
      </c>
      <c r="G30" s="79">
        <v>246.11111111111111</v>
      </c>
      <c r="H30" s="79">
        <v>269.33333333333331</v>
      </c>
      <c r="I30" s="79">
        <v>205</v>
      </c>
      <c r="J30" s="79">
        <v>264</v>
      </c>
      <c r="K30" s="79">
        <v>339</v>
      </c>
      <c r="L30" s="79">
        <v>286</v>
      </c>
      <c r="M30" s="1">
        <f t="shared" si="0"/>
        <v>258.18181818181819</v>
      </c>
      <c r="N30" s="19">
        <f t="shared" si="1"/>
        <v>9.1973954161256515</v>
      </c>
      <c r="P30" s="7">
        <v>5.5894956629925803</v>
      </c>
      <c r="V30" s="19"/>
      <c r="W30" s="7"/>
    </row>
    <row r="31" spans="1:23" x14ac:dyDescent="0.2">
      <c r="A31" t="s">
        <v>89</v>
      </c>
      <c r="B31" s="79">
        <v>431.33333333333331</v>
      </c>
      <c r="C31" s="79">
        <v>431.33333333333331</v>
      </c>
      <c r="D31" s="79">
        <v>674</v>
      </c>
      <c r="E31" s="79">
        <v>366</v>
      </c>
      <c r="F31" s="79">
        <v>254</v>
      </c>
      <c r="G31" s="79">
        <v>662</v>
      </c>
      <c r="H31" s="79">
        <v>535</v>
      </c>
      <c r="I31" s="79">
        <v>1056</v>
      </c>
      <c r="J31" s="79">
        <v>751</v>
      </c>
      <c r="K31" s="79">
        <v>824</v>
      </c>
      <c r="L31" s="79">
        <v>877</v>
      </c>
      <c r="M31" s="1">
        <f t="shared" si="0"/>
        <v>623.78787878787875</v>
      </c>
      <c r="N31" s="19">
        <f t="shared" si="1"/>
        <v>67.21355574062747</v>
      </c>
      <c r="P31" s="7">
        <v>6.4839618543498831</v>
      </c>
      <c r="V31" s="19"/>
      <c r="W31" s="7"/>
    </row>
    <row r="32" spans="1:23" x14ac:dyDescent="0.2">
      <c r="A32" s="23" t="s">
        <v>90</v>
      </c>
      <c r="B32" s="79">
        <v>66</v>
      </c>
      <c r="C32" s="79">
        <v>113</v>
      </c>
      <c r="D32" s="79">
        <v>211</v>
      </c>
      <c r="E32" s="79">
        <v>66</v>
      </c>
      <c r="F32" s="79">
        <v>25</v>
      </c>
      <c r="G32" s="79">
        <v>50</v>
      </c>
      <c r="H32" s="79">
        <v>59</v>
      </c>
      <c r="I32" s="79">
        <v>151</v>
      </c>
      <c r="J32" s="79">
        <v>53</v>
      </c>
      <c r="K32" s="79">
        <v>98</v>
      </c>
      <c r="L32" s="79">
        <v>0</v>
      </c>
      <c r="M32" s="1">
        <f t="shared" si="0"/>
        <v>81.090909090909093</v>
      </c>
      <c r="N32" s="19">
        <f t="shared" si="1"/>
        <v>16.396809808643461</v>
      </c>
      <c r="O32" s="79">
        <v>0</v>
      </c>
      <c r="P32" s="7">
        <v>4.4179967146277637</v>
      </c>
      <c r="Q32" s="79">
        <v>114</v>
      </c>
      <c r="R32" s="79">
        <v>168</v>
      </c>
      <c r="S32" s="79">
        <v>75</v>
      </c>
      <c r="T32" s="79">
        <v>35</v>
      </c>
      <c r="U32" s="1">
        <f t="shared" ref="U32:U33" si="4">AVERAGE(Q32:T32)</f>
        <v>98</v>
      </c>
      <c r="V32" s="19">
        <f t="shared" ref="V32:V33" si="5">STDEV(Q32:T32)/SQRT(COUNT(Q32:T32))</f>
        <v>28.36370920736567</v>
      </c>
      <c r="W32" s="7">
        <v>3.5780606827381845</v>
      </c>
    </row>
    <row r="33" spans="1:23" x14ac:dyDescent="0.2">
      <c r="A33" s="23" t="s">
        <v>91</v>
      </c>
      <c r="B33" s="79">
        <v>13011</v>
      </c>
      <c r="C33" s="79">
        <v>15895</v>
      </c>
      <c r="D33" s="79">
        <v>14254</v>
      </c>
      <c r="E33" s="79">
        <v>19263</v>
      </c>
      <c r="F33" s="79">
        <v>25827</v>
      </c>
      <c r="G33" s="79">
        <v>16772</v>
      </c>
      <c r="H33" s="79">
        <v>22319</v>
      </c>
      <c r="I33" s="79">
        <v>22445</v>
      </c>
      <c r="J33" s="79">
        <v>18237</v>
      </c>
      <c r="K33" s="79">
        <v>24117</v>
      </c>
      <c r="L33" s="79">
        <v>19097</v>
      </c>
      <c r="M33" s="1">
        <f t="shared" si="0"/>
        <v>19203.363636363636</v>
      </c>
      <c r="N33" s="19">
        <f t="shared" si="1"/>
        <v>1131.0991990411869</v>
      </c>
      <c r="O33" s="79">
        <v>640000</v>
      </c>
      <c r="P33" s="7">
        <v>9.9762265142859388</v>
      </c>
      <c r="Q33" s="79">
        <v>16414</v>
      </c>
      <c r="R33" s="79">
        <v>17503</v>
      </c>
      <c r="S33" s="79">
        <v>10626</v>
      </c>
      <c r="T33" s="79">
        <v>9771</v>
      </c>
      <c r="U33" s="1">
        <f t="shared" si="4"/>
        <v>13578.5</v>
      </c>
      <c r="V33" s="19">
        <f t="shared" si="5"/>
        <v>1971.8027496008149</v>
      </c>
      <c r="W33" s="7">
        <v>8.8569617292540705</v>
      </c>
    </row>
    <row r="34" spans="1:23" x14ac:dyDescent="0.2">
      <c r="A34" t="s">
        <v>114</v>
      </c>
      <c r="B34" s="79" t="s">
        <v>92</v>
      </c>
      <c r="C34" s="79" t="s">
        <v>92</v>
      </c>
      <c r="D34" s="79" t="s">
        <v>92</v>
      </c>
      <c r="E34" s="79">
        <v>2500</v>
      </c>
      <c r="F34" s="79">
        <v>1100</v>
      </c>
      <c r="G34" s="79">
        <v>6240</v>
      </c>
      <c r="H34" s="79">
        <v>8434</v>
      </c>
      <c r="I34" s="79">
        <v>5258</v>
      </c>
      <c r="J34" s="79">
        <v>5258</v>
      </c>
      <c r="K34" s="79">
        <v>5258</v>
      </c>
      <c r="L34" s="79">
        <v>4774</v>
      </c>
      <c r="M34" s="1">
        <f t="shared" si="0"/>
        <v>4852.75</v>
      </c>
      <c r="N34" s="19">
        <f t="shared" si="1"/>
        <v>695.89334571549909</v>
      </c>
      <c r="P34" s="7">
        <v>8.5711756200556479</v>
      </c>
      <c r="V34" s="19"/>
      <c r="W34" s="7"/>
    </row>
    <row r="35" spans="1:23" x14ac:dyDescent="0.2">
      <c r="A35" t="s">
        <v>93</v>
      </c>
      <c r="B35" s="79">
        <v>157</v>
      </c>
      <c r="C35" s="79">
        <v>111</v>
      </c>
      <c r="D35" s="79">
        <v>99</v>
      </c>
      <c r="E35" s="79">
        <v>52</v>
      </c>
      <c r="F35" s="79">
        <v>56</v>
      </c>
      <c r="G35" s="79">
        <v>61</v>
      </c>
      <c r="H35" s="79">
        <v>77</v>
      </c>
      <c r="I35" s="79">
        <v>88</v>
      </c>
      <c r="J35" s="79">
        <v>41</v>
      </c>
      <c r="K35" s="79">
        <v>53</v>
      </c>
      <c r="L35" s="79">
        <v>60.666666666666664</v>
      </c>
      <c r="M35" s="1">
        <f t="shared" si="0"/>
        <v>77.787878787878782</v>
      </c>
      <c r="N35" s="19">
        <f t="shared" si="1"/>
        <v>9.3804073274248232</v>
      </c>
      <c r="P35" s="7">
        <v>4.3759884454419256</v>
      </c>
      <c r="V35" s="19"/>
      <c r="W35" s="7"/>
    </row>
    <row r="36" spans="1:23" x14ac:dyDescent="0.2">
      <c r="A36" s="23" t="s">
        <v>94</v>
      </c>
      <c r="B36" s="79">
        <v>149.66666666666666</v>
      </c>
      <c r="C36" s="79">
        <v>149.66666666666666</v>
      </c>
      <c r="D36" s="79">
        <v>294</v>
      </c>
      <c r="E36" s="79">
        <v>137</v>
      </c>
      <c r="F36" s="79">
        <v>18</v>
      </c>
      <c r="G36" s="79">
        <v>41</v>
      </c>
      <c r="H36" s="79">
        <v>103</v>
      </c>
      <c r="I36" s="79">
        <v>120</v>
      </c>
      <c r="J36" s="79">
        <v>60</v>
      </c>
      <c r="K36" s="79">
        <v>182</v>
      </c>
      <c r="L36" s="79">
        <v>120.66666666666667</v>
      </c>
      <c r="M36" s="1">
        <f t="shared" si="0"/>
        <v>125</v>
      </c>
      <c r="N36" s="19">
        <f t="shared" si="1"/>
        <v>20.675828858594738</v>
      </c>
      <c r="O36" s="79">
        <v>0</v>
      </c>
      <c r="P36" s="7">
        <v>4.8553816390389022</v>
      </c>
      <c r="Q36">
        <v>523</v>
      </c>
      <c r="R36">
        <v>483</v>
      </c>
      <c r="S36">
        <v>186</v>
      </c>
      <c r="T36">
        <v>62</v>
      </c>
      <c r="U36" s="1">
        <f t="shared" ref="U36:U37" si="6">AVERAGE(Q36:T36)</f>
        <v>313.5</v>
      </c>
      <c r="V36" s="19">
        <f t="shared" ref="V36:V37" si="7">STDEV(Q36:T36)/SQRT(COUNT(Q36:T36))</f>
        <v>112.59403477390205</v>
      </c>
      <c r="W36" s="7">
        <v>5.19713967145191</v>
      </c>
    </row>
    <row r="37" spans="1:23" x14ac:dyDescent="0.2">
      <c r="A37" s="23" t="s">
        <v>95</v>
      </c>
      <c r="B37" s="79">
        <v>1445</v>
      </c>
      <c r="C37" s="79">
        <v>2110</v>
      </c>
      <c r="D37" s="79">
        <v>2547</v>
      </c>
      <c r="E37" s="79">
        <v>3221</v>
      </c>
      <c r="F37" s="79">
        <v>1768</v>
      </c>
      <c r="G37" s="79">
        <v>1631</v>
      </c>
      <c r="H37" s="79">
        <v>1339</v>
      </c>
      <c r="I37" s="79">
        <v>1932</v>
      </c>
      <c r="J37" s="79">
        <v>2075</v>
      </c>
      <c r="K37" s="79">
        <v>2353</v>
      </c>
      <c r="L37" s="79">
        <v>2631</v>
      </c>
      <c r="M37" s="1">
        <f t="shared" si="0"/>
        <v>2095.6363636363635</v>
      </c>
      <c r="N37" s="19">
        <f t="shared" si="1"/>
        <v>154.95577437133227</v>
      </c>
      <c r="O37" s="79">
        <v>20000</v>
      </c>
      <c r="P37" s="7">
        <v>7.7156678293694831</v>
      </c>
      <c r="Q37" s="79">
        <v>1954</v>
      </c>
      <c r="R37" s="79">
        <v>2450</v>
      </c>
      <c r="S37" s="79">
        <v>3755</v>
      </c>
      <c r="T37" s="79"/>
      <c r="U37" s="1">
        <f t="shared" si="6"/>
        <v>2719.6666666666665</v>
      </c>
      <c r="V37" s="19">
        <f t="shared" si="7"/>
        <v>537.10344544706777</v>
      </c>
      <c r="W37" s="7">
        <v>7.1426663508064374</v>
      </c>
    </row>
    <row r="38" spans="1:23" ht="13.5" thickBot="1" x14ac:dyDescent="0.25">
      <c r="A38" t="s">
        <v>115</v>
      </c>
      <c r="B38" s="79">
        <v>475</v>
      </c>
      <c r="C38" s="79">
        <v>328</v>
      </c>
      <c r="D38" s="79">
        <v>61</v>
      </c>
      <c r="E38" s="79">
        <v>349</v>
      </c>
      <c r="F38" s="79">
        <v>906</v>
      </c>
      <c r="G38" s="79">
        <v>508</v>
      </c>
      <c r="H38" s="79">
        <v>375</v>
      </c>
      <c r="I38" s="79">
        <v>158</v>
      </c>
      <c r="J38" s="79">
        <v>81</v>
      </c>
      <c r="K38" s="79">
        <v>47</v>
      </c>
      <c r="L38" s="79">
        <v>363</v>
      </c>
      <c r="M38" s="1">
        <f t="shared" si="0"/>
        <v>331.90909090909093</v>
      </c>
      <c r="N38" s="19">
        <f t="shared" si="1"/>
        <v>69.192250238830553</v>
      </c>
      <c r="P38" s="3">
        <v>5.8440150088084692</v>
      </c>
      <c r="V38" s="19"/>
    </row>
    <row r="39" spans="1:23" x14ac:dyDescent="0.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1"/>
      <c r="N39" s="19"/>
      <c r="V39" s="19"/>
    </row>
    <row r="40" spans="1:23" x14ac:dyDescent="0.2">
      <c r="A40" t="s">
        <v>96</v>
      </c>
      <c r="B40" s="79">
        <v>56490.111111111109</v>
      </c>
      <c r="C40" s="79">
        <v>79058.444444444438</v>
      </c>
      <c r="D40" s="79">
        <v>69588.111111111109</v>
      </c>
      <c r="E40" s="79">
        <v>77771.111111111109</v>
      </c>
      <c r="F40" s="79">
        <v>85106.777777777781</v>
      </c>
      <c r="G40" s="79">
        <v>87580.111111111109</v>
      </c>
      <c r="H40" s="79">
        <v>92526.333333333328</v>
      </c>
      <c r="I40" s="79">
        <v>120741.66666666667</v>
      </c>
      <c r="J40" s="79">
        <v>118262.66666666667</v>
      </c>
      <c r="K40" s="79">
        <v>140315.66666666666</v>
      </c>
      <c r="L40" s="79">
        <v>106692</v>
      </c>
      <c r="M40" s="1">
        <f>AVERAGE(B40:L40)</f>
        <v>94012.090909090912</v>
      </c>
      <c r="N40" s="19">
        <f>_xlfn.STDEV.S(B40:M40)/SQRT(COUNT(B40:M40))</f>
        <v>6865.6231003653284</v>
      </c>
      <c r="V40" s="19"/>
      <c r="W40" s="19"/>
    </row>
    <row r="41" spans="1:23" x14ac:dyDescent="0.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1"/>
      <c r="N41" s="19"/>
      <c r="V41" s="19"/>
      <c r="W41" s="19"/>
    </row>
    <row r="42" spans="1:23" x14ac:dyDescent="0.2">
      <c r="A42" t="s">
        <v>118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1"/>
      <c r="N42" s="19"/>
      <c r="V42" s="19"/>
      <c r="W42" s="19"/>
    </row>
    <row r="43" spans="1:23" x14ac:dyDescent="0.2">
      <c r="A43" s="23" t="s">
        <v>119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143"/>
      <c r="N43" s="19"/>
      <c r="O43">
        <v>215000</v>
      </c>
      <c r="U43">
        <v>490.25</v>
      </c>
      <c r="V43" s="19">
        <v>41.46559819095021</v>
      </c>
      <c r="W43" s="7">
        <v>4.0152017481211777</v>
      </c>
    </row>
    <row r="44" spans="1:23" ht="13.5" thickBot="1" x14ac:dyDescent="0.25">
      <c r="A44" s="23" t="s">
        <v>120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143"/>
      <c r="N44" s="19"/>
      <c r="O44">
        <v>60000</v>
      </c>
      <c r="U44">
        <v>3667.25</v>
      </c>
      <c r="V44" s="19">
        <v>701.08658226593764</v>
      </c>
      <c r="W44" s="3">
        <v>7.4866883260265222</v>
      </c>
    </row>
    <row r="45" spans="1:23" x14ac:dyDescent="0.2">
      <c r="A45" t="s">
        <v>121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1"/>
      <c r="N45" s="19"/>
      <c r="O45">
        <v>56000</v>
      </c>
      <c r="V45" s="19"/>
      <c r="W45" s="19"/>
    </row>
    <row r="46" spans="1:23" x14ac:dyDescent="0.2">
      <c r="A46" t="s">
        <v>122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1"/>
      <c r="N46" s="19"/>
      <c r="O46">
        <v>8000</v>
      </c>
      <c r="V46" s="19"/>
      <c r="W46" s="19"/>
    </row>
    <row r="47" spans="1:23" x14ac:dyDescent="0.2">
      <c r="A47" t="s">
        <v>123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1"/>
      <c r="N47" s="19"/>
      <c r="O47">
        <v>0</v>
      </c>
      <c r="V47" s="19"/>
      <c r="W47" s="19"/>
    </row>
    <row r="48" spans="1:23" x14ac:dyDescent="0.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1"/>
      <c r="N48" s="19"/>
      <c r="V48" s="19"/>
      <c r="W48" s="19"/>
    </row>
    <row r="49" spans="1:23" x14ac:dyDescent="0.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1"/>
      <c r="N49" s="19"/>
      <c r="V49" s="19"/>
      <c r="W49" s="19"/>
    </row>
    <row r="50" spans="1:23" x14ac:dyDescent="0.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1"/>
      <c r="N50" s="19"/>
      <c r="V50" s="19"/>
      <c r="W50" s="19"/>
    </row>
    <row r="51" spans="1:23" x14ac:dyDescent="0.2">
      <c r="A51" t="s">
        <v>97</v>
      </c>
      <c r="B51" s="79">
        <v>11.333333333333334</v>
      </c>
      <c r="C51" s="79">
        <v>11.333333333333334</v>
      </c>
      <c r="D51" s="79">
        <v>11.333333333333334</v>
      </c>
      <c r="E51" s="79">
        <v>11.333333333333334</v>
      </c>
      <c r="F51" s="79">
        <v>5</v>
      </c>
      <c r="G51" s="79">
        <v>24</v>
      </c>
      <c r="H51" s="79">
        <v>5</v>
      </c>
      <c r="I51" s="79">
        <v>11.333333333333334</v>
      </c>
      <c r="J51" s="79">
        <v>11.333333333333334</v>
      </c>
      <c r="K51" s="79">
        <v>11.333333333333334</v>
      </c>
      <c r="L51" s="79">
        <v>11.333333333333334</v>
      </c>
      <c r="M51" s="1">
        <f t="shared" si="0"/>
        <v>11.333333333333332</v>
      </c>
      <c r="N51" s="19">
        <f t="shared" si="1"/>
        <v>1.3502712035855318</v>
      </c>
      <c r="V51" s="19"/>
      <c r="W51" s="19"/>
    </row>
    <row r="52" spans="1:23" x14ac:dyDescent="0.2">
      <c r="A52" t="s">
        <v>98</v>
      </c>
      <c r="B52" s="79">
        <v>6</v>
      </c>
      <c r="C52" s="79">
        <v>1</v>
      </c>
      <c r="D52" s="79">
        <v>8</v>
      </c>
      <c r="E52" s="79">
        <v>5</v>
      </c>
      <c r="F52" s="79">
        <v>5</v>
      </c>
      <c r="G52" s="79">
        <v>5</v>
      </c>
      <c r="H52" s="79">
        <v>5</v>
      </c>
      <c r="I52" s="79">
        <v>5</v>
      </c>
      <c r="J52" s="79">
        <v>5</v>
      </c>
      <c r="K52" s="79">
        <v>5</v>
      </c>
      <c r="L52" s="79">
        <v>5</v>
      </c>
      <c r="M52" s="1">
        <f t="shared" si="0"/>
        <v>5</v>
      </c>
      <c r="N52" s="19">
        <f t="shared" si="1"/>
        <v>0.44381268229929732</v>
      </c>
      <c r="V52" s="19"/>
      <c r="W52" s="19"/>
    </row>
    <row r="53" spans="1:23" x14ac:dyDescent="0.2">
      <c r="A53" t="s">
        <v>99</v>
      </c>
      <c r="B53" s="79">
        <v>1517</v>
      </c>
      <c r="C53" s="79">
        <v>7743</v>
      </c>
      <c r="D53" s="79">
        <v>1887</v>
      </c>
      <c r="E53" s="79">
        <v>3052</v>
      </c>
      <c r="F53" s="79">
        <v>3257</v>
      </c>
      <c r="G53" s="79">
        <v>4123</v>
      </c>
      <c r="H53" s="79">
        <v>1466</v>
      </c>
      <c r="I53" s="79">
        <v>876</v>
      </c>
      <c r="J53" s="79">
        <v>3959</v>
      </c>
      <c r="K53" s="79">
        <v>2569</v>
      </c>
      <c r="L53" s="79">
        <v>2468</v>
      </c>
      <c r="M53" s="1">
        <f t="shared" si="0"/>
        <v>2992.4545454545455</v>
      </c>
      <c r="N53" s="19">
        <f t="shared" si="1"/>
        <v>518.71315661256881</v>
      </c>
      <c r="V53" s="19"/>
      <c r="W53" s="19"/>
    </row>
    <row r="54" spans="1:23" x14ac:dyDescent="0.2">
      <c r="A54" t="s">
        <v>100</v>
      </c>
      <c r="B54" s="79">
        <v>1068</v>
      </c>
      <c r="C54" s="79">
        <v>1068</v>
      </c>
      <c r="D54" s="79">
        <v>1068</v>
      </c>
      <c r="E54" s="79">
        <v>881</v>
      </c>
      <c r="F54" s="79">
        <v>1320</v>
      </c>
      <c r="G54" s="79">
        <v>1003</v>
      </c>
      <c r="H54" s="79">
        <v>2257</v>
      </c>
      <c r="I54" s="79">
        <v>1055</v>
      </c>
      <c r="J54" s="79">
        <v>946</v>
      </c>
      <c r="K54" s="79">
        <v>937</v>
      </c>
      <c r="L54" s="79">
        <v>979.33333333333337</v>
      </c>
      <c r="M54" s="1">
        <f t="shared" si="0"/>
        <v>1143.848484848485</v>
      </c>
      <c r="N54" s="19">
        <f t="shared" si="1"/>
        <v>106.3588785663559</v>
      </c>
      <c r="V54" s="19"/>
      <c r="W54" s="19"/>
    </row>
    <row r="55" spans="1:23" x14ac:dyDescent="0.2">
      <c r="A55" t="s">
        <v>101</v>
      </c>
      <c r="B55" s="79">
        <v>6</v>
      </c>
      <c r="C55" s="79">
        <v>6</v>
      </c>
      <c r="D55" s="79">
        <v>6</v>
      </c>
      <c r="E55" s="79">
        <v>6</v>
      </c>
      <c r="F55" s="79">
        <v>1</v>
      </c>
      <c r="G55" s="79">
        <v>6</v>
      </c>
      <c r="H55" s="79">
        <v>11</v>
      </c>
      <c r="I55" s="79">
        <v>6</v>
      </c>
      <c r="J55" s="79">
        <v>6</v>
      </c>
      <c r="K55" s="79">
        <v>6</v>
      </c>
      <c r="L55" s="79">
        <v>6</v>
      </c>
      <c r="M55" s="1">
        <f t="shared" si="0"/>
        <v>6</v>
      </c>
      <c r="N55" s="19">
        <f t="shared" si="1"/>
        <v>0.6154574548966637</v>
      </c>
      <c r="V55" s="19"/>
      <c r="W55" s="19"/>
    </row>
    <row r="56" spans="1:23" x14ac:dyDescent="0.2">
      <c r="A56" t="s">
        <v>102</v>
      </c>
      <c r="B56" s="79">
        <v>18</v>
      </c>
      <c r="C56" s="79">
        <v>14</v>
      </c>
      <c r="D56" s="79">
        <v>1</v>
      </c>
      <c r="E56" s="79">
        <v>33</v>
      </c>
      <c r="F56" s="79">
        <v>3</v>
      </c>
      <c r="G56" s="79">
        <v>12.333333333333334</v>
      </c>
      <c r="H56" s="79">
        <v>12.333333333333334</v>
      </c>
      <c r="I56" s="79">
        <v>2</v>
      </c>
      <c r="J56" s="79">
        <v>8.8888888888888893</v>
      </c>
      <c r="K56" s="79">
        <v>8.8888888888888893</v>
      </c>
      <c r="L56" s="79">
        <v>8.8888888888888893</v>
      </c>
      <c r="M56" s="1">
        <f t="shared" si="0"/>
        <v>11.121212121212119</v>
      </c>
      <c r="N56" s="19">
        <f t="shared" si="1"/>
        <v>2.4676149535169647</v>
      </c>
      <c r="V56" s="19"/>
      <c r="W56" s="19"/>
    </row>
    <row r="57" spans="1:23" x14ac:dyDescent="0.2">
      <c r="A57" t="s">
        <v>103</v>
      </c>
      <c r="B57" s="79">
        <v>17965</v>
      </c>
      <c r="C57" s="79">
        <v>25777</v>
      </c>
      <c r="D57" s="79">
        <v>18428</v>
      </c>
      <c r="E57" s="79">
        <v>20287</v>
      </c>
      <c r="F57" s="79">
        <v>25951</v>
      </c>
      <c r="G57" s="79">
        <v>32833</v>
      </c>
      <c r="H57" s="79">
        <v>31300</v>
      </c>
      <c r="I57" s="79">
        <v>27970</v>
      </c>
      <c r="J57" s="79">
        <v>31700</v>
      </c>
      <c r="K57" s="79">
        <v>18800</v>
      </c>
      <c r="L57" s="79">
        <v>19728</v>
      </c>
      <c r="M57" s="1">
        <f t="shared" si="0"/>
        <v>24612.636363636364</v>
      </c>
      <c r="N57" s="19">
        <f t="shared" si="1"/>
        <v>1594.8380856010901</v>
      </c>
      <c r="V57" s="19"/>
      <c r="W57" s="19"/>
    </row>
    <row r="58" spans="1:23" x14ac:dyDescent="0.2">
      <c r="A58" t="s">
        <v>104</v>
      </c>
      <c r="B58" s="79">
        <v>9</v>
      </c>
      <c r="C58" s="79">
        <v>9</v>
      </c>
      <c r="D58" s="79">
        <v>2</v>
      </c>
      <c r="E58" s="79">
        <v>16</v>
      </c>
      <c r="F58" s="79">
        <v>9</v>
      </c>
      <c r="G58" s="79">
        <v>2</v>
      </c>
      <c r="H58" s="79">
        <v>9</v>
      </c>
      <c r="I58" s="79">
        <v>9</v>
      </c>
      <c r="J58" s="79">
        <v>9</v>
      </c>
      <c r="K58" s="79">
        <v>9</v>
      </c>
      <c r="L58" s="79">
        <v>9</v>
      </c>
      <c r="M58" s="1">
        <f t="shared" si="0"/>
        <v>8.3636363636363633</v>
      </c>
      <c r="N58" s="19">
        <f t="shared" si="1"/>
        <v>1.0391774666352875</v>
      </c>
      <c r="V58" s="19"/>
      <c r="W58" s="19"/>
    </row>
    <row r="59" spans="1:23" x14ac:dyDescent="0.2">
      <c r="A59" t="s">
        <v>105</v>
      </c>
      <c r="B59" s="79">
        <v>2771</v>
      </c>
      <c r="C59" s="79">
        <v>5869</v>
      </c>
      <c r="D59" s="79">
        <v>2967</v>
      </c>
      <c r="E59" s="79">
        <v>7411</v>
      </c>
      <c r="F59" s="79">
        <v>3754</v>
      </c>
      <c r="G59" s="79">
        <v>4928</v>
      </c>
      <c r="H59" s="79">
        <v>2309</v>
      </c>
      <c r="I59" s="79">
        <v>3915</v>
      </c>
      <c r="J59" s="79">
        <v>6070</v>
      </c>
      <c r="K59" s="79">
        <v>3696</v>
      </c>
      <c r="L59" s="79">
        <v>3205</v>
      </c>
      <c r="M59" s="1">
        <f t="shared" si="0"/>
        <v>4263.181818181818</v>
      </c>
      <c r="N59" s="19">
        <f t="shared" si="1"/>
        <v>441.60046075853307</v>
      </c>
      <c r="V59" s="19"/>
      <c r="W59" s="19"/>
    </row>
    <row r="60" spans="1:23" x14ac:dyDescent="0.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1"/>
      <c r="N60" s="19"/>
      <c r="V60" s="19"/>
      <c r="W60" s="19"/>
    </row>
    <row r="61" spans="1:23" x14ac:dyDescent="0.2">
      <c r="A61" t="s">
        <v>106</v>
      </c>
      <c r="B61" s="79">
        <v>23371.333333333332</v>
      </c>
      <c r="C61" s="79">
        <v>40498.333333333336</v>
      </c>
      <c r="D61" s="79">
        <v>24378.333333333332</v>
      </c>
      <c r="E61" s="79">
        <v>31702.333333333332</v>
      </c>
      <c r="F61" s="79">
        <v>34305</v>
      </c>
      <c r="G61" s="79">
        <v>42936.333333333336</v>
      </c>
      <c r="H61" s="79">
        <v>37374.333333333336</v>
      </c>
      <c r="I61" s="79">
        <v>33849.333333333336</v>
      </c>
      <c r="J61" s="79">
        <v>42715.222222222219</v>
      </c>
      <c r="K61" s="79">
        <v>26042.222222222223</v>
      </c>
      <c r="L61" s="79">
        <v>26420.555555555555</v>
      </c>
      <c r="M61" s="1">
        <f t="shared" si="0"/>
        <v>33053.939393939392</v>
      </c>
      <c r="N61" s="19">
        <f t="shared" si="1"/>
        <v>2006.2336629505783</v>
      </c>
      <c r="V61" s="19"/>
      <c r="W61" s="19"/>
    </row>
    <row r="62" spans="1:23" x14ac:dyDescent="0.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1"/>
      <c r="N62" s="19"/>
      <c r="V62" s="19"/>
      <c r="W62" s="19"/>
    </row>
    <row r="63" spans="1:23" x14ac:dyDescent="0.2">
      <c r="A63" t="s">
        <v>107</v>
      </c>
      <c r="B63" s="79">
        <v>10267</v>
      </c>
      <c r="C63" s="79">
        <v>9026</v>
      </c>
      <c r="D63" s="79">
        <v>6018</v>
      </c>
      <c r="E63" s="79">
        <v>9727</v>
      </c>
      <c r="F63" s="79">
        <v>8367</v>
      </c>
      <c r="G63" s="79">
        <v>6446</v>
      </c>
      <c r="H63" s="79">
        <v>6168</v>
      </c>
      <c r="I63" s="79">
        <v>10838</v>
      </c>
      <c r="J63" s="79">
        <v>7591</v>
      </c>
      <c r="K63" s="79">
        <v>5438</v>
      </c>
      <c r="L63" s="79">
        <v>7713</v>
      </c>
      <c r="M63" s="1">
        <f t="shared" si="0"/>
        <v>7963.545454545455</v>
      </c>
      <c r="N63" s="19">
        <f t="shared" si="1"/>
        <v>506.48646162821893</v>
      </c>
      <c r="V63" s="19"/>
      <c r="W63" s="19"/>
    </row>
    <row r="64" spans="1:23" x14ac:dyDescent="0.2">
      <c r="A64" t="s">
        <v>108</v>
      </c>
      <c r="B64" s="79">
        <v>118796</v>
      </c>
      <c r="C64" s="79">
        <v>176536</v>
      </c>
      <c r="D64" s="79">
        <v>153023</v>
      </c>
      <c r="E64" s="79">
        <v>79107</v>
      </c>
      <c r="F64" s="79">
        <v>82325</v>
      </c>
      <c r="G64" s="79">
        <v>96363</v>
      </c>
      <c r="H64" s="79">
        <v>66196</v>
      </c>
      <c r="I64" s="79">
        <v>81143</v>
      </c>
      <c r="J64" s="79">
        <v>93702</v>
      </c>
      <c r="K64" s="79">
        <v>92250</v>
      </c>
      <c r="L64" s="79">
        <v>83996</v>
      </c>
      <c r="M64" s="1">
        <f t="shared" si="0"/>
        <v>102130.63636363637</v>
      </c>
      <c r="N64" s="19">
        <f t="shared" si="1"/>
        <v>9369.8641465788678</v>
      </c>
      <c r="V64" s="19"/>
      <c r="W64" s="19"/>
    </row>
    <row r="65" spans="1:23" x14ac:dyDescent="0.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1"/>
      <c r="N65" s="19"/>
      <c r="V65" s="19"/>
      <c r="W65" s="19"/>
    </row>
    <row r="66" spans="1:23" x14ac:dyDescent="0.2">
      <c r="A66" s="80" t="s">
        <v>109</v>
      </c>
      <c r="B66" s="81">
        <v>129063</v>
      </c>
      <c r="C66" s="81">
        <v>185562</v>
      </c>
      <c r="D66" s="81">
        <v>159041</v>
      </c>
      <c r="E66" s="81">
        <v>88834</v>
      </c>
      <c r="F66" s="81">
        <v>90692</v>
      </c>
      <c r="G66" s="81">
        <v>102809</v>
      </c>
      <c r="H66" s="81">
        <v>72364</v>
      </c>
      <c r="I66" s="81">
        <v>91981</v>
      </c>
      <c r="J66" s="81">
        <v>182748.11111111112</v>
      </c>
      <c r="K66" s="81">
        <v>147187.11111111112</v>
      </c>
      <c r="L66" s="81">
        <v>142065.77777777778</v>
      </c>
      <c r="M66" s="1">
        <f t="shared" si="0"/>
        <v>126576.99999999999</v>
      </c>
      <c r="N66" s="19">
        <f t="shared" si="1"/>
        <v>10931.020648968277</v>
      </c>
      <c r="V66" s="19"/>
      <c r="W66" s="19"/>
    </row>
    <row r="67" spans="1:23" x14ac:dyDescent="0.2">
      <c r="W67" s="19"/>
    </row>
    <row r="68" spans="1:23" x14ac:dyDescent="0.2">
      <c r="W68" s="19"/>
    </row>
    <row r="69" spans="1:23" x14ac:dyDescent="0.2">
      <c r="W69" s="19"/>
    </row>
    <row r="70" spans="1:23" x14ac:dyDescent="0.2">
      <c r="W70" s="19"/>
    </row>
    <row r="71" spans="1:23" x14ac:dyDescent="0.2">
      <c r="W71" s="19"/>
    </row>
    <row r="72" spans="1:23" x14ac:dyDescent="0.2">
      <c r="W72" s="19"/>
    </row>
    <row r="73" spans="1:23" x14ac:dyDescent="0.2">
      <c r="W73" s="19"/>
    </row>
    <row r="74" spans="1:23" x14ac:dyDescent="0.2">
      <c r="W74" s="19"/>
    </row>
    <row r="75" spans="1:23" x14ac:dyDescent="0.2">
      <c r="W75" s="19"/>
    </row>
    <row r="76" spans="1:23" x14ac:dyDescent="0.2">
      <c r="W76" s="19"/>
    </row>
    <row r="77" spans="1:23" x14ac:dyDescent="0.2">
      <c r="W77" s="19"/>
    </row>
    <row r="78" spans="1:23" x14ac:dyDescent="0.2">
      <c r="W78" s="19"/>
    </row>
    <row r="79" spans="1:23" x14ac:dyDescent="0.2">
      <c r="W79" s="19"/>
    </row>
    <row r="80" spans="1:23" x14ac:dyDescent="0.2">
      <c r="W80" s="19"/>
    </row>
    <row r="81" spans="23:23" x14ac:dyDescent="0.2">
      <c r="W81" s="19"/>
    </row>
    <row r="82" spans="23:23" x14ac:dyDescent="0.2">
      <c r="W82" s="19"/>
    </row>
    <row r="83" spans="23:23" x14ac:dyDescent="0.2">
      <c r="W83" s="19"/>
    </row>
    <row r="84" spans="23:23" x14ac:dyDescent="0.2">
      <c r="W84" s="19"/>
    </row>
  </sheetData>
  <pageMargins left="0.7" right="0.7" top="0.75" bottom="0.75" header="0.3" footer="0.3"/>
  <pageSetup paperSize="9" orientation="portrait" horizontalDpi="1200" verticalDpi="1200" r:id="rId1"/>
  <ignoredErrors>
    <ignoredError sqref="A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Drop Down 5">
              <controlPr defaultSize="0" autoFill="0" autoPict="0" macro="[0]!GoToResults2403201613141070">
                <anchor moveWithCells="1">
                  <from>
                    <xdr:col>41</xdr:col>
                    <xdr:colOff>0</xdr:colOff>
                    <xdr:row>8</xdr:row>
                    <xdr:rowOff>9525</xdr:rowOff>
                  </from>
                  <to>
                    <xdr:col>43</xdr:col>
                    <xdr:colOff>600075</xdr:colOff>
                    <xdr:row>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7"/>
  <dimension ref="A1:G50"/>
  <sheetViews>
    <sheetView topLeftCell="A31" workbookViewId="0">
      <selection activeCell="A46" sqref="A46"/>
    </sheetView>
  </sheetViews>
  <sheetFormatPr defaultRowHeight="12.75" x14ac:dyDescent="0.2"/>
  <cols>
    <col min="1" max="1" width="19.42578125" customWidth="1"/>
    <col min="2" max="7" width="13.42578125" customWidth="1"/>
  </cols>
  <sheetData>
    <row r="1" spans="1:7" ht="15.75" x14ac:dyDescent="0.2">
      <c r="A1" s="86" t="s">
        <v>360</v>
      </c>
      <c r="B1" s="87"/>
      <c r="C1" s="87"/>
      <c r="D1" s="87"/>
      <c r="E1" s="87"/>
      <c r="F1" s="87"/>
      <c r="G1" s="87"/>
    </row>
    <row r="2" spans="1:7" ht="15.75" x14ac:dyDescent="0.2">
      <c r="A2" s="88" t="s">
        <v>33</v>
      </c>
      <c r="B2" s="88" t="s">
        <v>86</v>
      </c>
      <c r="C2" s="88" t="s">
        <v>128</v>
      </c>
      <c r="D2" s="88" t="s">
        <v>129</v>
      </c>
      <c r="E2" s="88" t="s">
        <v>79</v>
      </c>
      <c r="F2" s="88" t="s">
        <v>76</v>
      </c>
      <c r="G2" s="88" t="s">
        <v>127</v>
      </c>
    </row>
    <row r="3" spans="1:7" ht="15.75" x14ac:dyDescent="0.2">
      <c r="A3" s="89">
        <v>1980</v>
      </c>
      <c r="B3" s="93">
        <v>2349</v>
      </c>
      <c r="C3" s="93">
        <v>7190</v>
      </c>
      <c r="D3" s="93">
        <v>5040</v>
      </c>
      <c r="E3" s="93">
        <v>11963</v>
      </c>
      <c r="F3" s="93">
        <v>1207</v>
      </c>
      <c r="G3" s="93">
        <v>27749</v>
      </c>
    </row>
    <row r="4" spans="1:7" ht="15.75" x14ac:dyDescent="0.2">
      <c r="A4" s="90">
        <v>1981</v>
      </c>
      <c r="B4" s="94">
        <v>6730</v>
      </c>
      <c r="C4" s="94">
        <v>10878</v>
      </c>
      <c r="D4" s="94">
        <v>5173</v>
      </c>
      <c r="E4" s="94">
        <v>14503</v>
      </c>
      <c r="F4" s="94">
        <v>1159</v>
      </c>
      <c r="G4" s="94">
        <v>38443</v>
      </c>
    </row>
    <row r="5" spans="1:7" ht="15.75" x14ac:dyDescent="0.2">
      <c r="A5" s="90">
        <v>1982</v>
      </c>
      <c r="B5" s="94">
        <v>3626</v>
      </c>
      <c r="C5" s="94">
        <v>6545</v>
      </c>
      <c r="D5" s="94">
        <v>5308</v>
      </c>
      <c r="E5" s="94">
        <v>9557</v>
      </c>
      <c r="F5" s="94">
        <v>1045</v>
      </c>
      <c r="G5" s="94">
        <v>26081</v>
      </c>
    </row>
    <row r="6" spans="1:7" ht="15.75" x14ac:dyDescent="0.2">
      <c r="A6" s="90">
        <v>1983</v>
      </c>
      <c r="B6" s="94">
        <v>4539</v>
      </c>
      <c r="C6" s="94">
        <v>4791</v>
      </c>
      <c r="D6" s="94">
        <v>4659</v>
      </c>
      <c r="E6" s="94">
        <v>7956</v>
      </c>
      <c r="F6" s="90">
        <v>968</v>
      </c>
      <c r="G6" s="94">
        <v>22913</v>
      </c>
    </row>
    <row r="7" spans="1:7" ht="15.75" x14ac:dyDescent="0.2">
      <c r="A7" s="90">
        <v>1984</v>
      </c>
      <c r="B7" s="94">
        <v>7356</v>
      </c>
      <c r="C7" s="94">
        <v>7203</v>
      </c>
      <c r="D7" s="94">
        <v>5672</v>
      </c>
      <c r="E7" s="94">
        <v>8482</v>
      </c>
      <c r="F7" s="94">
        <v>1284</v>
      </c>
      <c r="G7" s="94">
        <v>29997</v>
      </c>
    </row>
    <row r="8" spans="1:7" ht="15.75" x14ac:dyDescent="0.2">
      <c r="A8" s="90">
        <v>1985</v>
      </c>
      <c r="B8" s="94">
        <v>8441</v>
      </c>
      <c r="C8" s="94">
        <v>12238</v>
      </c>
      <c r="D8" s="94">
        <v>6249</v>
      </c>
      <c r="E8" s="94">
        <v>18664</v>
      </c>
      <c r="F8" s="94">
        <v>1442</v>
      </c>
      <c r="G8" s="94">
        <v>47034</v>
      </c>
    </row>
    <row r="9" spans="1:7" ht="15.75" x14ac:dyDescent="0.2">
      <c r="A9" s="90">
        <v>1986</v>
      </c>
      <c r="B9" s="94">
        <v>5036</v>
      </c>
      <c r="C9" s="94">
        <v>7570</v>
      </c>
      <c r="D9" s="94">
        <v>4353</v>
      </c>
      <c r="E9" s="94">
        <v>9398</v>
      </c>
      <c r="F9" s="94">
        <v>1082</v>
      </c>
      <c r="G9" s="94">
        <v>27439</v>
      </c>
    </row>
    <row r="10" spans="1:7" ht="15.75" x14ac:dyDescent="0.2">
      <c r="A10" s="90">
        <v>1987</v>
      </c>
      <c r="B10" s="94">
        <v>7705</v>
      </c>
      <c r="C10" s="94">
        <v>8679</v>
      </c>
      <c r="D10" s="94">
        <v>3043</v>
      </c>
      <c r="E10" s="94">
        <v>11972</v>
      </c>
      <c r="F10" s="94">
        <v>1266</v>
      </c>
      <c r="G10" s="94">
        <v>32665</v>
      </c>
    </row>
    <row r="11" spans="1:7" ht="15.75" x14ac:dyDescent="0.2">
      <c r="A11" s="90">
        <v>1988</v>
      </c>
      <c r="B11" s="94">
        <v>6131</v>
      </c>
      <c r="C11" s="94">
        <v>9247</v>
      </c>
      <c r="D11" s="94">
        <v>2837</v>
      </c>
      <c r="E11" s="94">
        <v>13588</v>
      </c>
      <c r="F11" s="94">
        <v>1898</v>
      </c>
      <c r="G11" s="94">
        <v>33701</v>
      </c>
    </row>
    <row r="12" spans="1:7" ht="15.75" x14ac:dyDescent="0.2">
      <c r="A12" s="90">
        <v>1989</v>
      </c>
      <c r="B12" s="94">
        <v>21896</v>
      </c>
      <c r="C12" s="94">
        <v>20811</v>
      </c>
      <c r="D12" s="94">
        <v>6763</v>
      </c>
      <c r="E12" s="94">
        <v>9669</v>
      </c>
      <c r="F12" s="94">
        <v>1284</v>
      </c>
      <c r="G12" s="94">
        <v>60423</v>
      </c>
    </row>
    <row r="13" spans="1:7" ht="15.75" x14ac:dyDescent="0.2">
      <c r="A13" s="90">
        <v>1990</v>
      </c>
      <c r="B13" s="94">
        <v>10745</v>
      </c>
      <c r="C13" s="94">
        <v>12913</v>
      </c>
      <c r="D13" s="94">
        <v>5881</v>
      </c>
      <c r="E13" s="94">
        <v>14477</v>
      </c>
      <c r="F13" s="94">
        <v>1322</v>
      </c>
      <c r="G13" s="94">
        <v>45338</v>
      </c>
    </row>
    <row r="14" spans="1:7" ht="15.75" x14ac:dyDescent="0.2">
      <c r="A14" s="90">
        <v>1991</v>
      </c>
      <c r="B14" s="94">
        <v>14327</v>
      </c>
      <c r="C14" s="94">
        <v>13531</v>
      </c>
      <c r="D14" s="94">
        <v>3888</v>
      </c>
      <c r="E14" s="94">
        <v>11965</v>
      </c>
      <c r="F14" s="90">
        <v>858</v>
      </c>
      <c r="G14" s="94">
        <v>44569</v>
      </c>
    </row>
    <row r="15" spans="1:7" ht="15.75" x14ac:dyDescent="0.2">
      <c r="A15" s="90">
        <v>1992</v>
      </c>
      <c r="B15" s="94">
        <v>14954</v>
      </c>
      <c r="C15" s="94">
        <v>15955</v>
      </c>
      <c r="D15" s="94">
        <v>4002</v>
      </c>
      <c r="E15" s="94">
        <v>14641</v>
      </c>
      <c r="F15" s="94">
        <v>2582</v>
      </c>
      <c r="G15" s="94">
        <v>52134</v>
      </c>
    </row>
    <row r="16" spans="1:7" ht="15.75" x14ac:dyDescent="0.2">
      <c r="A16" s="90">
        <v>1993</v>
      </c>
      <c r="B16" s="94">
        <v>16101</v>
      </c>
      <c r="C16" s="94">
        <v>14254</v>
      </c>
      <c r="D16" s="94">
        <v>4769</v>
      </c>
      <c r="E16" s="94">
        <v>14412</v>
      </c>
      <c r="F16" s="94">
        <v>2406</v>
      </c>
      <c r="G16" s="94">
        <v>51942</v>
      </c>
    </row>
    <row r="17" spans="1:7" ht="15.75" x14ac:dyDescent="0.2">
      <c r="A17" s="90">
        <v>1994</v>
      </c>
      <c r="B17" s="94">
        <v>19983</v>
      </c>
      <c r="C17" s="94">
        <v>19263</v>
      </c>
      <c r="D17" s="94">
        <v>4618</v>
      </c>
      <c r="E17" s="94">
        <v>11588</v>
      </c>
      <c r="F17" s="94">
        <v>1763</v>
      </c>
      <c r="G17" s="94">
        <v>57215</v>
      </c>
    </row>
    <row r="18" spans="1:7" ht="15.75" x14ac:dyDescent="0.2">
      <c r="A18" s="90">
        <v>1995</v>
      </c>
      <c r="B18" s="94">
        <v>34116</v>
      </c>
      <c r="C18" s="94">
        <v>25827</v>
      </c>
      <c r="D18" s="94">
        <v>6563</v>
      </c>
      <c r="E18" s="94">
        <v>7378</v>
      </c>
      <c r="F18" s="94">
        <v>1438</v>
      </c>
      <c r="G18" s="94">
        <v>75322</v>
      </c>
    </row>
    <row r="19" spans="1:7" ht="15.75" x14ac:dyDescent="0.2">
      <c r="A19" s="90">
        <v>1996</v>
      </c>
      <c r="B19" s="94">
        <v>28626</v>
      </c>
      <c r="C19" s="94">
        <v>16771</v>
      </c>
      <c r="D19" s="94">
        <v>6401</v>
      </c>
      <c r="E19" s="94">
        <v>9093</v>
      </c>
      <c r="F19" s="94">
        <v>1508</v>
      </c>
      <c r="G19" s="94">
        <v>62399</v>
      </c>
    </row>
    <row r="20" spans="1:7" ht="15.75" x14ac:dyDescent="0.2">
      <c r="A20" s="90">
        <v>1997</v>
      </c>
      <c r="B20" s="94">
        <v>23497</v>
      </c>
      <c r="C20" s="94">
        <v>22320</v>
      </c>
      <c r="D20" s="94">
        <v>8005</v>
      </c>
      <c r="E20" s="94">
        <v>11612</v>
      </c>
      <c r="F20" s="94">
        <v>2273</v>
      </c>
      <c r="G20" s="94">
        <v>67707</v>
      </c>
    </row>
    <row r="21" spans="1:7" ht="15.75" x14ac:dyDescent="0.2">
      <c r="A21" s="90">
        <v>1998</v>
      </c>
      <c r="B21" s="94">
        <v>34676</v>
      </c>
      <c r="C21" s="94">
        <v>22446</v>
      </c>
      <c r="D21" s="94">
        <v>6289</v>
      </c>
      <c r="E21" s="94">
        <v>9540</v>
      </c>
      <c r="F21" s="94">
        <v>1842</v>
      </c>
      <c r="G21" s="94">
        <v>74793</v>
      </c>
    </row>
    <row r="22" spans="1:7" ht="15.75" x14ac:dyDescent="0.2">
      <c r="A22" s="90">
        <v>1999</v>
      </c>
      <c r="B22" s="94">
        <v>25477</v>
      </c>
      <c r="C22" s="94">
        <v>18237</v>
      </c>
      <c r="D22" s="94">
        <v>4960</v>
      </c>
      <c r="E22" s="94">
        <v>6932</v>
      </c>
      <c r="F22" s="94">
        <v>1486</v>
      </c>
      <c r="G22" s="94">
        <v>57092</v>
      </c>
    </row>
    <row r="23" spans="1:7" ht="15.75" x14ac:dyDescent="0.2">
      <c r="A23" s="90">
        <v>2000</v>
      </c>
      <c r="B23" s="94">
        <v>34109</v>
      </c>
      <c r="C23" s="94">
        <v>24118</v>
      </c>
      <c r="D23" s="94">
        <v>4603</v>
      </c>
      <c r="E23" s="94">
        <v>8595</v>
      </c>
      <c r="F23" s="94">
        <v>2581</v>
      </c>
      <c r="G23" s="94">
        <v>74006</v>
      </c>
    </row>
    <row r="24" spans="1:7" ht="15.75" x14ac:dyDescent="0.2">
      <c r="A24" s="90">
        <v>2001</v>
      </c>
      <c r="B24" s="94">
        <v>26533</v>
      </c>
      <c r="C24" s="94">
        <v>19547</v>
      </c>
      <c r="D24" s="94">
        <v>4309</v>
      </c>
      <c r="E24" s="94">
        <v>7134</v>
      </c>
      <c r="F24" s="94">
        <v>2535</v>
      </c>
      <c r="G24" s="94">
        <v>60058</v>
      </c>
    </row>
    <row r="25" spans="1:7" ht="15.75" x14ac:dyDescent="0.2">
      <c r="A25" s="90">
        <v>2002</v>
      </c>
      <c r="B25" s="94">
        <v>26488</v>
      </c>
      <c r="C25" s="94">
        <v>19929</v>
      </c>
      <c r="D25" s="94">
        <v>4097</v>
      </c>
      <c r="E25" s="94">
        <v>4601</v>
      </c>
      <c r="F25" s="94">
        <v>1141</v>
      </c>
      <c r="G25" s="94">
        <v>56256</v>
      </c>
    </row>
    <row r="26" spans="1:7" ht="15.75" x14ac:dyDescent="0.2">
      <c r="A26" s="90">
        <v>2003</v>
      </c>
      <c r="B26" s="94">
        <v>26195</v>
      </c>
      <c r="C26" s="94">
        <v>18616</v>
      </c>
      <c r="D26" s="94">
        <v>7023</v>
      </c>
      <c r="E26" s="94">
        <v>9697</v>
      </c>
      <c r="F26" s="94">
        <v>1452</v>
      </c>
      <c r="G26" s="94">
        <v>62983</v>
      </c>
    </row>
    <row r="27" spans="1:7" ht="15.75" x14ac:dyDescent="0.2">
      <c r="A27" s="90">
        <v>2004</v>
      </c>
      <c r="B27" s="94">
        <v>21870</v>
      </c>
      <c r="C27" s="94">
        <v>21394</v>
      </c>
      <c r="D27" s="94">
        <v>3775</v>
      </c>
      <c r="E27" s="94">
        <v>6428</v>
      </c>
      <c r="F27" s="94">
        <v>1748</v>
      </c>
      <c r="G27" s="94">
        <v>55215</v>
      </c>
    </row>
    <row r="28" spans="1:7" ht="15.75" x14ac:dyDescent="0.2">
      <c r="A28" s="91">
        <v>2005</v>
      </c>
      <c r="B28" s="95">
        <v>35697</v>
      </c>
      <c r="C28" s="95">
        <v>25492</v>
      </c>
      <c r="D28" s="95">
        <v>4698</v>
      </c>
      <c r="E28" s="95">
        <v>7951</v>
      </c>
      <c r="F28" s="95">
        <v>1544</v>
      </c>
      <c r="G28" s="95">
        <v>75382</v>
      </c>
    </row>
    <row r="29" spans="1:7" ht="15.75" x14ac:dyDescent="0.2">
      <c r="A29" s="96">
        <v>2006</v>
      </c>
      <c r="B29" s="99">
        <v>19929</v>
      </c>
      <c r="C29" s="99">
        <v>16354</v>
      </c>
      <c r="D29" s="99">
        <v>4608</v>
      </c>
      <c r="E29" s="99">
        <v>5634</v>
      </c>
      <c r="F29" s="99">
        <v>1417</v>
      </c>
      <c r="G29" s="99">
        <v>47942</v>
      </c>
    </row>
    <row r="30" spans="1:7" ht="15.75" x14ac:dyDescent="0.2">
      <c r="A30" s="96">
        <v>2007</v>
      </c>
      <c r="B30" s="99">
        <v>18722</v>
      </c>
      <c r="C30" s="99">
        <v>10936</v>
      </c>
      <c r="D30" s="99">
        <v>3364</v>
      </c>
      <c r="E30" s="99">
        <v>10639</v>
      </c>
      <c r="F30" s="99">
        <v>1983</v>
      </c>
      <c r="G30" s="99">
        <v>45644</v>
      </c>
    </row>
    <row r="31" spans="1:7" ht="15.75" x14ac:dyDescent="0.2">
      <c r="A31" s="96">
        <v>2008</v>
      </c>
      <c r="B31" s="99">
        <v>13832</v>
      </c>
      <c r="C31" s="99">
        <v>11655</v>
      </c>
      <c r="D31" s="99">
        <v>2781</v>
      </c>
      <c r="E31" s="99">
        <v>6486</v>
      </c>
      <c r="F31" s="99">
        <v>1481</v>
      </c>
      <c r="G31" s="99">
        <v>36235</v>
      </c>
    </row>
    <row r="32" spans="1:7" ht="15.75" x14ac:dyDescent="0.2">
      <c r="A32" s="96">
        <v>2009</v>
      </c>
      <c r="B32" s="99">
        <v>26119</v>
      </c>
      <c r="C32" s="99">
        <v>15643</v>
      </c>
      <c r="D32" s="99">
        <v>4800</v>
      </c>
      <c r="E32" s="99">
        <v>5422</v>
      </c>
      <c r="F32" s="99">
        <v>1063</v>
      </c>
      <c r="G32" s="99">
        <v>53047</v>
      </c>
    </row>
    <row r="33" spans="1:7" ht="15.75" x14ac:dyDescent="0.2">
      <c r="A33" s="96">
        <v>2010</v>
      </c>
      <c r="B33" s="99">
        <v>22026</v>
      </c>
      <c r="C33" s="99">
        <v>11721</v>
      </c>
      <c r="D33" s="99">
        <v>3900</v>
      </c>
      <c r="E33" s="99">
        <v>4884</v>
      </c>
      <c r="F33" s="99">
        <v>1052</v>
      </c>
      <c r="G33" s="99">
        <v>43583</v>
      </c>
    </row>
    <row r="34" spans="1:7" ht="15.75" x14ac:dyDescent="0.2">
      <c r="A34" s="96">
        <v>2011</v>
      </c>
      <c r="B34" s="99">
        <v>25221</v>
      </c>
      <c r="C34" s="99">
        <v>16414</v>
      </c>
      <c r="D34" s="99">
        <v>4500</v>
      </c>
      <c r="E34" s="99">
        <v>8181</v>
      </c>
      <c r="F34" s="99">
        <v>1653</v>
      </c>
      <c r="G34" s="99">
        <v>55929</v>
      </c>
    </row>
    <row r="35" spans="1:7" ht="15.75" x14ac:dyDescent="0.2">
      <c r="A35" s="96">
        <v>2012</v>
      </c>
      <c r="B35" s="99">
        <v>21176</v>
      </c>
      <c r="C35" s="99">
        <v>17503</v>
      </c>
      <c r="D35" s="99">
        <v>4105</v>
      </c>
      <c r="E35" s="99">
        <v>8252</v>
      </c>
      <c r="F35" s="99">
        <v>1559</v>
      </c>
      <c r="G35" s="99">
        <v>52595</v>
      </c>
    </row>
    <row r="36" spans="1:7" ht="16.5" thickBot="1" x14ac:dyDescent="0.25">
      <c r="A36" s="97">
        <v>2013</v>
      </c>
      <c r="B36" s="100">
        <v>19291</v>
      </c>
      <c r="C36" s="100">
        <v>10626</v>
      </c>
      <c r="D36" s="100">
        <v>2223</v>
      </c>
      <c r="E36" s="100">
        <v>2936</v>
      </c>
      <c r="F36" s="101">
        <v>862</v>
      </c>
      <c r="G36" s="100">
        <v>35938</v>
      </c>
    </row>
    <row r="37" spans="1:7" ht="15.75" x14ac:dyDescent="0.2">
      <c r="A37" s="98">
        <v>2014</v>
      </c>
      <c r="B37" s="102">
        <v>7067</v>
      </c>
      <c r="C37" s="102">
        <v>9771</v>
      </c>
      <c r="D37" s="102">
        <v>2778</v>
      </c>
      <c r="E37" s="102">
        <v>3257</v>
      </c>
      <c r="F37" s="103">
        <v>552</v>
      </c>
      <c r="G37" s="102">
        <v>23425</v>
      </c>
    </row>
    <row r="38" spans="1:7" ht="15.75" x14ac:dyDescent="0.2">
      <c r="A38" s="92" t="s">
        <v>130</v>
      </c>
      <c r="B38" s="91">
        <v>30</v>
      </c>
      <c r="C38" s="91">
        <v>42</v>
      </c>
      <c r="D38" s="91">
        <v>12</v>
      </c>
      <c r="E38" s="91">
        <v>14</v>
      </c>
      <c r="F38" s="91">
        <v>2</v>
      </c>
      <c r="G38" s="91">
        <v>100</v>
      </c>
    </row>
    <row r="39" spans="1:7" ht="15.75" x14ac:dyDescent="0.2">
      <c r="A39" s="144" t="s">
        <v>125</v>
      </c>
      <c r="B39" s="104">
        <v>7381</v>
      </c>
      <c r="C39" s="104">
        <v>9515</v>
      </c>
      <c r="D39" s="104">
        <v>4910</v>
      </c>
      <c r="E39" s="104">
        <v>11575</v>
      </c>
      <c r="F39" s="104">
        <v>1264</v>
      </c>
      <c r="G39" s="104">
        <v>34645</v>
      </c>
    </row>
    <row r="40" spans="1:7" ht="15.75" x14ac:dyDescent="0.2">
      <c r="A40" s="145" t="s">
        <v>126</v>
      </c>
      <c r="B40" s="105">
        <v>22250</v>
      </c>
      <c r="C40" s="105">
        <v>18152</v>
      </c>
      <c r="D40" s="105">
        <v>5538</v>
      </c>
      <c r="E40" s="105">
        <v>11164</v>
      </c>
      <c r="F40" s="105">
        <v>1748</v>
      </c>
      <c r="G40" s="105">
        <v>58851</v>
      </c>
    </row>
    <row r="41" spans="1:7" ht="15.75" x14ac:dyDescent="0.2">
      <c r="A41" s="145" t="s">
        <v>131</v>
      </c>
      <c r="B41" s="105">
        <v>24949</v>
      </c>
      <c r="C41" s="105">
        <v>18369</v>
      </c>
      <c r="D41" s="105">
        <v>4418</v>
      </c>
      <c r="E41" s="105">
        <v>7259</v>
      </c>
      <c r="F41" s="105">
        <v>1695</v>
      </c>
      <c r="G41" s="105">
        <v>56690</v>
      </c>
    </row>
    <row r="42" spans="1:7" ht="15.75" x14ac:dyDescent="0.2">
      <c r="A42" s="146" t="s">
        <v>132</v>
      </c>
      <c r="B42" s="106">
        <v>18956</v>
      </c>
      <c r="C42" s="106">
        <v>13207</v>
      </c>
      <c r="D42" s="106">
        <v>3416</v>
      </c>
      <c r="E42" s="106">
        <v>5502</v>
      </c>
      <c r="F42" s="106">
        <v>1128</v>
      </c>
      <c r="G42" s="106">
        <v>42209</v>
      </c>
    </row>
    <row r="43" spans="1:7" ht="15.75" x14ac:dyDescent="0.2">
      <c r="A43" s="147" t="s">
        <v>133</v>
      </c>
      <c r="B43" s="107">
        <v>18302</v>
      </c>
      <c r="C43" s="107">
        <v>15040</v>
      </c>
      <c r="D43" s="107">
        <v>4735</v>
      </c>
      <c r="E43" s="107">
        <v>9357</v>
      </c>
      <c r="F43" s="107">
        <v>1506</v>
      </c>
      <c r="G43" s="107">
        <v>48940</v>
      </c>
    </row>
    <row r="44" spans="1:7" ht="15.75" x14ac:dyDescent="0.2">
      <c r="A44" s="87"/>
      <c r="B44" s="87"/>
      <c r="C44" s="87"/>
      <c r="D44" s="87"/>
      <c r="E44" s="87"/>
      <c r="F44" s="87"/>
      <c r="G44" s="87"/>
    </row>
    <row r="45" spans="1:7" ht="15.75" x14ac:dyDescent="0.2">
      <c r="A45" s="87" t="s">
        <v>370</v>
      </c>
      <c r="B45" s="87"/>
      <c r="C45" s="87"/>
      <c r="D45" s="87"/>
      <c r="E45" s="87"/>
      <c r="F45" s="87"/>
      <c r="G45" s="87"/>
    </row>
    <row r="46" spans="1:7" ht="15.75" x14ac:dyDescent="0.2">
      <c r="A46" s="108" t="s">
        <v>134</v>
      </c>
      <c r="B46" s="87"/>
      <c r="C46" s="87"/>
      <c r="D46" s="87"/>
      <c r="E46" s="87"/>
      <c r="F46" s="87"/>
      <c r="G46" s="87"/>
    </row>
    <row r="47" spans="1:7" ht="15.75" x14ac:dyDescent="0.2">
      <c r="A47" s="87"/>
      <c r="B47" s="87"/>
      <c r="C47" s="87"/>
      <c r="D47" s="87"/>
      <c r="E47" s="87"/>
      <c r="F47" s="87"/>
      <c r="G47" s="87"/>
    </row>
    <row r="50" spans="1:1" ht="15.75" x14ac:dyDescent="0.2">
      <c r="A50" s="87"/>
    </row>
  </sheetData>
  <pageMargins left="0.7" right="0.7" top="0.75" bottom="0.75" header="0.3" footer="0.3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35"/>
  <sheetViews>
    <sheetView workbookViewId="0">
      <selection activeCell="J32" sqref="J32"/>
    </sheetView>
  </sheetViews>
  <sheetFormatPr defaultColWidth="11.42578125" defaultRowHeight="12.75" x14ac:dyDescent="0.2"/>
  <cols>
    <col min="1" max="1" width="11.7109375" bestFit="1" customWidth="1"/>
    <col min="2" max="14" width="6.42578125" customWidth="1"/>
    <col min="15" max="15" width="8.5703125" style="13" bestFit="1" customWidth="1"/>
  </cols>
  <sheetData>
    <row r="1" spans="1:18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s="13" t="s">
        <v>20</v>
      </c>
      <c r="P1" t="s">
        <v>21</v>
      </c>
      <c r="Q1" t="s">
        <v>24</v>
      </c>
      <c r="R1" t="s">
        <v>355</v>
      </c>
    </row>
    <row r="2" spans="1:18" x14ac:dyDescent="0.2">
      <c r="A2" t="s">
        <v>5</v>
      </c>
      <c r="B2" s="4">
        <v>1985</v>
      </c>
      <c r="C2" s="10">
        <v>307</v>
      </c>
      <c r="D2" s="10">
        <v>446</v>
      </c>
      <c r="E2" s="10">
        <v>225</v>
      </c>
      <c r="F2" s="10">
        <v>202</v>
      </c>
      <c r="G2" s="10">
        <v>72</v>
      </c>
      <c r="H2" s="10">
        <v>66</v>
      </c>
      <c r="I2" s="10">
        <v>39</v>
      </c>
      <c r="J2" s="10">
        <v>37</v>
      </c>
      <c r="K2" s="10">
        <v>16</v>
      </c>
      <c r="L2" s="10">
        <v>62</v>
      </c>
      <c r="M2" s="10">
        <v>310</v>
      </c>
      <c r="N2" s="10">
        <v>424</v>
      </c>
      <c r="O2" s="14">
        <f>SUM(C2:N2)</f>
        <v>2206</v>
      </c>
      <c r="P2" s="13">
        <f>SUM(E2:K2)</f>
        <v>657</v>
      </c>
      <c r="Q2" s="13">
        <f>SUM(H2:K2)</f>
        <v>158</v>
      </c>
      <c r="R2">
        <f>SUM(C2:F2)</f>
        <v>1180</v>
      </c>
    </row>
    <row r="3" spans="1:18" x14ac:dyDescent="0.2">
      <c r="B3" s="4">
        <v>1986</v>
      </c>
      <c r="C3" s="10">
        <v>245</v>
      </c>
      <c r="D3" s="10">
        <v>388</v>
      </c>
      <c r="E3" s="10">
        <v>104</v>
      </c>
      <c r="F3" s="10">
        <v>113</v>
      </c>
      <c r="G3" s="10">
        <v>130</v>
      </c>
      <c r="H3" s="10">
        <v>54</v>
      </c>
      <c r="I3" s="10">
        <v>3</v>
      </c>
      <c r="J3" s="10">
        <v>61</v>
      </c>
      <c r="K3" s="10">
        <v>269</v>
      </c>
      <c r="L3" s="10">
        <v>69</v>
      </c>
      <c r="M3" s="10">
        <v>239</v>
      </c>
      <c r="N3" s="10">
        <v>132</v>
      </c>
      <c r="O3" s="14">
        <f t="shared" ref="O3:O32" si="0">SUM(C3:N3)</f>
        <v>1807</v>
      </c>
      <c r="P3" s="13">
        <f t="shared" ref="P3:P19" si="1">SUM(E3:K3)</f>
        <v>734</v>
      </c>
      <c r="Q3" s="13">
        <f t="shared" ref="Q3:Q19" si="2">SUM(H3:K3)</f>
        <v>387</v>
      </c>
      <c r="R3">
        <f t="shared" ref="R3:R32" si="3">SUM(C3:F3)</f>
        <v>850</v>
      </c>
    </row>
    <row r="4" spans="1:18" x14ac:dyDescent="0.2">
      <c r="B4" s="4">
        <v>1987</v>
      </c>
      <c r="C4" s="10">
        <v>151</v>
      </c>
      <c r="D4" s="10">
        <v>262</v>
      </c>
      <c r="E4" s="10">
        <v>134</v>
      </c>
      <c r="F4" s="10">
        <v>225</v>
      </c>
      <c r="G4" s="10">
        <v>6</v>
      </c>
      <c r="H4" s="10">
        <v>128</v>
      </c>
      <c r="I4" s="10">
        <v>66</v>
      </c>
      <c r="J4" s="10">
        <v>59</v>
      </c>
      <c r="K4" s="10">
        <v>151</v>
      </c>
      <c r="L4" s="10">
        <v>596</v>
      </c>
      <c r="M4" s="10">
        <v>75</v>
      </c>
      <c r="N4" s="10">
        <v>314</v>
      </c>
      <c r="O4" s="14">
        <f t="shared" si="0"/>
        <v>2167</v>
      </c>
      <c r="P4" s="13">
        <f t="shared" si="1"/>
        <v>769</v>
      </c>
      <c r="Q4" s="13">
        <f t="shared" si="2"/>
        <v>404</v>
      </c>
      <c r="R4">
        <f t="shared" si="3"/>
        <v>772</v>
      </c>
    </row>
    <row r="5" spans="1:18" x14ac:dyDescent="0.2">
      <c r="B5" s="4">
        <v>1988</v>
      </c>
      <c r="C5" s="10">
        <v>466</v>
      </c>
      <c r="D5" s="10">
        <v>193</v>
      </c>
      <c r="E5" s="10">
        <v>55</v>
      </c>
      <c r="F5" s="10">
        <v>194</v>
      </c>
      <c r="G5" s="10">
        <v>160</v>
      </c>
      <c r="H5" s="10">
        <v>128</v>
      </c>
      <c r="I5" s="10">
        <v>99</v>
      </c>
      <c r="J5" s="10">
        <v>22</v>
      </c>
      <c r="K5" s="10">
        <v>9</v>
      </c>
      <c r="L5" s="10">
        <v>227</v>
      </c>
      <c r="M5" s="10">
        <v>164</v>
      </c>
      <c r="N5" s="10">
        <v>24</v>
      </c>
      <c r="O5" s="14">
        <f t="shared" si="0"/>
        <v>1741</v>
      </c>
      <c r="P5" s="13">
        <f t="shared" si="1"/>
        <v>667</v>
      </c>
      <c r="Q5" s="13">
        <f t="shared" si="2"/>
        <v>258</v>
      </c>
      <c r="R5">
        <f t="shared" si="3"/>
        <v>908</v>
      </c>
    </row>
    <row r="6" spans="1:18" x14ac:dyDescent="0.2">
      <c r="B6" s="4">
        <v>1989</v>
      </c>
      <c r="C6" s="10">
        <v>59</v>
      </c>
      <c r="D6" s="10">
        <v>154</v>
      </c>
      <c r="E6" s="10">
        <v>95</v>
      </c>
      <c r="F6" s="10">
        <v>157</v>
      </c>
      <c r="G6" s="10">
        <v>48</v>
      </c>
      <c r="H6" s="10">
        <v>20</v>
      </c>
      <c r="I6" s="10">
        <v>13</v>
      </c>
      <c r="J6" s="10">
        <v>34</v>
      </c>
      <c r="K6" s="10">
        <v>4</v>
      </c>
      <c r="L6" s="10">
        <v>166</v>
      </c>
      <c r="M6" s="10">
        <v>348</v>
      </c>
      <c r="N6" s="10">
        <v>462</v>
      </c>
      <c r="O6" s="14">
        <f t="shared" si="0"/>
        <v>1560</v>
      </c>
      <c r="P6" s="13">
        <f t="shared" si="1"/>
        <v>371</v>
      </c>
      <c r="Q6" s="13">
        <f t="shared" si="2"/>
        <v>71</v>
      </c>
      <c r="R6">
        <f t="shared" si="3"/>
        <v>465</v>
      </c>
    </row>
    <row r="7" spans="1:18" x14ac:dyDescent="0.2">
      <c r="B7" s="4">
        <v>1990</v>
      </c>
      <c r="C7" s="10">
        <v>189</v>
      </c>
      <c r="D7" s="10">
        <v>110</v>
      </c>
      <c r="E7" s="10">
        <v>11</v>
      </c>
      <c r="F7" s="10">
        <v>125</v>
      </c>
      <c r="G7" s="10">
        <v>20</v>
      </c>
      <c r="H7" s="10">
        <v>17</v>
      </c>
      <c r="I7" s="10">
        <v>15</v>
      </c>
      <c r="J7" s="10">
        <v>38</v>
      </c>
      <c r="K7" s="10">
        <v>23</v>
      </c>
      <c r="L7" s="10">
        <v>462</v>
      </c>
      <c r="M7" s="10">
        <v>113</v>
      </c>
      <c r="N7" s="10">
        <v>149</v>
      </c>
      <c r="O7" s="14">
        <f t="shared" si="0"/>
        <v>1272</v>
      </c>
      <c r="P7" s="13">
        <f t="shared" si="1"/>
        <v>249</v>
      </c>
      <c r="Q7" s="13">
        <f t="shared" si="2"/>
        <v>93</v>
      </c>
      <c r="R7">
        <f t="shared" si="3"/>
        <v>435</v>
      </c>
    </row>
    <row r="8" spans="1:18" x14ac:dyDescent="0.2">
      <c r="B8" s="4">
        <v>1991</v>
      </c>
      <c r="C8" s="10">
        <v>247</v>
      </c>
      <c r="D8" s="10">
        <v>167</v>
      </c>
      <c r="E8" s="10">
        <v>190</v>
      </c>
      <c r="F8" s="10">
        <v>67</v>
      </c>
      <c r="G8" s="10">
        <v>14</v>
      </c>
      <c r="H8" s="10">
        <v>75</v>
      </c>
      <c r="I8" s="10">
        <v>101</v>
      </c>
      <c r="J8" s="10">
        <v>67</v>
      </c>
      <c r="K8" s="10">
        <v>146</v>
      </c>
      <c r="L8" s="10">
        <v>117</v>
      </c>
      <c r="M8" s="10">
        <v>274</v>
      </c>
      <c r="N8" s="10">
        <v>28</v>
      </c>
      <c r="O8" s="14">
        <f t="shared" si="0"/>
        <v>1493</v>
      </c>
      <c r="P8" s="13">
        <f t="shared" si="1"/>
        <v>660</v>
      </c>
      <c r="Q8" s="13">
        <f t="shared" si="2"/>
        <v>389</v>
      </c>
      <c r="R8">
        <f t="shared" si="3"/>
        <v>671</v>
      </c>
    </row>
    <row r="9" spans="1:18" x14ac:dyDescent="0.2">
      <c r="B9" s="4">
        <v>1992</v>
      </c>
      <c r="C9" s="10">
        <v>56</v>
      </c>
      <c r="D9" s="10">
        <v>57</v>
      </c>
      <c r="E9" s="10">
        <v>75</v>
      </c>
      <c r="F9" s="10">
        <v>91</v>
      </c>
      <c r="G9" s="10">
        <v>116</v>
      </c>
      <c r="H9" s="10">
        <v>92</v>
      </c>
      <c r="I9" s="10">
        <v>3</v>
      </c>
      <c r="J9" s="10">
        <v>121</v>
      </c>
      <c r="K9" s="10">
        <v>149</v>
      </c>
      <c r="L9" s="10">
        <v>123</v>
      </c>
      <c r="M9" s="10">
        <v>159</v>
      </c>
      <c r="N9" s="10">
        <v>194</v>
      </c>
      <c r="O9" s="14">
        <f t="shared" si="0"/>
        <v>1236</v>
      </c>
      <c r="P9" s="13">
        <f t="shared" si="1"/>
        <v>647</v>
      </c>
      <c r="Q9" s="13">
        <f t="shared" si="2"/>
        <v>365</v>
      </c>
      <c r="R9">
        <f t="shared" si="3"/>
        <v>279</v>
      </c>
    </row>
    <row r="10" spans="1:18" x14ac:dyDescent="0.2">
      <c r="B10" s="4">
        <v>1993</v>
      </c>
      <c r="C10" s="10">
        <v>79</v>
      </c>
      <c r="D10" s="10">
        <v>12</v>
      </c>
      <c r="E10" s="10">
        <v>84</v>
      </c>
      <c r="F10" s="10">
        <v>210</v>
      </c>
      <c r="G10" s="10">
        <v>317</v>
      </c>
      <c r="H10" s="10">
        <v>58</v>
      </c>
      <c r="I10" s="10">
        <v>1</v>
      </c>
      <c r="J10" s="10">
        <v>25</v>
      </c>
      <c r="K10" s="10">
        <v>146</v>
      </c>
      <c r="L10" s="10">
        <v>344</v>
      </c>
      <c r="M10" s="10">
        <v>164</v>
      </c>
      <c r="N10" s="10">
        <v>187</v>
      </c>
      <c r="O10" s="14">
        <f t="shared" si="0"/>
        <v>1627</v>
      </c>
      <c r="P10" s="13">
        <f t="shared" si="1"/>
        <v>841</v>
      </c>
      <c r="Q10" s="13">
        <f t="shared" si="2"/>
        <v>230</v>
      </c>
      <c r="R10">
        <f t="shared" si="3"/>
        <v>385</v>
      </c>
    </row>
    <row r="11" spans="1:18" x14ac:dyDescent="0.2">
      <c r="B11" s="4">
        <v>1994</v>
      </c>
      <c r="C11" s="10">
        <v>310</v>
      </c>
      <c r="D11" s="10">
        <v>209</v>
      </c>
      <c r="E11" s="10">
        <v>29</v>
      </c>
      <c r="F11" s="10">
        <v>114</v>
      </c>
      <c r="G11" s="10">
        <v>278</v>
      </c>
      <c r="H11" s="10">
        <v>27</v>
      </c>
      <c r="I11" s="10">
        <v>12</v>
      </c>
      <c r="J11" s="10">
        <v>76</v>
      </c>
      <c r="K11" s="10">
        <v>131</v>
      </c>
      <c r="L11" s="10">
        <v>221</v>
      </c>
      <c r="M11" s="10">
        <v>229</v>
      </c>
      <c r="N11" s="10">
        <v>235</v>
      </c>
      <c r="O11" s="14">
        <f t="shared" si="0"/>
        <v>1871</v>
      </c>
      <c r="P11" s="13">
        <f t="shared" si="1"/>
        <v>667</v>
      </c>
      <c r="Q11" s="13">
        <f t="shared" si="2"/>
        <v>246</v>
      </c>
      <c r="R11">
        <f t="shared" si="3"/>
        <v>662</v>
      </c>
    </row>
    <row r="12" spans="1:18" x14ac:dyDescent="0.2">
      <c r="B12" s="4">
        <v>1995</v>
      </c>
      <c r="C12" s="11">
        <v>203</v>
      </c>
      <c r="D12" s="11">
        <v>260</v>
      </c>
      <c r="E12" s="11">
        <v>120</v>
      </c>
      <c r="F12" s="11">
        <v>43</v>
      </c>
      <c r="G12" s="11">
        <v>123</v>
      </c>
      <c r="H12" s="11">
        <v>20</v>
      </c>
      <c r="I12" s="11">
        <v>55</v>
      </c>
      <c r="J12" s="11">
        <v>11</v>
      </c>
      <c r="K12" s="11">
        <v>98</v>
      </c>
      <c r="L12" s="11">
        <v>142</v>
      </c>
      <c r="M12" s="11">
        <v>474</v>
      </c>
      <c r="N12" s="11">
        <v>362</v>
      </c>
      <c r="O12" s="14">
        <f t="shared" si="0"/>
        <v>1911</v>
      </c>
      <c r="P12" s="13">
        <f t="shared" si="1"/>
        <v>470</v>
      </c>
      <c r="Q12" s="13">
        <f t="shared" si="2"/>
        <v>184</v>
      </c>
      <c r="R12">
        <f t="shared" si="3"/>
        <v>626</v>
      </c>
    </row>
    <row r="13" spans="1:18" x14ac:dyDescent="0.2">
      <c r="B13" s="4">
        <v>1996</v>
      </c>
      <c r="C13" s="10">
        <v>380</v>
      </c>
      <c r="D13" s="10">
        <v>247</v>
      </c>
      <c r="E13" s="10">
        <v>174</v>
      </c>
      <c r="F13" s="10">
        <v>66</v>
      </c>
      <c r="G13" s="10">
        <v>130</v>
      </c>
      <c r="H13" s="10">
        <v>6</v>
      </c>
      <c r="I13" s="10">
        <v>36</v>
      </c>
      <c r="J13" s="10">
        <v>62</v>
      </c>
      <c r="K13" s="10">
        <v>127</v>
      </c>
      <c r="L13" s="10">
        <v>209</v>
      </c>
      <c r="M13" s="10">
        <v>319</v>
      </c>
      <c r="N13" s="10">
        <v>221</v>
      </c>
      <c r="O13" s="14">
        <f t="shared" si="0"/>
        <v>1977</v>
      </c>
      <c r="P13" s="13">
        <f t="shared" si="1"/>
        <v>601</v>
      </c>
      <c r="Q13" s="13">
        <f t="shared" si="2"/>
        <v>231</v>
      </c>
      <c r="R13">
        <f t="shared" si="3"/>
        <v>867</v>
      </c>
    </row>
    <row r="14" spans="1:18" x14ac:dyDescent="0.2">
      <c r="B14" s="4">
        <v>1997</v>
      </c>
      <c r="C14" s="10">
        <v>206</v>
      </c>
      <c r="D14" s="10">
        <v>125</v>
      </c>
      <c r="E14" s="10">
        <v>0</v>
      </c>
      <c r="F14" s="10">
        <v>68</v>
      </c>
      <c r="G14" s="10">
        <v>268</v>
      </c>
      <c r="H14" s="10">
        <v>124</v>
      </c>
      <c r="I14" s="10">
        <v>3</v>
      </c>
      <c r="J14" s="10">
        <v>74</v>
      </c>
      <c r="K14" s="10">
        <v>12</v>
      </c>
      <c r="L14" s="10">
        <v>245</v>
      </c>
      <c r="M14" s="10">
        <v>480</v>
      </c>
      <c r="N14" s="10">
        <v>296</v>
      </c>
      <c r="O14" s="14">
        <f t="shared" si="0"/>
        <v>1901</v>
      </c>
      <c r="P14" s="13">
        <f t="shared" si="1"/>
        <v>549</v>
      </c>
      <c r="Q14" s="13">
        <f t="shared" si="2"/>
        <v>213</v>
      </c>
      <c r="R14">
        <f t="shared" si="3"/>
        <v>399</v>
      </c>
    </row>
    <row r="15" spans="1:18" x14ac:dyDescent="0.2">
      <c r="B15" s="4">
        <v>1998</v>
      </c>
      <c r="C15" s="10">
        <v>184</v>
      </c>
      <c r="D15" s="10">
        <v>55</v>
      </c>
      <c r="E15" s="10">
        <v>164</v>
      </c>
      <c r="F15" s="10">
        <v>383</v>
      </c>
      <c r="G15" s="10">
        <v>49</v>
      </c>
      <c r="H15" s="10">
        <v>34</v>
      </c>
      <c r="I15" s="10">
        <v>42</v>
      </c>
      <c r="J15" s="10">
        <v>2</v>
      </c>
      <c r="K15" s="10">
        <v>202</v>
      </c>
      <c r="L15" s="10">
        <v>68</v>
      </c>
      <c r="M15" s="10">
        <v>81</v>
      </c>
      <c r="N15" s="10">
        <v>177</v>
      </c>
      <c r="O15" s="14">
        <f t="shared" si="0"/>
        <v>1441</v>
      </c>
      <c r="P15" s="13">
        <f t="shared" si="1"/>
        <v>876</v>
      </c>
      <c r="Q15" s="13">
        <f t="shared" si="2"/>
        <v>280</v>
      </c>
      <c r="R15">
        <f t="shared" si="3"/>
        <v>786</v>
      </c>
    </row>
    <row r="16" spans="1:18" x14ac:dyDescent="0.2">
      <c r="B16" s="4">
        <v>1999</v>
      </c>
      <c r="C16" s="10">
        <v>140</v>
      </c>
      <c r="D16" s="10">
        <v>57</v>
      </c>
      <c r="E16" s="10">
        <v>199</v>
      </c>
      <c r="F16" s="10">
        <v>196</v>
      </c>
      <c r="G16" s="10">
        <v>115</v>
      </c>
      <c r="H16" s="10">
        <v>40</v>
      </c>
      <c r="I16" s="10">
        <v>27</v>
      </c>
      <c r="J16" s="10">
        <v>93</v>
      </c>
      <c r="K16" s="10">
        <v>233</v>
      </c>
      <c r="L16" s="10">
        <v>266</v>
      </c>
      <c r="M16" s="10">
        <v>58</v>
      </c>
      <c r="N16" s="10">
        <v>240</v>
      </c>
      <c r="O16" s="14">
        <f t="shared" si="0"/>
        <v>1664</v>
      </c>
      <c r="P16" s="13">
        <f t="shared" si="1"/>
        <v>903</v>
      </c>
      <c r="Q16" s="13">
        <f t="shared" si="2"/>
        <v>393</v>
      </c>
      <c r="R16">
        <f t="shared" si="3"/>
        <v>592</v>
      </c>
    </row>
    <row r="17" spans="2:18" x14ac:dyDescent="0.2">
      <c r="B17" s="4">
        <v>2000</v>
      </c>
      <c r="C17" s="10">
        <v>51</v>
      </c>
      <c r="D17" s="10">
        <v>54</v>
      </c>
      <c r="E17" s="10">
        <v>22</v>
      </c>
      <c r="F17" s="10">
        <v>430</v>
      </c>
      <c r="G17" s="10">
        <v>131</v>
      </c>
      <c r="H17" s="10">
        <v>38</v>
      </c>
      <c r="I17" s="10">
        <v>72</v>
      </c>
      <c r="J17" s="10">
        <v>58</v>
      </c>
      <c r="K17" s="10">
        <v>91</v>
      </c>
      <c r="L17" s="10">
        <v>187</v>
      </c>
      <c r="M17" s="10">
        <v>469</v>
      </c>
      <c r="N17" s="10">
        <v>640</v>
      </c>
      <c r="O17" s="14">
        <f t="shared" si="0"/>
        <v>2243</v>
      </c>
      <c r="P17" s="13">
        <f t="shared" si="1"/>
        <v>842</v>
      </c>
      <c r="Q17" s="13">
        <f t="shared" si="2"/>
        <v>259</v>
      </c>
      <c r="R17">
        <f t="shared" si="3"/>
        <v>557</v>
      </c>
    </row>
    <row r="18" spans="2:18" x14ac:dyDescent="0.2">
      <c r="B18" s="4">
        <v>2001</v>
      </c>
      <c r="C18" s="10">
        <v>404</v>
      </c>
      <c r="D18" s="10">
        <v>151</v>
      </c>
      <c r="E18" s="10">
        <v>570</v>
      </c>
      <c r="F18" s="10">
        <v>90</v>
      </c>
      <c r="G18" s="10">
        <v>139</v>
      </c>
      <c r="H18" s="10">
        <v>17</v>
      </c>
      <c r="I18" s="10">
        <v>72</v>
      </c>
      <c r="J18" s="10">
        <v>60</v>
      </c>
      <c r="K18" s="10">
        <v>44</v>
      </c>
      <c r="L18" s="10">
        <v>395</v>
      </c>
      <c r="M18" s="10">
        <v>1</v>
      </c>
      <c r="N18" s="10">
        <v>45</v>
      </c>
      <c r="O18" s="14">
        <f t="shared" si="0"/>
        <v>1988</v>
      </c>
      <c r="P18" s="13">
        <f t="shared" si="1"/>
        <v>992</v>
      </c>
      <c r="Q18" s="13">
        <f t="shared" si="2"/>
        <v>193</v>
      </c>
      <c r="R18">
        <f t="shared" si="3"/>
        <v>1215</v>
      </c>
    </row>
    <row r="19" spans="2:18" x14ac:dyDescent="0.2">
      <c r="B19" s="4">
        <v>2002</v>
      </c>
      <c r="C19" s="10">
        <v>172</v>
      </c>
      <c r="D19" s="10">
        <v>103</v>
      </c>
      <c r="E19" s="10">
        <v>129</v>
      </c>
      <c r="F19" s="10">
        <v>57</v>
      </c>
      <c r="G19" s="10">
        <v>154</v>
      </c>
      <c r="H19" s="10">
        <v>67</v>
      </c>
      <c r="I19" s="10">
        <v>21</v>
      </c>
      <c r="J19" s="10">
        <v>13</v>
      </c>
      <c r="K19" s="10">
        <v>80</v>
      </c>
      <c r="L19" s="10">
        <v>314</v>
      </c>
      <c r="M19" s="10">
        <v>437</v>
      </c>
      <c r="N19" s="10">
        <v>332</v>
      </c>
      <c r="O19" s="14">
        <f t="shared" si="0"/>
        <v>1879</v>
      </c>
      <c r="P19" s="13">
        <f t="shared" si="1"/>
        <v>521</v>
      </c>
      <c r="Q19" s="13">
        <f t="shared" si="2"/>
        <v>181</v>
      </c>
      <c r="R19">
        <f t="shared" si="3"/>
        <v>461</v>
      </c>
    </row>
    <row r="20" spans="2:18" x14ac:dyDescent="0.2">
      <c r="B20" s="4">
        <v>2003</v>
      </c>
      <c r="C20">
        <v>264</v>
      </c>
      <c r="D20">
        <v>152</v>
      </c>
      <c r="E20">
        <v>157</v>
      </c>
      <c r="F20">
        <v>216</v>
      </c>
      <c r="G20">
        <v>33</v>
      </c>
      <c r="H20">
        <v>88</v>
      </c>
      <c r="I20">
        <v>122</v>
      </c>
      <c r="J20">
        <v>68</v>
      </c>
      <c r="K20">
        <v>40</v>
      </c>
      <c r="L20">
        <v>178</v>
      </c>
      <c r="M20">
        <v>388</v>
      </c>
      <c r="N20">
        <v>140</v>
      </c>
      <c r="O20" s="14">
        <f t="shared" si="0"/>
        <v>1846</v>
      </c>
      <c r="P20" s="13">
        <f t="shared" ref="P20:P32" si="4">SUM(E20:K20)</f>
        <v>724</v>
      </c>
      <c r="Q20" s="13">
        <f t="shared" ref="Q20:Q32" si="5">SUM(H20:K20)</f>
        <v>318</v>
      </c>
      <c r="R20">
        <f t="shared" si="3"/>
        <v>789</v>
      </c>
    </row>
    <row r="21" spans="2:18" x14ac:dyDescent="0.2">
      <c r="B21" s="4">
        <v>2004</v>
      </c>
      <c r="C21" s="10">
        <v>173</v>
      </c>
      <c r="D21" s="10">
        <v>13</v>
      </c>
      <c r="E21" s="10">
        <v>65</v>
      </c>
      <c r="F21" s="10">
        <v>101</v>
      </c>
      <c r="G21" s="10">
        <v>61</v>
      </c>
      <c r="H21" s="10">
        <v>34</v>
      </c>
      <c r="I21" s="10">
        <v>17</v>
      </c>
      <c r="J21" s="10">
        <v>142</v>
      </c>
      <c r="K21" s="10">
        <v>83</v>
      </c>
      <c r="L21" s="10">
        <v>358</v>
      </c>
      <c r="M21" s="10">
        <v>43</v>
      </c>
      <c r="N21" s="10">
        <v>73</v>
      </c>
      <c r="O21" s="14">
        <f t="shared" si="0"/>
        <v>1163</v>
      </c>
      <c r="P21" s="13">
        <f t="shared" si="4"/>
        <v>503</v>
      </c>
      <c r="Q21" s="13">
        <f t="shared" si="5"/>
        <v>276</v>
      </c>
      <c r="R21">
        <f t="shared" si="3"/>
        <v>352</v>
      </c>
    </row>
    <row r="22" spans="2:18" x14ac:dyDescent="0.2">
      <c r="B22" s="4">
        <v>2005</v>
      </c>
      <c r="C22" s="10">
        <v>49</v>
      </c>
      <c r="D22" s="10">
        <v>26</v>
      </c>
      <c r="E22" s="10">
        <v>92</v>
      </c>
      <c r="F22" s="10">
        <v>100</v>
      </c>
      <c r="G22" s="10">
        <v>130</v>
      </c>
      <c r="H22" s="10">
        <v>55</v>
      </c>
      <c r="I22" s="10">
        <v>27</v>
      </c>
      <c r="J22" s="10">
        <v>17</v>
      </c>
      <c r="K22" s="10">
        <v>71</v>
      </c>
      <c r="L22" s="10">
        <v>477</v>
      </c>
      <c r="M22" s="10">
        <v>126</v>
      </c>
      <c r="N22" s="10">
        <v>168</v>
      </c>
      <c r="O22" s="14">
        <f t="shared" si="0"/>
        <v>1338</v>
      </c>
      <c r="P22" s="13">
        <f t="shared" si="4"/>
        <v>492</v>
      </c>
      <c r="Q22" s="13">
        <f t="shared" si="5"/>
        <v>170</v>
      </c>
      <c r="R22">
        <f t="shared" si="3"/>
        <v>267</v>
      </c>
    </row>
    <row r="23" spans="2:18" x14ac:dyDescent="0.2">
      <c r="B23" s="4">
        <v>2006</v>
      </c>
      <c r="C23">
        <v>70</v>
      </c>
      <c r="D23">
        <v>105</v>
      </c>
      <c r="E23">
        <v>305</v>
      </c>
      <c r="F23">
        <v>84</v>
      </c>
      <c r="G23">
        <v>42</v>
      </c>
      <c r="H23">
        <v>12</v>
      </c>
      <c r="I23">
        <v>5</v>
      </c>
      <c r="J23">
        <v>91</v>
      </c>
      <c r="K23">
        <v>189</v>
      </c>
      <c r="L23">
        <v>436</v>
      </c>
      <c r="M23">
        <v>358</v>
      </c>
      <c r="N23">
        <v>235</v>
      </c>
      <c r="O23" s="14">
        <f t="shared" si="0"/>
        <v>1932</v>
      </c>
      <c r="P23" s="13">
        <f t="shared" si="4"/>
        <v>728</v>
      </c>
      <c r="Q23" s="13">
        <f t="shared" si="5"/>
        <v>297</v>
      </c>
      <c r="R23">
        <f t="shared" si="3"/>
        <v>564</v>
      </c>
    </row>
    <row r="24" spans="2:18" x14ac:dyDescent="0.2">
      <c r="B24" s="4">
        <v>2007</v>
      </c>
      <c r="C24">
        <v>71</v>
      </c>
      <c r="D24">
        <v>175</v>
      </c>
      <c r="E24">
        <v>76</v>
      </c>
      <c r="F24">
        <v>53</v>
      </c>
      <c r="G24">
        <v>62</v>
      </c>
      <c r="H24">
        <v>134</v>
      </c>
      <c r="I24">
        <v>63</v>
      </c>
      <c r="J24">
        <v>15</v>
      </c>
      <c r="K24">
        <v>25</v>
      </c>
      <c r="L24">
        <v>5</v>
      </c>
      <c r="M24">
        <v>82</v>
      </c>
      <c r="N24">
        <v>83</v>
      </c>
      <c r="O24" s="14">
        <f t="shared" si="0"/>
        <v>844</v>
      </c>
      <c r="P24" s="13">
        <f t="shared" si="4"/>
        <v>428</v>
      </c>
      <c r="Q24" s="13">
        <f t="shared" si="5"/>
        <v>237</v>
      </c>
      <c r="R24">
        <f t="shared" si="3"/>
        <v>375</v>
      </c>
    </row>
    <row r="25" spans="2:18" x14ac:dyDescent="0.2">
      <c r="B25" s="4">
        <v>2008</v>
      </c>
      <c r="C25">
        <v>238</v>
      </c>
      <c r="D25">
        <v>72</v>
      </c>
      <c r="E25">
        <v>120</v>
      </c>
      <c r="F25">
        <v>222</v>
      </c>
      <c r="G25">
        <v>178</v>
      </c>
      <c r="H25">
        <v>12</v>
      </c>
      <c r="I25">
        <v>27</v>
      </c>
      <c r="J25">
        <v>58</v>
      </c>
      <c r="K25">
        <v>73</v>
      </c>
      <c r="L25">
        <v>91</v>
      </c>
      <c r="M25">
        <v>103</v>
      </c>
      <c r="N25">
        <v>166</v>
      </c>
      <c r="O25" s="14">
        <f t="shared" si="0"/>
        <v>1360</v>
      </c>
      <c r="P25" s="13">
        <f t="shared" si="4"/>
        <v>690</v>
      </c>
      <c r="Q25" s="13">
        <f t="shared" si="5"/>
        <v>170</v>
      </c>
      <c r="R25">
        <f t="shared" si="3"/>
        <v>652</v>
      </c>
    </row>
    <row r="26" spans="2:18" x14ac:dyDescent="0.2">
      <c r="B26" s="4">
        <v>2009</v>
      </c>
      <c r="C26">
        <v>245</v>
      </c>
      <c r="D26">
        <v>75.2</v>
      </c>
      <c r="E26">
        <v>34.799999999999997</v>
      </c>
      <c r="F26">
        <v>99.9</v>
      </c>
      <c r="G26">
        <v>82.9</v>
      </c>
      <c r="H26">
        <v>132.4</v>
      </c>
      <c r="I26">
        <v>49.8</v>
      </c>
      <c r="J26">
        <v>11.3</v>
      </c>
      <c r="K26">
        <v>18.2</v>
      </c>
      <c r="L26">
        <v>202.1</v>
      </c>
      <c r="M26">
        <v>283.2</v>
      </c>
      <c r="N26">
        <v>268.8</v>
      </c>
      <c r="O26" s="14">
        <f t="shared" si="0"/>
        <v>1503.6</v>
      </c>
      <c r="P26" s="13">
        <f t="shared" si="4"/>
        <v>429.3</v>
      </c>
      <c r="Q26" s="13">
        <f t="shared" si="5"/>
        <v>211.7</v>
      </c>
      <c r="R26">
        <f t="shared" si="3"/>
        <v>454.9</v>
      </c>
    </row>
    <row r="27" spans="2:18" x14ac:dyDescent="0.2">
      <c r="B27" s="4">
        <v>2010</v>
      </c>
      <c r="C27">
        <v>196.9</v>
      </c>
      <c r="D27">
        <v>231.7</v>
      </c>
      <c r="E27">
        <v>146.9</v>
      </c>
      <c r="F27">
        <v>48.9</v>
      </c>
      <c r="G27">
        <v>113.3</v>
      </c>
      <c r="H27">
        <v>64.8</v>
      </c>
      <c r="I27">
        <v>24.2</v>
      </c>
      <c r="J27">
        <v>2.5</v>
      </c>
      <c r="K27">
        <v>40.5</v>
      </c>
      <c r="L27">
        <v>255.4</v>
      </c>
      <c r="M27">
        <v>210.2</v>
      </c>
      <c r="N27">
        <v>196.2</v>
      </c>
      <c r="O27" s="14">
        <f t="shared" si="0"/>
        <v>1531.5</v>
      </c>
      <c r="P27" s="13">
        <f t="shared" si="4"/>
        <v>441.1</v>
      </c>
      <c r="Q27" s="13">
        <f t="shared" si="5"/>
        <v>132</v>
      </c>
      <c r="R27">
        <f t="shared" si="3"/>
        <v>624.4</v>
      </c>
    </row>
    <row r="28" spans="2:18" x14ac:dyDescent="0.2">
      <c r="B28" s="4">
        <v>2011</v>
      </c>
      <c r="C28" s="15">
        <v>326.39999999999998</v>
      </c>
      <c r="D28" s="15">
        <v>179.2</v>
      </c>
      <c r="E28" s="15">
        <v>109.6</v>
      </c>
      <c r="F28" s="15">
        <v>54.2</v>
      </c>
      <c r="G28" s="15">
        <v>16.600000000000001</v>
      </c>
      <c r="H28" s="15">
        <v>11.2</v>
      </c>
      <c r="I28" s="15">
        <v>51.4</v>
      </c>
      <c r="J28" s="15">
        <v>134</v>
      </c>
      <c r="K28" s="15">
        <v>21.8</v>
      </c>
      <c r="L28" s="15">
        <v>214</v>
      </c>
      <c r="M28" s="15">
        <v>227.6</v>
      </c>
      <c r="N28" s="15">
        <v>153.4</v>
      </c>
      <c r="O28" s="14">
        <f t="shared" si="0"/>
        <v>1499.4</v>
      </c>
      <c r="P28" s="13">
        <f t="shared" si="4"/>
        <v>398.8</v>
      </c>
      <c r="Q28" s="13">
        <f t="shared" si="5"/>
        <v>218.4</v>
      </c>
      <c r="R28">
        <f t="shared" si="3"/>
        <v>669.4</v>
      </c>
    </row>
    <row r="29" spans="2:18" x14ac:dyDescent="0.2">
      <c r="B29" s="4">
        <v>2012</v>
      </c>
      <c r="C29" s="15">
        <v>60</v>
      </c>
      <c r="D29" s="15">
        <v>4</v>
      </c>
      <c r="E29" s="15">
        <v>40</v>
      </c>
      <c r="F29" s="15">
        <v>201.4</v>
      </c>
      <c r="G29" s="15">
        <v>107.4</v>
      </c>
      <c r="H29" s="15">
        <v>93.4</v>
      </c>
      <c r="I29" s="15">
        <v>24.2</v>
      </c>
      <c r="J29" s="15">
        <v>48.4</v>
      </c>
      <c r="K29" s="15">
        <v>93</v>
      </c>
      <c r="L29" s="15">
        <v>155.80000000000001</v>
      </c>
      <c r="M29" s="15">
        <v>197.6</v>
      </c>
      <c r="N29" s="15">
        <v>402.8</v>
      </c>
      <c r="O29" s="14">
        <f t="shared" si="0"/>
        <v>1427.9999999999998</v>
      </c>
      <c r="P29" s="13">
        <f t="shared" si="4"/>
        <v>607.80000000000007</v>
      </c>
      <c r="Q29" s="13">
        <f t="shared" si="5"/>
        <v>259</v>
      </c>
      <c r="R29">
        <f t="shared" si="3"/>
        <v>305.39999999999998</v>
      </c>
    </row>
    <row r="30" spans="2:18" x14ac:dyDescent="0.2">
      <c r="B30" s="4">
        <v>2013</v>
      </c>
      <c r="C30" s="15">
        <v>299.2</v>
      </c>
      <c r="D30" s="15">
        <v>105.4</v>
      </c>
      <c r="E30" s="15">
        <v>316</v>
      </c>
      <c r="F30" s="15">
        <v>156.4</v>
      </c>
      <c r="G30" s="15">
        <v>76.400000000000006</v>
      </c>
      <c r="H30" s="15">
        <v>51.4</v>
      </c>
      <c r="I30" s="15">
        <v>23.8</v>
      </c>
      <c r="J30" s="15">
        <v>11.2</v>
      </c>
      <c r="K30" s="15">
        <v>95</v>
      </c>
      <c r="L30" s="15">
        <v>273.89999999999998</v>
      </c>
      <c r="M30" s="15">
        <v>164.8</v>
      </c>
      <c r="N30" s="15">
        <v>198</v>
      </c>
      <c r="O30" s="14">
        <f t="shared" si="0"/>
        <v>1771.4999999999998</v>
      </c>
      <c r="P30" s="13">
        <f t="shared" si="4"/>
        <v>730.19999999999993</v>
      </c>
      <c r="Q30" s="13">
        <f t="shared" si="5"/>
        <v>181.4</v>
      </c>
      <c r="R30">
        <f t="shared" si="3"/>
        <v>877</v>
      </c>
    </row>
    <row r="31" spans="2:18" x14ac:dyDescent="0.2">
      <c r="B31" s="4">
        <v>2014</v>
      </c>
      <c r="C31" s="15">
        <v>462.6</v>
      </c>
      <c r="D31" s="15">
        <v>394</v>
      </c>
      <c r="E31" s="15">
        <v>158.4</v>
      </c>
      <c r="F31" s="15">
        <v>157.6</v>
      </c>
      <c r="G31" s="15">
        <v>85.4</v>
      </c>
      <c r="H31" s="15">
        <v>70.2</v>
      </c>
      <c r="I31" s="15">
        <v>83</v>
      </c>
      <c r="J31" s="15">
        <v>67.400000000000006</v>
      </c>
      <c r="K31" s="15">
        <v>158</v>
      </c>
      <c r="L31" s="15">
        <v>192.2</v>
      </c>
      <c r="M31" s="15">
        <v>331.6</v>
      </c>
      <c r="N31" s="15">
        <v>52.8</v>
      </c>
      <c r="O31" s="14">
        <f t="shared" si="0"/>
        <v>2213.2000000000003</v>
      </c>
      <c r="P31" s="13">
        <f t="shared" si="4"/>
        <v>779.99999999999989</v>
      </c>
      <c r="Q31" s="13">
        <f t="shared" si="5"/>
        <v>378.6</v>
      </c>
      <c r="R31">
        <f t="shared" si="3"/>
        <v>1172.5999999999999</v>
      </c>
    </row>
    <row r="32" spans="2:18" x14ac:dyDescent="0.2">
      <c r="B32" s="4">
        <v>2015</v>
      </c>
      <c r="C32" s="15">
        <v>210.8</v>
      </c>
      <c r="D32" s="15">
        <v>130.4</v>
      </c>
      <c r="E32" s="15">
        <v>90.8</v>
      </c>
      <c r="F32" s="15">
        <v>97.2</v>
      </c>
      <c r="G32" s="15">
        <v>97.8</v>
      </c>
      <c r="H32" s="15">
        <v>11.8</v>
      </c>
      <c r="I32" s="15">
        <v>32</v>
      </c>
      <c r="J32" s="15">
        <v>57.6</v>
      </c>
      <c r="K32" s="15">
        <v>80.8</v>
      </c>
      <c r="L32" s="15">
        <v>182.8</v>
      </c>
      <c r="M32" s="15">
        <v>58</v>
      </c>
      <c r="N32" s="15">
        <v>212.4</v>
      </c>
      <c r="O32" s="14">
        <f t="shared" si="0"/>
        <v>1262.4000000000001</v>
      </c>
      <c r="P32" s="13">
        <f t="shared" si="4"/>
        <v>468.00000000000006</v>
      </c>
      <c r="Q32" s="13">
        <f t="shared" si="5"/>
        <v>182.2</v>
      </c>
      <c r="R32">
        <f t="shared" si="3"/>
        <v>529.20000000000005</v>
      </c>
    </row>
    <row r="35" spans="1:1" x14ac:dyDescent="0.2">
      <c r="A35" t="s">
        <v>369</v>
      </c>
    </row>
  </sheetData>
  <phoneticPr fontId="1" type="noConversion"/>
  <pageMargins left="0.75" right="0.75" top="1" bottom="1" header="0" footer="0"/>
  <pageSetup paperSize="9" orientation="portrait" r:id="rId1"/>
  <headerFooter alignWithMargins="0"/>
  <ignoredErrors>
    <ignoredError sqref="O2 O3:O18 P2:P18 Q2:Q18" formulaRange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129"/>
  <sheetViews>
    <sheetView zoomScaleNormal="100" workbookViewId="0">
      <selection activeCell="C22" sqref="C22"/>
    </sheetView>
  </sheetViews>
  <sheetFormatPr defaultColWidth="11.42578125" defaultRowHeight="12.75" x14ac:dyDescent="0.2"/>
  <sheetData>
    <row r="1" spans="1:11" x14ac:dyDescent="0.2">
      <c r="A1" t="s">
        <v>367</v>
      </c>
      <c r="B1" t="s">
        <v>1</v>
      </c>
      <c r="C1" t="s">
        <v>2</v>
      </c>
      <c r="D1" t="s">
        <v>3</v>
      </c>
      <c r="E1" t="s">
        <v>0</v>
      </c>
      <c r="F1" s="9" t="s">
        <v>32</v>
      </c>
      <c r="G1" t="s">
        <v>33</v>
      </c>
    </row>
    <row r="2" spans="1:11" x14ac:dyDescent="0.2">
      <c r="A2" t="s">
        <v>25</v>
      </c>
      <c r="B2">
        <v>0</v>
      </c>
      <c r="C2">
        <v>2553038</v>
      </c>
      <c r="D2">
        <v>4155062</v>
      </c>
      <c r="E2">
        <v>974466</v>
      </c>
      <c r="F2">
        <f>SUM(B2:E2)</f>
        <v>7682566</v>
      </c>
      <c r="G2">
        <v>1972</v>
      </c>
      <c r="H2" s="38"/>
      <c r="I2" s="12"/>
      <c r="J2" s="12"/>
      <c r="K2" s="12"/>
    </row>
    <row r="3" spans="1:11" x14ac:dyDescent="0.2">
      <c r="A3" t="s">
        <v>26</v>
      </c>
      <c r="B3">
        <v>0</v>
      </c>
      <c r="C3">
        <v>3831417</v>
      </c>
      <c r="D3">
        <v>8492907</v>
      </c>
      <c r="E3">
        <v>3296425</v>
      </c>
      <c r="F3">
        <f>SUM(B3:E3)</f>
        <v>15620749</v>
      </c>
      <c r="G3">
        <v>1986</v>
      </c>
      <c r="H3" s="9"/>
      <c r="I3" s="12"/>
      <c r="J3" s="12"/>
      <c r="K3" s="12"/>
    </row>
    <row r="4" spans="1:11" x14ac:dyDescent="0.2">
      <c r="A4" t="s">
        <v>27</v>
      </c>
      <c r="B4">
        <v>0</v>
      </c>
      <c r="C4">
        <v>7648787</v>
      </c>
      <c r="D4">
        <v>17327833</v>
      </c>
      <c r="E4">
        <v>9824301</v>
      </c>
      <c r="F4">
        <f>SUM(B4:E4)</f>
        <v>34800921</v>
      </c>
      <c r="G4">
        <v>1998</v>
      </c>
      <c r="H4" s="9"/>
    </row>
    <row r="5" spans="1:11" x14ac:dyDescent="0.2">
      <c r="A5" t="s">
        <v>34</v>
      </c>
      <c r="B5">
        <v>0</v>
      </c>
      <c r="C5">
        <v>7941735.6699999999</v>
      </c>
      <c r="D5">
        <v>26639427.510000002</v>
      </c>
      <c r="E5">
        <v>13519976.890000001</v>
      </c>
      <c r="F5">
        <f>SUM(B5:E5)</f>
        <v>48101140.07</v>
      </c>
      <c r="G5">
        <v>2009</v>
      </c>
      <c r="H5" s="9"/>
    </row>
    <row r="6" spans="1:11" ht="17.649999999999999" customHeight="1" x14ac:dyDescent="0.2">
      <c r="A6" t="s">
        <v>366</v>
      </c>
      <c r="C6">
        <f>C5/C2</f>
        <v>3.1107001423402236</v>
      </c>
      <c r="D6">
        <f t="shared" ref="D6:F6" si="0">D5/D2</f>
        <v>6.4113188948805098</v>
      </c>
      <c r="E6">
        <f t="shared" si="0"/>
        <v>13.874241779600315</v>
      </c>
      <c r="F6">
        <f t="shared" si="0"/>
        <v>6.2610773626936629</v>
      </c>
    </row>
    <row r="9" spans="1:11" x14ac:dyDescent="0.2">
      <c r="A9" t="s">
        <v>368</v>
      </c>
    </row>
    <row r="42" spans="2:2" x14ac:dyDescent="0.2">
      <c r="B42" s="9"/>
    </row>
    <row r="104" spans="12:12" ht="13.5" thickBot="1" x14ac:dyDescent="0.25"/>
    <row r="105" spans="12:12" x14ac:dyDescent="0.2">
      <c r="L105" s="109"/>
    </row>
    <row r="106" spans="12:12" x14ac:dyDescent="0.2">
      <c r="L106" s="8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ht="13.5" thickBot="1" x14ac:dyDescent="0.25">
      <c r="L129" s="3"/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35"/>
  <dimension ref="D1:H45"/>
  <sheetViews>
    <sheetView workbookViewId="0"/>
  </sheetViews>
  <sheetFormatPr defaultRowHeight="12.75" x14ac:dyDescent="0.2"/>
  <sheetData>
    <row r="1" spans="4:8" x14ac:dyDescent="0.2">
      <c r="D1" s="1">
        <v>56628</v>
      </c>
      <c r="E1" s="1">
        <v>11120.7</v>
      </c>
      <c r="G1" s="1">
        <v>11120.7</v>
      </c>
      <c r="H1" s="1">
        <v>56628</v>
      </c>
    </row>
    <row r="2" spans="4:8" x14ac:dyDescent="0.2">
      <c r="D2" s="1">
        <v>53719</v>
      </c>
      <c r="E2" s="1">
        <v>19804.900000000001</v>
      </c>
      <c r="G2" s="1">
        <v>19804.900000000001</v>
      </c>
      <c r="H2" s="1">
        <v>53719</v>
      </c>
    </row>
    <row r="3" spans="4:8" x14ac:dyDescent="0.2">
      <c r="D3" s="1">
        <v>87324</v>
      </c>
      <c r="E3" s="1">
        <v>17646</v>
      </c>
      <c r="G3" s="1">
        <v>17646</v>
      </c>
      <c r="H3" s="1">
        <v>87324</v>
      </c>
    </row>
    <row r="4" spans="4:8" x14ac:dyDescent="0.2">
      <c r="D4" s="1">
        <v>34945</v>
      </c>
      <c r="E4" s="1">
        <v>7407.4000000000005</v>
      </c>
      <c r="G4" s="1">
        <v>7407.4000000000005</v>
      </c>
      <c r="H4" s="1">
        <v>34945</v>
      </c>
    </row>
    <row r="5" spans="4:8" x14ac:dyDescent="0.2">
      <c r="D5" s="1">
        <v>57283</v>
      </c>
      <c r="E5" s="1">
        <v>28868.6</v>
      </c>
      <c r="G5" s="1">
        <v>28868.6</v>
      </c>
      <c r="H5" s="1">
        <v>57283</v>
      </c>
    </row>
    <row r="6" spans="4:8" x14ac:dyDescent="0.2">
      <c r="D6" s="1">
        <v>95257</v>
      </c>
      <c r="E6" s="1">
        <v>31592.400000000001</v>
      </c>
      <c r="G6" s="1">
        <v>31592.400000000001</v>
      </c>
      <c r="H6" s="1">
        <v>95257</v>
      </c>
    </row>
    <row r="7" spans="4:8" x14ac:dyDescent="0.2">
      <c r="D7" s="1">
        <v>140211</v>
      </c>
      <c r="E7" s="1">
        <v>42069.9</v>
      </c>
      <c r="G7" s="1">
        <v>42069.9</v>
      </c>
      <c r="H7" s="1">
        <v>140211</v>
      </c>
    </row>
    <row r="8" spans="4:8" x14ac:dyDescent="0.2">
      <c r="D8" s="1">
        <v>187314</v>
      </c>
      <c r="E8" s="1">
        <v>75817.8</v>
      </c>
      <c r="G8" s="1">
        <v>75817.8</v>
      </c>
      <c r="H8" s="1">
        <v>187314</v>
      </c>
    </row>
    <row r="9" spans="4:8" x14ac:dyDescent="0.2">
      <c r="D9" s="1">
        <v>162330</v>
      </c>
      <c r="E9" s="1">
        <v>79845.700000000012</v>
      </c>
      <c r="G9" s="1">
        <v>79845.700000000012</v>
      </c>
      <c r="H9" s="1">
        <v>162330</v>
      </c>
    </row>
    <row r="10" spans="4:8" x14ac:dyDescent="0.2">
      <c r="D10" s="1">
        <v>67541</v>
      </c>
      <c r="E10" s="1">
        <v>3913.1000000000004</v>
      </c>
      <c r="G10" s="1">
        <v>3913.1000000000004</v>
      </c>
      <c r="H10" s="1">
        <v>67541</v>
      </c>
    </row>
    <row r="11" spans="4:8" x14ac:dyDescent="0.2">
      <c r="D11" s="1">
        <v>275603</v>
      </c>
      <c r="E11" s="1">
        <v>119630.7</v>
      </c>
      <c r="G11" s="1">
        <v>119630.7</v>
      </c>
      <c r="H11" s="1">
        <v>275603</v>
      </c>
    </row>
    <row r="12" spans="4:8" x14ac:dyDescent="0.2">
      <c r="D12" s="1">
        <v>271718</v>
      </c>
      <c r="E12" s="1">
        <v>80306.400000000009</v>
      </c>
      <c r="G12" s="1">
        <v>80306.400000000009</v>
      </c>
      <c r="H12" s="1">
        <v>271718</v>
      </c>
    </row>
    <row r="13" spans="4:8" x14ac:dyDescent="0.2">
      <c r="D13" s="1">
        <v>265954</v>
      </c>
      <c r="E13" s="1">
        <v>24613.3</v>
      </c>
      <c r="G13" s="1">
        <v>24613.3</v>
      </c>
      <c r="H13" s="1">
        <v>265954</v>
      </c>
    </row>
    <row r="14" spans="4:8" x14ac:dyDescent="0.2">
      <c r="D14" s="1">
        <v>298436</v>
      </c>
      <c r="E14" s="1">
        <v>117438.1</v>
      </c>
      <c r="G14" s="1">
        <v>117438.1</v>
      </c>
      <c r="H14" s="1">
        <v>298436</v>
      </c>
    </row>
    <row r="15" spans="4:8" x14ac:dyDescent="0.2">
      <c r="D15" s="1">
        <v>151644</v>
      </c>
      <c r="E15" s="1">
        <v>25057.899999999998</v>
      </c>
      <c r="G15" s="1">
        <v>25057.899999999998</v>
      </c>
      <c r="H15" s="1">
        <v>151644</v>
      </c>
    </row>
    <row r="16" spans="4:8" x14ac:dyDescent="0.2">
      <c r="D16" s="1">
        <v>117599</v>
      </c>
      <c r="E16" s="1">
        <v>7977.5</v>
      </c>
      <c r="G16" s="1">
        <v>7977.5</v>
      </c>
      <c r="H16" s="1">
        <v>117599</v>
      </c>
    </row>
    <row r="17" spans="4:8" x14ac:dyDescent="0.2">
      <c r="D17" s="1">
        <v>164546</v>
      </c>
      <c r="E17" s="1">
        <v>38888.300000000003</v>
      </c>
      <c r="G17" s="1">
        <v>38888.300000000003</v>
      </c>
      <c r="H17" s="1">
        <v>164546</v>
      </c>
    </row>
    <row r="18" spans="4:8" x14ac:dyDescent="0.2">
      <c r="D18" s="1">
        <v>486328</v>
      </c>
      <c r="E18" s="1">
        <v>107495.70000000001</v>
      </c>
      <c r="G18" s="1">
        <v>107495.70000000001</v>
      </c>
      <c r="H18" s="1">
        <v>486328</v>
      </c>
    </row>
    <row r="19" spans="4:8" x14ac:dyDescent="0.2">
      <c r="D19" s="1">
        <v>277513</v>
      </c>
      <c r="E19" s="1">
        <v>30981.699999999997</v>
      </c>
      <c r="G19" s="1">
        <v>30981.699999999997</v>
      </c>
      <c r="H19" s="1">
        <v>277513</v>
      </c>
    </row>
    <row r="20" spans="4:8" x14ac:dyDescent="0.2">
      <c r="D20" s="1">
        <v>145793</v>
      </c>
      <c r="E20" s="1">
        <v>60592.899999999994</v>
      </c>
      <c r="G20" s="1">
        <v>60592.899999999994</v>
      </c>
      <c r="H20" s="1">
        <v>145793</v>
      </c>
    </row>
    <row r="21" spans="4:8" x14ac:dyDescent="0.2">
      <c r="D21" s="1">
        <v>129989</v>
      </c>
      <c r="E21" s="1">
        <v>38789.399999999994</v>
      </c>
      <c r="G21" s="1">
        <v>38789.399999999994</v>
      </c>
      <c r="H21" s="1">
        <v>129989</v>
      </c>
    </row>
    <row r="22" spans="4:8" x14ac:dyDescent="0.2">
      <c r="D22" s="1">
        <v>410181</v>
      </c>
      <c r="E22" s="1">
        <v>198643.09999999998</v>
      </c>
      <c r="G22" s="1">
        <v>198643.09999999998</v>
      </c>
      <c r="H22" s="1">
        <v>410181</v>
      </c>
    </row>
    <row r="23" spans="4:8" x14ac:dyDescent="0.2">
      <c r="D23" s="1">
        <v>204043</v>
      </c>
      <c r="E23" s="1">
        <v>51227.1</v>
      </c>
      <c r="G23" s="1">
        <v>51227.1</v>
      </c>
      <c r="H23" s="1">
        <v>204043</v>
      </c>
    </row>
    <row r="24" spans="4:8" x14ac:dyDescent="0.2">
      <c r="D24" s="1">
        <v>224706</v>
      </c>
      <c r="E24" s="1">
        <v>12855.2</v>
      </c>
      <c r="G24" s="1">
        <v>12855.2</v>
      </c>
      <c r="H24" s="1">
        <v>224706</v>
      </c>
    </row>
    <row r="25" spans="4:8" x14ac:dyDescent="0.2">
      <c r="D25" s="1">
        <v>104592</v>
      </c>
      <c r="E25" s="1">
        <v>12293.2</v>
      </c>
      <c r="G25" s="1">
        <v>12293.2</v>
      </c>
      <c r="H25" s="1">
        <v>104592</v>
      </c>
    </row>
    <row r="26" spans="4:8" x14ac:dyDescent="0.2">
      <c r="D26" s="1">
        <v>89267</v>
      </c>
      <c r="E26" s="1">
        <v>7051.5</v>
      </c>
      <c r="G26" s="1">
        <v>7051.5</v>
      </c>
      <c r="H26" s="1">
        <v>89267</v>
      </c>
    </row>
    <row r="27" spans="4:8" x14ac:dyDescent="0.2">
      <c r="D27" s="1">
        <v>437635</v>
      </c>
      <c r="E27" s="1">
        <v>15397.099999999999</v>
      </c>
      <c r="G27" s="1">
        <v>15397.099999999999</v>
      </c>
      <c r="H27" s="1">
        <v>437635</v>
      </c>
    </row>
    <row r="28" spans="4:8" x14ac:dyDescent="0.2">
      <c r="D28" s="1">
        <v>143484</v>
      </c>
      <c r="E28" s="1">
        <v>46685.5</v>
      </c>
      <c r="G28" s="1">
        <v>46685.5</v>
      </c>
      <c r="H28" s="1">
        <v>143484</v>
      </c>
    </row>
    <row r="29" spans="4:8" x14ac:dyDescent="0.2">
      <c r="D29" s="1">
        <v>59825</v>
      </c>
      <c r="E29" s="1">
        <v>24014.1</v>
      </c>
      <c r="G29" s="1">
        <v>24014.1</v>
      </c>
      <c r="H29" s="1">
        <v>59825</v>
      </c>
    </row>
    <row r="30" spans="4:8" x14ac:dyDescent="0.2">
      <c r="D30" s="1">
        <v>98503</v>
      </c>
      <c r="E30" s="1">
        <v>23100.17</v>
      </c>
      <c r="G30" s="1">
        <v>23100.17</v>
      </c>
      <c r="H30" s="1">
        <v>98503</v>
      </c>
    </row>
    <row r="31" spans="4:8" x14ac:dyDescent="0.2">
      <c r="D31" s="1">
        <v>132813</v>
      </c>
      <c r="E31" s="1">
        <v>48989.83</v>
      </c>
      <c r="G31" s="1">
        <v>48989.83</v>
      </c>
      <c r="H31" s="1">
        <v>132813</v>
      </c>
    </row>
    <row r="32" spans="4:8" x14ac:dyDescent="0.2">
      <c r="D32" s="1">
        <v>82216</v>
      </c>
      <c r="E32" s="1">
        <v>10515.05</v>
      </c>
      <c r="G32" s="1">
        <v>10515.05</v>
      </c>
      <c r="H32" s="1">
        <v>82216</v>
      </c>
    </row>
    <row r="33" spans="4:8" x14ac:dyDescent="0.2">
      <c r="D33" s="1">
        <v>187026</v>
      </c>
      <c r="E33" s="1">
        <v>45952.58</v>
      </c>
      <c r="G33" s="1">
        <v>45952.58</v>
      </c>
      <c r="H33" s="1">
        <v>187026</v>
      </c>
    </row>
    <row r="34" spans="4:8" x14ac:dyDescent="0.2">
      <c r="D34" s="1">
        <v>93298</v>
      </c>
      <c r="E34" s="1">
        <v>16348.45</v>
      </c>
      <c r="G34" s="1">
        <v>16348.45</v>
      </c>
      <c r="H34" s="1">
        <v>93298</v>
      </c>
    </row>
    <row r="35" spans="4:8" x14ac:dyDescent="0.2">
      <c r="D35" s="1">
        <v>107472</v>
      </c>
      <c r="E35" s="1">
        <v>26125.200000000001</v>
      </c>
      <c r="G35" s="1">
        <v>26125.200000000001</v>
      </c>
      <c r="H35" s="1">
        <v>107472</v>
      </c>
    </row>
    <row r="36" spans="4:8" x14ac:dyDescent="0.2">
      <c r="D36" s="1">
        <v>148173</v>
      </c>
      <c r="E36" s="1">
        <v>19818.599999999999</v>
      </c>
      <c r="G36" s="1">
        <v>19818.599999999999</v>
      </c>
      <c r="H36" s="1">
        <v>148173</v>
      </c>
    </row>
    <row r="37" spans="4:8" x14ac:dyDescent="0.2">
      <c r="D37" s="1">
        <v>133171</v>
      </c>
      <c r="E37" s="1">
        <v>31698.45</v>
      </c>
      <c r="G37" s="1">
        <v>31698.45</v>
      </c>
      <c r="H37" s="1">
        <v>133171</v>
      </c>
    </row>
    <row r="38" spans="4:8" x14ac:dyDescent="0.2">
      <c r="D38" s="1">
        <v>188672</v>
      </c>
      <c r="E38" s="1">
        <v>57450.46</v>
      </c>
      <c r="G38" s="1">
        <v>57450.46</v>
      </c>
      <c r="H38" s="1">
        <v>188672</v>
      </c>
    </row>
    <row r="39" spans="4:8" x14ac:dyDescent="0.2">
      <c r="D39" s="1">
        <v>155363</v>
      </c>
      <c r="E39" s="1">
        <v>97535.040000000008</v>
      </c>
      <c r="G39" s="1">
        <v>97535.040000000008</v>
      </c>
      <c r="H39" s="1">
        <v>155363</v>
      </c>
    </row>
    <row r="40" spans="4:8" x14ac:dyDescent="0.2">
      <c r="D40" s="1">
        <v>83113</v>
      </c>
      <c r="E40" s="1">
        <v>7060.9900000000007</v>
      </c>
      <c r="G40" s="1">
        <v>7060.9900000000007</v>
      </c>
      <c r="H40" s="1">
        <v>83113</v>
      </c>
    </row>
    <row r="41" spans="4:8" x14ac:dyDescent="0.2">
      <c r="D41" s="1">
        <v>50321</v>
      </c>
      <c r="E41" s="1">
        <v>6335.84</v>
      </c>
      <c r="G41" s="1">
        <v>6335.84</v>
      </c>
      <c r="H41" s="1">
        <v>50321</v>
      </c>
    </row>
    <row r="42" spans="4:8" x14ac:dyDescent="0.2">
      <c r="D42" s="1">
        <v>119892</v>
      </c>
      <c r="E42" s="1">
        <v>10741.31</v>
      </c>
      <c r="G42" s="1">
        <v>10741.31</v>
      </c>
      <c r="H42" s="1">
        <v>119892</v>
      </c>
    </row>
    <row r="43" spans="4:8" x14ac:dyDescent="0.2">
      <c r="D43" s="1">
        <v>54770</v>
      </c>
      <c r="E43" s="1">
        <v>14807.34</v>
      </c>
      <c r="G43" s="1">
        <v>14807.34</v>
      </c>
      <c r="H43" s="1">
        <v>54770</v>
      </c>
    </row>
    <row r="44" spans="4:8" x14ac:dyDescent="0.2">
      <c r="D44" s="1">
        <v>102162</v>
      </c>
      <c r="E44" s="1">
        <v>42210.19</v>
      </c>
      <c r="G44" s="1">
        <v>42210.19</v>
      </c>
      <c r="H44" s="1">
        <v>102162</v>
      </c>
    </row>
    <row r="45" spans="4:8" x14ac:dyDescent="0.2">
      <c r="D45" s="1">
        <v>216894</v>
      </c>
      <c r="E45" s="1">
        <v>15598.17</v>
      </c>
      <c r="G45" s="1">
        <v>15598.17</v>
      </c>
      <c r="H45" s="1">
        <v>216894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21">
    <tabColor rgb="FF007800"/>
  </sheetPr>
  <dimension ref="A1:D31"/>
  <sheetViews>
    <sheetView workbookViewId="0"/>
  </sheetViews>
  <sheetFormatPr defaultRowHeight="12.75" x14ac:dyDescent="0.2"/>
  <sheetData>
    <row r="1" spans="1:4" x14ac:dyDescent="0.2">
      <c r="A1" s="1">
        <v>0</v>
      </c>
      <c r="B1" s="1">
        <v>0</v>
      </c>
      <c r="C1" s="1">
        <v>0</v>
      </c>
      <c r="D1" s="1">
        <v>0</v>
      </c>
    </row>
    <row r="2" spans="1:4" x14ac:dyDescent="0.2">
      <c r="A2" s="1">
        <v>0</v>
      </c>
      <c r="B2" s="1">
        <v>15</v>
      </c>
      <c r="C2" s="1">
        <v>0</v>
      </c>
      <c r="D2" s="1">
        <v>13</v>
      </c>
    </row>
    <row r="3" spans="1:4" x14ac:dyDescent="0.2">
      <c r="A3" s="1">
        <v>540</v>
      </c>
      <c r="B3" s="1">
        <v>15</v>
      </c>
      <c r="C3" s="1">
        <v>2.229204482438903E-2</v>
      </c>
      <c r="D3" s="1">
        <v>13</v>
      </c>
    </row>
    <row r="4" spans="1:4" x14ac:dyDescent="0.2">
      <c r="A4" s="1">
        <v>540</v>
      </c>
      <c r="B4" s="1">
        <v>0</v>
      </c>
      <c r="C4" s="1">
        <v>2.229204482438903E-2</v>
      </c>
      <c r="D4" s="1">
        <v>0</v>
      </c>
    </row>
    <row r="5" spans="1:4" x14ac:dyDescent="0.2">
      <c r="A5" s="1">
        <v>540</v>
      </c>
      <c r="B5" s="1">
        <v>6</v>
      </c>
      <c r="C5" s="1">
        <v>2.229204482438903E-2</v>
      </c>
      <c r="D5" s="1">
        <v>0</v>
      </c>
    </row>
    <row r="6" spans="1:4" x14ac:dyDescent="0.2">
      <c r="A6" s="1">
        <v>1080</v>
      </c>
      <c r="B6" s="1">
        <v>6</v>
      </c>
      <c r="C6" s="1">
        <v>4.4584089648778059E-2</v>
      </c>
      <c r="D6" s="1">
        <v>0</v>
      </c>
    </row>
    <row r="7" spans="1:4" x14ac:dyDescent="0.2">
      <c r="A7" s="1">
        <v>1080</v>
      </c>
      <c r="B7" s="1">
        <v>0</v>
      </c>
      <c r="C7" s="1">
        <v>4.4584089648778059E-2</v>
      </c>
      <c r="D7" s="1">
        <v>0</v>
      </c>
    </row>
    <row r="8" spans="1:4" x14ac:dyDescent="0.2">
      <c r="A8" s="1">
        <v>1080</v>
      </c>
      <c r="B8" s="1">
        <v>7</v>
      </c>
      <c r="C8" s="1">
        <v>4.4584089648778059E-2</v>
      </c>
      <c r="D8" s="1">
        <v>8</v>
      </c>
    </row>
    <row r="9" spans="1:4" x14ac:dyDescent="0.2">
      <c r="A9" s="1">
        <v>1620</v>
      </c>
      <c r="B9" s="1">
        <v>7</v>
      </c>
      <c r="C9" s="1">
        <v>6.6876134473167093E-2</v>
      </c>
      <c r="D9" s="1">
        <v>8</v>
      </c>
    </row>
    <row r="10" spans="1:4" x14ac:dyDescent="0.2">
      <c r="A10" s="1">
        <v>1620</v>
      </c>
      <c r="B10" s="1">
        <v>0</v>
      </c>
      <c r="C10" s="1">
        <v>6.6876134473167093E-2</v>
      </c>
      <c r="D10" s="1">
        <v>0</v>
      </c>
    </row>
    <row r="11" spans="1:4" x14ac:dyDescent="0.2">
      <c r="A11" s="1">
        <v>1620</v>
      </c>
      <c r="B11" s="1">
        <v>4</v>
      </c>
      <c r="C11" s="1">
        <v>6.6876134473167093E-2</v>
      </c>
      <c r="D11" s="1">
        <v>10</v>
      </c>
    </row>
    <row r="12" spans="1:4" x14ac:dyDescent="0.2">
      <c r="A12" s="1">
        <v>2160</v>
      </c>
      <c r="B12" s="1">
        <v>4</v>
      </c>
      <c r="C12" s="1">
        <v>8.9168179297556119E-2</v>
      </c>
      <c r="D12" s="1">
        <v>10</v>
      </c>
    </row>
    <row r="13" spans="1:4" x14ac:dyDescent="0.2">
      <c r="A13" s="1">
        <v>2160</v>
      </c>
      <c r="B13" s="1">
        <v>0</v>
      </c>
      <c r="C13" s="1">
        <v>8.9168179297556119E-2</v>
      </c>
      <c r="D13" s="1">
        <v>0</v>
      </c>
    </row>
    <row r="14" spans="1:4" x14ac:dyDescent="0.2">
      <c r="A14" s="1">
        <v>2160</v>
      </c>
      <c r="B14" s="1">
        <v>2</v>
      </c>
      <c r="C14" s="1">
        <v>8.9168179297556119E-2</v>
      </c>
      <c r="D14" s="1">
        <v>7</v>
      </c>
    </row>
    <row r="15" spans="1:4" x14ac:dyDescent="0.2">
      <c r="A15" s="1">
        <v>2700</v>
      </c>
      <c r="B15" s="1">
        <v>2</v>
      </c>
      <c r="C15" s="1">
        <v>0.11146022412194515</v>
      </c>
      <c r="D15" s="1">
        <v>7</v>
      </c>
    </row>
    <row r="16" spans="1:4" x14ac:dyDescent="0.2">
      <c r="A16" s="1">
        <v>2700</v>
      </c>
      <c r="B16" s="1">
        <v>0</v>
      </c>
      <c r="C16" s="1">
        <v>0.11146022412194515</v>
      </c>
      <c r="D16" s="1">
        <v>0</v>
      </c>
    </row>
    <row r="17" spans="1:4" x14ac:dyDescent="0.2">
      <c r="A17" s="1">
        <v>2700</v>
      </c>
      <c r="B17" s="1">
        <v>1</v>
      </c>
      <c r="C17" s="1">
        <v>0.11146022412194515</v>
      </c>
      <c r="D17" s="1">
        <v>3</v>
      </c>
    </row>
    <row r="18" spans="1:4" x14ac:dyDescent="0.2">
      <c r="A18" s="1">
        <v>3240</v>
      </c>
      <c r="B18" s="1">
        <v>1</v>
      </c>
      <c r="C18" s="1">
        <v>0.13375226894633419</v>
      </c>
      <c r="D18" s="1">
        <v>3</v>
      </c>
    </row>
    <row r="19" spans="1:4" x14ac:dyDescent="0.2">
      <c r="A19" s="1">
        <v>3240</v>
      </c>
      <c r="B19" s="1">
        <v>0</v>
      </c>
      <c r="C19" s="1">
        <v>0.13375226894633419</v>
      </c>
      <c r="D19" s="1">
        <v>0</v>
      </c>
    </row>
    <row r="20" spans="1:4" x14ac:dyDescent="0.2">
      <c r="A20" s="1">
        <v>3240</v>
      </c>
      <c r="B20" s="1">
        <v>5</v>
      </c>
      <c r="C20" s="1">
        <v>0.13375226894633419</v>
      </c>
      <c r="D20" s="1">
        <v>1</v>
      </c>
    </row>
    <row r="21" spans="1:4" x14ac:dyDescent="0.2">
      <c r="A21" s="1">
        <v>3780</v>
      </c>
      <c r="B21" s="1">
        <v>5</v>
      </c>
      <c r="C21" s="1">
        <v>0.1560443137707232</v>
      </c>
      <c r="D21" s="1">
        <v>1</v>
      </c>
    </row>
    <row r="22" spans="1:4" x14ac:dyDescent="0.2">
      <c r="A22" s="1">
        <v>3780</v>
      </c>
      <c r="B22" s="1">
        <v>0</v>
      </c>
      <c r="C22" s="1">
        <v>0.1560443137707232</v>
      </c>
      <c r="D22" s="1">
        <v>0</v>
      </c>
    </row>
    <row r="23" spans="1:4" x14ac:dyDescent="0.2">
      <c r="A23" s="1">
        <v>3780</v>
      </c>
      <c r="B23" s="1">
        <v>3</v>
      </c>
      <c r="C23" s="1">
        <v>0.1560443137707232</v>
      </c>
      <c r="D23" s="1">
        <v>3</v>
      </c>
    </row>
    <row r="24" spans="1:4" x14ac:dyDescent="0.2">
      <c r="A24" s="1">
        <v>4320</v>
      </c>
      <c r="B24" s="1">
        <v>3</v>
      </c>
      <c r="C24" s="1">
        <v>0.17833635859511224</v>
      </c>
      <c r="D24" s="1">
        <v>3</v>
      </c>
    </row>
    <row r="25" spans="1:4" x14ac:dyDescent="0.2">
      <c r="A25" s="1">
        <v>4320</v>
      </c>
      <c r="B25" s="1">
        <v>0</v>
      </c>
      <c r="C25" s="1">
        <v>0.17833635859511224</v>
      </c>
      <c r="D25" s="1">
        <v>0</v>
      </c>
    </row>
    <row r="26" spans="1:4" x14ac:dyDescent="0.2">
      <c r="A26" s="1">
        <v>4320</v>
      </c>
      <c r="B26" s="1">
        <v>1</v>
      </c>
      <c r="C26" s="1">
        <v>0.17833635859511224</v>
      </c>
      <c r="D26" s="1">
        <v>2</v>
      </c>
    </row>
    <row r="27" spans="1:4" x14ac:dyDescent="0.2">
      <c r="A27" s="1">
        <v>4860</v>
      </c>
      <c r="B27" s="1">
        <v>1</v>
      </c>
      <c r="C27" s="1">
        <v>0.20062840341950125</v>
      </c>
      <c r="D27" s="1">
        <v>2</v>
      </c>
    </row>
    <row r="28" spans="1:4" x14ac:dyDescent="0.2">
      <c r="A28" s="1">
        <v>4860</v>
      </c>
      <c r="B28" s="1">
        <v>0</v>
      </c>
      <c r="C28" s="1">
        <v>0.20062840341950125</v>
      </c>
      <c r="D28" s="1">
        <v>0</v>
      </c>
    </row>
    <row r="29" spans="1:4" x14ac:dyDescent="0.2">
      <c r="A29" s="1">
        <v>4860</v>
      </c>
      <c r="B29" s="1">
        <v>1</v>
      </c>
      <c r="C29" s="1">
        <v>0.20062840341950125</v>
      </c>
      <c r="D29" s="1">
        <v>2</v>
      </c>
    </row>
    <row r="30" spans="1:4" x14ac:dyDescent="0.2">
      <c r="A30" s="1">
        <v>5400</v>
      </c>
      <c r="B30" s="1">
        <v>1</v>
      </c>
      <c r="C30" s="1">
        <v>0.22292044824389029</v>
      </c>
      <c r="D30" s="1">
        <v>2</v>
      </c>
    </row>
    <row r="31" spans="1:4" x14ac:dyDescent="0.2">
      <c r="A31" s="1">
        <v>5400</v>
      </c>
      <c r="B31" s="1">
        <v>0</v>
      </c>
      <c r="C31" s="1">
        <v>0.22292044824389029</v>
      </c>
      <c r="D31" s="1"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22">
    <tabColor rgb="FF007800"/>
  </sheetPr>
  <dimension ref="D1:H42"/>
  <sheetViews>
    <sheetView workbookViewId="0"/>
  </sheetViews>
  <sheetFormatPr defaultRowHeight="12.75" x14ac:dyDescent="0.2"/>
  <sheetData>
    <row r="1" spans="4:8" x14ac:dyDescent="0.2">
      <c r="D1" s="1">
        <v>0</v>
      </c>
      <c r="E1" s="1">
        <v>78</v>
      </c>
      <c r="G1" s="1">
        <v>78</v>
      </c>
      <c r="H1" s="1">
        <v>0</v>
      </c>
    </row>
    <row r="2" spans="4:8" x14ac:dyDescent="0.2">
      <c r="D2" s="1">
        <v>0</v>
      </c>
      <c r="E2" s="1">
        <v>94</v>
      </c>
      <c r="G2" s="1">
        <v>94</v>
      </c>
      <c r="H2" s="1">
        <v>0</v>
      </c>
    </row>
    <row r="3" spans="4:8" x14ac:dyDescent="0.2">
      <c r="D3" s="1">
        <v>0</v>
      </c>
      <c r="E3" s="1">
        <v>240</v>
      </c>
      <c r="G3" s="1">
        <v>240</v>
      </c>
      <c r="H3" s="1">
        <v>0</v>
      </c>
    </row>
    <row r="4" spans="4:8" x14ac:dyDescent="0.2">
      <c r="D4" s="1">
        <v>0.10680329224901837</v>
      </c>
      <c r="E4" s="1">
        <v>114</v>
      </c>
      <c r="G4" s="1">
        <v>114</v>
      </c>
      <c r="H4" s="1">
        <v>0.10680329224901837</v>
      </c>
    </row>
    <row r="5" spans="4:8" x14ac:dyDescent="0.2">
      <c r="D5" s="1">
        <v>0</v>
      </c>
      <c r="E5" s="1">
        <v>196</v>
      </c>
      <c r="G5" s="1">
        <v>196</v>
      </c>
      <c r="H5" s="1">
        <v>0</v>
      </c>
    </row>
    <row r="6" spans="4:8" x14ac:dyDescent="0.2">
      <c r="D6" s="1">
        <v>0</v>
      </c>
      <c r="E6" s="1">
        <v>227</v>
      </c>
      <c r="G6" s="1">
        <v>227</v>
      </c>
      <c r="H6" s="1">
        <v>0</v>
      </c>
    </row>
    <row r="7" spans="4:8" x14ac:dyDescent="0.2">
      <c r="D7" s="1">
        <v>9.2582237019507171E-2</v>
      </c>
      <c r="E7" s="1">
        <v>369</v>
      </c>
      <c r="G7" s="1">
        <v>369</v>
      </c>
      <c r="H7" s="1">
        <v>9.2582237019507171E-2</v>
      </c>
    </row>
    <row r="8" spans="4:8" x14ac:dyDescent="0.2">
      <c r="D8" s="1">
        <v>0</v>
      </c>
      <c r="E8" s="1">
        <v>283</v>
      </c>
      <c r="G8" s="1">
        <v>283</v>
      </c>
      <c r="H8" s="1">
        <v>0</v>
      </c>
    </row>
    <row r="9" spans="4:8" x14ac:dyDescent="0.2">
      <c r="D9" s="1">
        <v>0</v>
      </c>
      <c r="E9" s="1">
        <v>310</v>
      </c>
      <c r="G9" s="1">
        <v>310</v>
      </c>
      <c r="H9" s="1">
        <v>0</v>
      </c>
    </row>
    <row r="10" spans="4:8" x14ac:dyDescent="0.2">
      <c r="D10" s="1">
        <v>7.7693191338085943E-2</v>
      </c>
      <c r="E10" s="1">
        <v>518</v>
      </c>
      <c r="G10" s="1">
        <v>518</v>
      </c>
      <c r="H10" s="1">
        <v>7.7693191338085943E-2</v>
      </c>
    </row>
    <row r="11" spans="4:8" x14ac:dyDescent="0.2">
      <c r="D11" s="1">
        <v>0</v>
      </c>
      <c r="E11" s="1">
        <v>641</v>
      </c>
      <c r="G11" s="1">
        <v>641</v>
      </c>
      <c r="H11" s="1">
        <v>0</v>
      </c>
    </row>
    <row r="12" spans="4:8" x14ac:dyDescent="0.2">
      <c r="D12" s="1">
        <v>8.0933535053042155E-2</v>
      </c>
      <c r="E12" s="1">
        <v>437</v>
      </c>
      <c r="G12" s="1">
        <v>437</v>
      </c>
      <c r="H12" s="1">
        <v>8.0933535053042155E-2</v>
      </c>
    </row>
    <row r="13" spans="4:8" x14ac:dyDescent="0.2">
      <c r="D13" s="1">
        <v>7.6102028579269287E-2</v>
      </c>
      <c r="E13" s="1">
        <v>675</v>
      </c>
      <c r="G13" s="1">
        <v>675</v>
      </c>
      <c r="H13" s="1">
        <v>7.6102028579269287E-2</v>
      </c>
    </row>
    <row r="14" spans="4:8" x14ac:dyDescent="0.2">
      <c r="D14" s="1">
        <v>9.3386158032640054E-2</v>
      </c>
      <c r="E14" s="1">
        <v>401</v>
      </c>
      <c r="G14" s="1">
        <v>401</v>
      </c>
      <c r="H14" s="1">
        <v>9.3386158032640054E-2</v>
      </c>
    </row>
    <row r="15" spans="4:8" x14ac:dyDescent="0.2">
      <c r="D15" s="1">
        <v>9.5929693100686775E-2</v>
      </c>
      <c r="E15" s="1">
        <v>182</v>
      </c>
      <c r="G15" s="1">
        <v>182</v>
      </c>
      <c r="H15" s="1">
        <v>9.5929693100686775E-2</v>
      </c>
    </row>
    <row r="16" spans="4:8" x14ac:dyDescent="0.2">
      <c r="D16" s="1">
        <v>6.3596847079498392E-2</v>
      </c>
      <c r="E16" s="1">
        <v>372</v>
      </c>
      <c r="G16" s="1">
        <v>372</v>
      </c>
      <c r="H16" s="1">
        <v>6.3596847079498392E-2</v>
      </c>
    </row>
    <row r="17" spans="4:8" x14ac:dyDescent="0.2">
      <c r="D17" s="1">
        <v>7.223157744686827E-2</v>
      </c>
      <c r="E17" s="1">
        <v>921</v>
      </c>
      <c r="G17" s="1">
        <v>921</v>
      </c>
      <c r="H17" s="1">
        <v>7.223157744686827E-2</v>
      </c>
    </row>
    <row r="18" spans="4:8" x14ac:dyDescent="0.2">
      <c r="D18" s="1">
        <v>8.3869069882062205E-2</v>
      </c>
      <c r="E18" s="1">
        <v>624</v>
      </c>
      <c r="G18" s="1">
        <v>624</v>
      </c>
      <c r="H18" s="1">
        <v>8.3869069882062205E-2</v>
      </c>
    </row>
    <row r="19" spans="4:8" x14ac:dyDescent="0.2">
      <c r="D19" s="1">
        <v>7.5882607554761949E-2</v>
      </c>
      <c r="E19" s="1">
        <v>880</v>
      </c>
      <c r="G19" s="1">
        <v>880</v>
      </c>
      <c r="H19" s="1">
        <v>7.5882607554761949E-2</v>
      </c>
    </row>
    <row r="20" spans="4:8" x14ac:dyDescent="0.2">
      <c r="D20" s="1">
        <v>5.3111558755993916E-2</v>
      </c>
      <c r="E20" s="1">
        <v>1615</v>
      </c>
      <c r="G20" s="1">
        <v>1615</v>
      </c>
      <c r="H20" s="1">
        <v>5.3111558755993916E-2</v>
      </c>
    </row>
    <row r="21" spans="4:8" x14ac:dyDescent="0.2">
      <c r="D21" s="1">
        <v>7.9693741702590956E-2</v>
      </c>
      <c r="E21" s="1">
        <v>1225</v>
      </c>
      <c r="G21" s="1">
        <v>1225</v>
      </c>
      <c r="H21" s="1">
        <v>7.9693741702590956E-2</v>
      </c>
    </row>
    <row r="22" spans="4:8" x14ac:dyDescent="0.2">
      <c r="D22" s="1">
        <v>8.7640580688786565E-2</v>
      </c>
      <c r="E22" s="1">
        <v>1732</v>
      </c>
      <c r="G22" s="1">
        <v>1732</v>
      </c>
      <c r="H22" s="1">
        <v>8.7640580688786565E-2</v>
      </c>
    </row>
    <row r="23" spans="4:8" x14ac:dyDescent="0.2">
      <c r="D23" s="1">
        <v>8.6578883478190732E-2</v>
      </c>
      <c r="E23" s="1">
        <v>2004</v>
      </c>
      <c r="G23" s="1">
        <v>2004</v>
      </c>
      <c r="H23" s="1">
        <v>8.6578883478190732E-2</v>
      </c>
    </row>
    <row r="24" spans="4:8" x14ac:dyDescent="0.2">
      <c r="D24" s="1">
        <v>7.968669932995423E-2</v>
      </c>
      <c r="E24" s="1">
        <v>1740</v>
      </c>
      <c r="G24" s="1">
        <v>1740</v>
      </c>
      <c r="H24" s="1">
        <v>7.968669932995423E-2</v>
      </c>
    </row>
    <row r="25" spans="4:8" x14ac:dyDescent="0.2">
      <c r="D25" s="1">
        <v>0.12790068797414111</v>
      </c>
      <c r="E25" s="1">
        <v>3542</v>
      </c>
      <c r="G25" s="1">
        <v>3542</v>
      </c>
      <c r="H25" s="1">
        <v>0.12790068797414111</v>
      </c>
    </row>
    <row r="26" spans="4:8" x14ac:dyDescent="0.2">
      <c r="D26" s="1">
        <v>0.10782138323406942</v>
      </c>
      <c r="E26" s="1">
        <v>3605</v>
      </c>
      <c r="G26" s="1">
        <v>3605</v>
      </c>
      <c r="H26" s="1">
        <v>0.10782138323406942</v>
      </c>
    </row>
    <row r="27" spans="4:8" x14ac:dyDescent="0.2">
      <c r="D27" s="1">
        <v>0.10602098231742346</v>
      </c>
      <c r="E27" s="1">
        <v>3994</v>
      </c>
      <c r="G27" s="1">
        <v>3994</v>
      </c>
      <c r="H27" s="1">
        <v>0.10602098231742346</v>
      </c>
    </row>
    <row r="28" spans="4:8" x14ac:dyDescent="0.2">
      <c r="D28" s="1">
        <v>0.15919178565625033</v>
      </c>
      <c r="E28" s="1">
        <v>4431</v>
      </c>
      <c r="G28" s="1">
        <v>4431</v>
      </c>
      <c r="H28" s="1">
        <v>0.15919178565625033</v>
      </c>
    </row>
    <row r="29" spans="4:8" x14ac:dyDescent="0.2">
      <c r="D29" s="1">
        <v>0.15918520480638854</v>
      </c>
      <c r="E29" s="1">
        <v>3153</v>
      </c>
      <c r="G29" s="1">
        <v>3153</v>
      </c>
      <c r="H29" s="1">
        <v>0.15918520480638854</v>
      </c>
    </row>
    <row r="30" spans="4:8" x14ac:dyDescent="0.2">
      <c r="D30" s="1">
        <v>0.15665355881429754</v>
      </c>
      <c r="E30" s="1">
        <v>5317</v>
      </c>
      <c r="G30" s="1">
        <v>5317</v>
      </c>
      <c r="H30" s="1">
        <v>0.15665355881429754</v>
      </c>
    </row>
    <row r="31" spans="4:8" x14ac:dyDescent="0.2">
      <c r="D31" s="1">
        <v>0.18526757960074608</v>
      </c>
      <c r="E31" s="1">
        <v>3599</v>
      </c>
      <c r="G31" s="1">
        <v>3599</v>
      </c>
      <c r="H31" s="1">
        <v>0.18526757960074608</v>
      </c>
    </row>
    <row r="32" spans="4:8" x14ac:dyDescent="0.2">
      <c r="D32" s="1">
        <v>0.21292044824389028</v>
      </c>
      <c r="E32" s="1">
        <v>3896</v>
      </c>
      <c r="G32" s="1">
        <v>3896</v>
      </c>
      <c r="H32" s="1">
        <v>0.21292044824389028</v>
      </c>
    </row>
    <row r="33" spans="4:8" x14ac:dyDescent="0.2">
      <c r="D33" s="1">
        <v>0.19082730268885473</v>
      </c>
      <c r="E33" s="1">
        <v>2625</v>
      </c>
      <c r="G33" s="1">
        <v>2625</v>
      </c>
      <c r="H33" s="1">
        <v>0.19082730268885473</v>
      </c>
    </row>
    <row r="34" spans="4:8" x14ac:dyDescent="0.2">
      <c r="D34" s="1">
        <v>0.20845148039334432</v>
      </c>
      <c r="E34" s="1">
        <v>3348</v>
      </c>
      <c r="G34" s="1">
        <v>3348</v>
      </c>
      <c r="H34" s="1">
        <v>0.20845148039334432</v>
      </c>
    </row>
    <row r="35" spans="4:8" x14ac:dyDescent="0.2">
      <c r="D35" s="1">
        <v>0.15564215492227657</v>
      </c>
      <c r="E35" s="1">
        <v>4292</v>
      </c>
      <c r="G35" s="1">
        <v>4292</v>
      </c>
      <c r="H35" s="1">
        <v>0.15564215492227657</v>
      </c>
    </row>
    <row r="36" spans="4:8" x14ac:dyDescent="0.2">
      <c r="D36" s="1">
        <v>0.10742210719097782</v>
      </c>
      <c r="E36" s="1">
        <v>1613</v>
      </c>
      <c r="G36" s="1">
        <v>1613</v>
      </c>
      <c r="H36" s="1">
        <v>0.10742210719097782</v>
      </c>
    </row>
    <row r="37" spans="4:8" x14ac:dyDescent="0.2">
      <c r="D37" s="1">
        <v>5.4868376128528358E-2</v>
      </c>
      <c r="E37" s="1">
        <v>1465</v>
      </c>
      <c r="G37" s="1">
        <v>1465</v>
      </c>
      <c r="H37" s="1">
        <v>5.4868376128528358E-2</v>
      </c>
    </row>
    <row r="38" spans="4:8" x14ac:dyDescent="0.2">
      <c r="D38" s="1">
        <v>5.2913276307586576E-2</v>
      </c>
      <c r="E38" s="1">
        <v>1348</v>
      </c>
      <c r="G38" s="1">
        <v>1348</v>
      </c>
      <c r="H38" s="1">
        <v>5.2913276307586576E-2</v>
      </c>
    </row>
    <row r="39" spans="4:8" x14ac:dyDescent="0.2">
      <c r="D39" s="1">
        <v>5.6589258545037033E-2</v>
      </c>
      <c r="E39" s="1">
        <v>1794</v>
      </c>
      <c r="G39" s="1">
        <v>1794</v>
      </c>
      <c r="H39" s="1">
        <v>5.6589258545037033E-2</v>
      </c>
    </row>
    <row r="40" spans="4:8" x14ac:dyDescent="0.2">
      <c r="D40" s="1">
        <v>5.595486677200668E-2</v>
      </c>
      <c r="E40" s="1">
        <v>1416</v>
      </c>
      <c r="G40" s="1">
        <v>1416</v>
      </c>
      <c r="H40" s="1">
        <v>5.595486677200668E-2</v>
      </c>
    </row>
    <row r="41" spans="4:8" x14ac:dyDescent="0.2">
      <c r="D41" s="1">
        <v>5.6491130570300127E-2</v>
      </c>
      <c r="E41" s="1">
        <v>2609</v>
      </c>
      <c r="G41" s="1">
        <v>2609</v>
      </c>
      <c r="H41" s="1">
        <v>5.6491130570300127E-2</v>
      </c>
    </row>
    <row r="42" spans="4:8" x14ac:dyDescent="0.2">
      <c r="D42" s="1">
        <v>5.5777650170411038E-2</v>
      </c>
      <c r="E42" s="1">
        <v>1525</v>
      </c>
      <c r="G42" s="1">
        <v>1525</v>
      </c>
      <c r="H42" s="1">
        <v>5.5777650170411038E-2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C4"/>
  <sheetViews>
    <sheetView workbookViewId="0"/>
  </sheetViews>
  <sheetFormatPr defaultColWidth="11.42578125" defaultRowHeight="12.75" x14ac:dyDescent="0.2"/>
  <sheetData>
    <row r="1" spans="2:3" ht="13.5" thickBot="1" x14ac:dyDescent="0.25"/>
    <row r="2" spans="2:3" x14ac:dyDescent="0.2">
      <c r="B2" s="5" t="s">
        <v>28</v>
      </c>
      <c r="C2" s="6">
        <v>1118.2</v>
      </c>
    </row>
    <row r="3" spans="2:3" x14ac:dyDescent="0.2">
      <c r="B3" t="s">
        <v>29</v>
      </c>
      <c r="C3" s="7">
        <v>3562</v>
      </c>
    </row>
    <row r="4" spans="2:3" ht="13.5" thickBot="1" x14ac:dyDescent="0.25">
      <c r="B4" s="2" t="s">
        <v>30</v>
      </c>
      <c r="C4" s="3">
        <v>11730</v>
      </c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la11"/>
  <dimension ref="A1:HC57"/>
  <sheetViews>
    <sheetView tabSelected="1" workbookViewId="0">
      <selection activeCell="O9" sqref="O8:O9"/>
    </sheetView>
  </sheetViews>
  <sheetFormatPr defaultRowHeight="12.75" x14ac:dyDescent="0.2"/>
  <cols>
    <col min="2" max="5" width="5.140625" customWidth="1"/>
    <col min="6" max="6" width="6" customWidth="1"/>
    <col min="7" max="7" width="5.85546875" customWidth="1"/>
    <col min="8" max="27" width="5.140625" customWidth="1"/>
    <col min="28" max="28" width="5.140625" style="40" customWidth="1"/>
    <col min="51" max="51" width="9.7109375" bestFit="1" customWidth="1"/>
    <col min="52" max="53" width="9.5703125" bestFit="1" customWidth="1"/>
    <col min="54" max="54" width="11.42578125" bestFit="1" customWidth="1"/>
    <col min="55" max="55" width="11.42578125" customWidth="1"/>
    <col min="56" max="56" width="10.42578125" bestFit="1" customWidth="1"/>
    <col min="57" max="57" width="10.42578125" customWidth="1"/>
    <col min="58" max="58" width="9.7109375" bestFit="1" customWidth="1"/>
    <col min="59" max="59" width="8.7109375" bestFit="1" customWidth="1"/>
    <col min="60" max="60" width="9.5703125" bestFit="1" customWidth="1"/>
    <col min="61" max="61" width="11.42578125" bestFit="1" customWidth="1"/>
    <col min="62" max="62" width="11.42578125" customWidth="1"/>
    <col min="63" max="63" width="10.42578125" bestFit="1" customWidth="1"/>
    <col min="64" max="64" width="10.42578125" customWidth="1"/>
    <col min="65" max="65" width="9.7109375" bestFit="1" customWidth="1"/>
    <col min="66" max="67" width="9.5703125" bestFit="1" customWidth="1"/>
    <col min="68" max="68" width="9.5703125" customWidth="1"/>
    <col min="69" max="69" width="10.42578125" bestFit="1" customWidth="1"/>
    <col min="70" max="70" width="10.42578125" customWidth="1"/>
    <col min="71" max="71" width="9.7109375" bestFit="1" customWidth="1"/>
    <col min="72" max="73" width="9.5703125" bestFit="1" customWidth="1"/>
    <col min="74" max="74" width="9.5703125" customWidth="1"/>
    <col min="75" max="75" width="10.42578125" bestFit="1" customWidth="1"/>
    <col min="76" max="76" width="10.42578125" customWidth="1"/>
    <col min="77" max="77" width="9.7109375" bestFit="1" customWidth="1"/>
    <col min="78" max="79" width="9.5703125" bestFit="1" customWidth="1"/>
    <col min="80" max="80" width="9.5703125" customWidth="1"/>
    <col min="81" max="81" width="10.42578125" bestFit="1" customWidth="1"/>
    <col min="82" max="82" width="10.42578125" customWidth="1"/>
    <col min="83" max="83" width="9.7109375" bestFit="1" customWidth="1"/>
    <col min="84" max="85" width="9.5703125" bestFit="1" customWidth="1"/>
    <col min="86" max="86" width="9.5703125" customWidth="1"/>
    <col min="87" max="87" width="10.42578125" bestFit="1" customWidth="1"/>
    <col min="88" max="88" width="10.42578125" customWidth="1"/>
    <col min="89" max="89" width="9.7109375" bestFit="1" customWidth="1"/>
    <col min="90" max="91" width="9.5703125" bestFit="1" customWidth="1"/>
    <col min="92" max="92" width="9.5703125" customWidth="1"/>
    <col min="93" max="93" width="10.42578125" bestFit="1" customWidth="1"/>
    <col min="94" max="94" width="10.42578125" customWidth="1"/>
    <col min="95" max="95" width="9.7109375" bestFit="1" customWidth="1"/>
    <col min="96" max="96" width="9.5703125" bestFit="1" customWidth="1"/>
    <col min="97" max="98" width="9.5703125" style="12" customWidth="1"/>
    <col min="99" max="102" width="9.5703125" customWidth="1"/>
    <col min="103" max="103" width="9.5703125" bestFit="1" customWidth="1"/>
    <col min="104" max="104" width="9.5703125" customWidth="1"/>
    <col min="105" max="105" width="10.42578125" bestFit="1" customWidth="1"/>
    <col min="106" max="106" width="10.42578125" customWidth="1"/>
    <col min="107" max="107" width="9.7109375" bestFit="1" customWidth="1"/>
    <col min="108" max="108" width="9.5703125" bestFit="1" customWidth="1"/>
    <col min="109" max="120" width="9.5703125" style="12" customWidth="1"/>
    <col min="121" max="121" width="9.5703125" bestFit="1" customWidth="1"/>
    <col min="122" max="122" width="11.42578125" bestFit="1" customWidth="1"/>
    <col min="123" max="123" width="11.42578125" customWidth="1"/>
    <col min="124" max="124" width="10.42578125" bestFit="1" customWidth="1"/>
    <col min="125" max="125" width="10.42578125" customWidth="1"/>
    <col min="126" max="126" width="9.7109375" bestFit="1" customWidth="1"/>
    <col min="127" max="128" width="9.5703125" bestFit="1" customWidth="1"/>
    <col min="129" max="129" width="11.42578125" bestFit="1" customWidth="1"/>
    <col min="130" max="130" width="11.42578125" customWidth="1"/>
    <col min="131" max="131" width="10.42578125" bestFit="1" customWidth="1"/>
    <col min="132" max="132" width="10.42578125" customWidth="1"/>
    <col min="133" max="133" width="9.7109375" bestFit="1" customWidth="1"/>
    <col min="134" max="135" width="9.5703125" bestFit="1" customWidth="1"/>
    <col min="136" max="136" width="9.5703125" customWidth="1"/>
    <col min="137" max="137" width="10.42578125" bestFit="1" customWidth="1"/>
    <col min="138" max="138" width="10.42578125" customWidth="1"/>
    <col min="139" max="139" width="9.7109375" bestFit="1" customWidth="1"/>
    <col min="140" max="141" width="9.5703125" bestFit="1" customWidth="1"/>
    <col min="142" max="142" width="9.5703125" customWidth="1"/>
    <col min="143" max="143" width="10.42578125" bestFit="1" customWidth="1"/>
    <col min="144" max="144" width="10.42578125" customWidth="1"/>
    <col min="145" max="147" width="10.5703125" bestFit="1" customWidth="1"/>
    <col min="148" max="148" width="10.42578125" bestFit="1" customWidth="1"/>
    <col min="149" max="150" width="10.42578125" customWidth="1"/>
    <col min="151" max="151" width="9.7109375" bestFit="1" customWidth="1"/>
    <col min="152" max="153" width="10.5703125" bestFit="1" customWidth="1"/>
    <col min="154" max="154" width="10.42578125" bestFit="1" customWidth="1"/>
    <col min="155" max="156" width="10.42578125" customWidth="1"/>
    <col min="157" max="157" width="9.7109375" bestFit="1" customWidth="1"/>
    <col min="158" max="159" width="9.5703125" bestFit="1" customWidth="1"/>
    <col min="160" max="160" width="10.42578125" bestFit="1" customWidth="1"/>
    <col min="161" max="161" width="10.42578125" customWidth="1"/>
    <col min="162" max="162" width="10.42578125" bestFit="1" customWidth="1"/>
    <col min="163" max="165" width="10.5703125" bestFit="1" customWidth="1"/>
    <col min="166" max="166" width="10.42578125" bestFit="1" customWidth="1"/>
    <col min="167" max="168" width="10.42578125" customWidth="1"/>
    <col min="169" max="171" width="10.5703125" bestFit="1" customWidth="1"/>
    <col min="172" max="172" width="10.5703125" customWidth="1"/>
    <col min="173" max="173" width="11.42578125" bestFit="1" customWidth="1"/>
    <col min="174" max="174" width="10.85546875" customWidth="1"/>
    <col min="175" max="175" width="10.42578125" bestFit="1" customWidth="1"/>
    <col min="176" max="176" width="10.42578125" customWidth="1"/>
    <col min="177" max="177" width="9.7109375" bestFit="1" customWidth="1"/>
    <col min="178" max="179" width="9.5703125" bestFit="1" customWidth="1"/>
    <col min="180" max="180" width="9.5703125" customWidth="1"/>
    <col min="181" max="181" width="10.42578125" bestFit="1" customWidth="1"/>
    <col min="182" max="182" width="10.42578125" customWidth="1"/>
    <col min="183" max="183" width="9.7109375" bestFit="1" customWidth="1"/>
    <col min="184" max="185" width="9.5703125" bestFit="1" customWidth="1"/>
    <col min="186" max="187" width="9.5703125" customWidth="1"/>
    <col min="188" max="188" width="10.42578125" bestFit="1" customWidth="1"/>
    <col min="189" max="189" width="10.42578125" customWidth="1"/>
    <col min="190" max="190" width="9.85546875" bestFit="1" customWidth="1"/>
    <col min="191" max="192" width="9.5703125" bestFit="1" customWidth="1"/>
    <col min="193" max="193" width="11.42578125" bestFit="1" customWidth="1"/>
    <col min="194" max="194" width="11.42578125" customWidth="1"/>
    <col min="195" max="195" width="10.42578125" bestFit="1" customWidth="1"/>
    <col min="196" max="196" width="10.42578125" customWidth="1"/>
    <col min="197" max="197" width="9.7109375" bestFit="1" customWidth="1"/>
    <col min="198" max="199" width="9.5703125" bestFit="1" customWidth="1"/>
    <col min="200" max="200" width="11.42578125" bestFit="1" customWidth="1"/>
    <col min="201" max="201" width="11.42578125" customWidth="1"/>
    <col min="202" max="202" width="10.42578125" bestFit="1" customWidth="1"/>
    <col min="203" max="203" width="10.42578125" customWidth="1"/>
    <col min="206" max="207" width="9" style="40"/>
    <col min="210" max="210" width="9" customWidth="1"/>
  </cols>
  <sheetData>
    <row r="1" spans="1:211" s="110" customFormat="1" ht="167.25" x14ac:dyDescent="0.2">
      <c r="A1" s="110" t="s">
        <v>4</v>
      </c>
      <c r="B1" s="111" t="s">
        <v>173</v>
      </c>
      <c r="C1" s="110" t="s">
        <v>135</v>
      </c>
      <c r="D1" s="110" t="s">
        <v>136</v>
      </c>
      <c r="E1" s="110" t="s">
        <v>137</v>
      </c>
      <c r="F1" s="112" t="s">
        <v>36</v>
      </c>
      <c r="G1" s="112" t="s">
        <v>293</v>
      </c>
      <c r="H1" s="113" t="s">
        <v>138</v>
      </c>
      <c r="I1" s="113" t="s">
        <v>139</v>
      </c>
      <c r="J1" s="113" t="s">
        <v>140</v>
      </c>
      <c r="K1" s="113" t="s">
        <v>141</v>
      </c>
      <c r="L1" s="113" t="s">
        <v>142</v>
      </c>
      <c r="M1" s="113" t="s">
        <v>143</v>
      </c>
      <c r="N1" s="127" t="s">
        <v>321</v>
      </c>
      <c r="O1" s="113" t="s">
        <v>144</v>
      </c>
      <c r="P1" s="113" t="s">
        <v>145</v>
      </c>
      <c r="Q1" s="113" t="s">
        <v>146</v>
      </c>
      <c r="R1" s="113" t="s">
        <v>147</v>
      </c>
      <c r="S1" s="113" t="s">
        <v>148</v>
      </c>
      <c r="T1" s="114" t="s">
        <v>149</v>
      </c>
      <c r="U1" s="113" t="s">
        <v>345</v>
      </c>
      <c r="V1" s="113" t="s">
        <v>346</v>
      </c>
      <c r="W1" s="113" t="s">
        <v>150</v>
      </c>
      <c r="X1" s="113" t="s">
        <v>151</v>
      </c>
      <c r="Y1" s="113" t="s">
        <v>152</v>
      </c>
      <c r="Z1" s="113" t="s">
        <v>153</v>
      </c>
      <c r="AA1" s="113" t="s">
        <v>154</v>
      </c>
      <c r="AB1" s="114" t="s">
        <v>322</v>
      </c>
      <c r="AC1" s="111" t="s">
        <v>174</v>
      </c>
      <c r="AD1" s="110" t="s">
        <v>155</v>
      </c>
      <c r="AE1" s="110" t="s">
        <v>156</v>
      </c>
      <c r="AF1" s="110" t="s">
        <v>157</v>
      </c>
      <c r="AG1" s="115" t="s">
        <v>158</v>
      </c>
      <c r="AH1" s="111" t="s">
        <v>175</v>
      </c>
      <c r="AI1" s="110" t="s">
        <v>159</v>
      </c>
      <c r="AJ1" s="110" t="s">
        <v>160</v>
      </c>
      <c r="AK1" s="110" t="s">
        <v>161</v>
      </c>
      <c r="AL1" s="115" t="s">
        <v>162</v>
      </c>
      <c r="AM1" s="116" t="s">
        <v>163</v>
      </c>
      <c r="AN1" s="117" t="s">
        <v>37</v>
      </c>
      <c r="AO1" s="117" t="s">
        <v>38</v>
      </c>
      <c r="AP1" s="117" t="s">
        <v>39</v>
      </c>
      <c r="AQ1" s="118" t="s">
        <v>40</v>
      </c>
      <c r="AR1" s="111" t="s">
        <v>164</v>
      </c>
      <c r="AS1" s="119" t="s">
        <v>165</v>
      </c>
      <c r="AT1" s="110" t="s">
        <v>166</v>
      </c>
      <c r="AU1" s="110" t="s">
        <v>167</v>
      </c>
      <c r="AV1" s="110" t="s">
        <v>169</v>
      </c>
      <c r="AW1" s="110" t="s">
        <v>356</v>
      </c>
      <c r="AX1" s="110" t="s">
        <v>357</v>
      </c>
      <c r="AY1" s="110" t="s">
        <v>168</v>
      </c>
      <c r="AZ1" s="110" t="s">
        <v>162</v>
      </c>
      <c r="BA1" s="120" t="s">
        <v>170</v>
      </c>
      <c r="BB1" s="121" t="s">
        <v>176</v>
      </c>
      <c r="BC1" s="122" t="s">
        <v>171</v>
      </c>
      <c r="BD1" s="122" t="s">
        <v>172</v>
      </c>
      <c r="BE1" s="122" t="s">
        <v>269</v>
      </c>
      <c r="BF1" s="122" t="s">
        <v>177</v>
      </c>
      <c r="BG1" s="122" t="s">
        <v>270</v>
      </c>
      <c r="BH1" s="120" t="s">
        <v>178</v>
      </c>
      <c r="BI1" s="121" t="s">
        <v>179</v>
      </c>
      <c r="BJ1" s="122" t="s">
        <v>180</v>
      </c>
      <c r="BK1" s="122" t="s">
        <v>181</v>
      </c>
      <c r="BL1" s="122" t="s">
        <v>316</v>
      </c>
      <c r="BM1" s="122" t="s">
        <v>182</v>
      </c>
      <c r="BN1" s="122" t="s">
        <v>271</v>
      </c>
      <c r="BO1" s="121" t="s">
        <v>183</v>
      </c>
      <c r="BP1" s="121" t="s">
        <v>184</v>
      </c>
      <c r="BQ1" s="122" t="s">
        <v>185</v>
      </c>
      <c r="BR1" s="122" t="s">
        <v>301</v>
      </c>
      <c r="BS1" s="122" t="s">
        <v>186</v>
      </c>
      <c r="BT1" s="122" t="s">
        <v>272</v>
      </c>
      <c r="BU1" s="121" t="s">
        <v>187</v>
      </c>
      <c r="BV1" s="121" t="s">
        <v>188</v>
      </c>
      <c r="BW1" s="122" t="s">
        <v>189</v>
      </c>
      <c r="BX1" s="122" t="s">
        <v>302</v>
      </c>
      <c r="BY1" s="122" t="s">
        <v>190</v>
      </c>
      <c r="BZ1" s="122" t="s">
        <v>273</v>
      </c>
      <c r="CA1" s="121" t="s">
        <v>191</v>
      </c>
      <c r="CB1" s="121" t="s">
        <v>192</v>
      </c>
      <c r="CC1" s="122" t="s">
        <v>193</v>
      </c>
      <c r="CD1" s="122" t="s">
        <v>303</v>
      </c>
      <c r="CE1" s="122" t="s">
        <v>194</v>
      </c>
      <c r="CF1" s="122" t="s">
        <v>274</v>
      </c>
      <c r="CG1" s="121" t="s">
        <v>195</v>
      </c>
      <c r="CH1" s="121" t="s">
        <v>196</v>
      </c>
      <c r="CI1" s="122" t="s">
        <v>197</v>
      </c>
      <c r="CJ1" s="122" t="s">
        <v>304</v>
      </c>
      <c r="CK1" s="122" t="s">
        <v>198</v>
      </c>
      <c r="CL1" s="122" t="s">
        <v>275</v>
      </c>
      <c r="CM1" s="121" t="s">
        <v>199</v>
      </c>
      <c r="CN1" s="121" t="s">
        <v>200</v>
      </c>
      <c r="CO1" s="122" t="s">
        <v>201</v>
      </c>
      <c r="CP1" s="122" t="s">
        <v>305</v>
      </c>
      <c r="CQ1" s="122" t="s">
        <v>202</v>
      </c>
      <c r="CR1" s="122" t="s">
        <v>276</v>
      </c>
      <c r="CS1" s="121" t="s">
        <v>323</v>
      </c>
      <c r="CT1" s="121" t="s">
        <v>324</v>
      </c>
      <c r="CU1" s="122" t="s">
        <v>325</v>
      </c>
      <c r="CV1" s="122" t="s">
        <v>327</v>
      </c>
      <c r="CW1" s="122" t="s">
        <v>326</v>
      </c>
      <c r="CX1" s="122" t="s">
        <v>328</v>
      </c>
      <c r="CY1" s="121" t="s">
        <v>203</v>
      </c>
      <c r="CZ1" s="121" t="s">
        <v>204</v>
      </c>
      <c r="DA1" s="122" t="s">
        <v>205</v>
      </c>
      <c r="DB1" s="122" t="s">
        <v>306</v>
      </c>
      <c r="DC1" s="122" t="s">
        <v>206</v>
      </c>
      <c r="DD1" s="122" t="s">
        <v>277</v>
      </c>
      <c r="DE1" s="121" t="s">
        <v>329</v>
      </c>
      <c r="DF1" s="121" t="s">
        <v>330</v>
      </c>
      <c r="DG1" s="122" t="s">
        <v>331</v>
      </c>
      <c r="DH1" s="122" t="s">
        <v>347</v>
      </c>
      <c r="DI1" s="122" t="s">
        <v>333</v>
      </c>
      <c r="DJ1" s="122" t="s">
        <v>332</v>
      </c>
      <c r="DK1" s="121" t="s">
        <v>334</v>
      </c>
      <c r="DL1" s="121" t="s">
        <v>335</v>
      </c>
      <c r="DM1" s="122" t="s">
        <v>336</v>
      </c>
      <c r="DN1" s="122" t="s">
        <v>348</v>
      </c>
      <c r="DO1" s="122" t="s">
        <v>337</v>
      </c>
      <c r="DP1" s="122" t="s">
        <v>338</v>
      </c>
      <c r="DQ1" s="121" t="s">
        <v>207</v>
      </c>
      <c r="DR1" s="121" t="s">
        <v>208</v>
      </c>
      <c r="DS1" s="122" t="s">
        <v>209</v>
      </c>
      <c r="DT1" s="122" t="s">
        <v>210</v>
      </c>
      <c r="DU1" s="122" t="s">
        <v>278</v>
      </c>
      <c r="DV1" s="122" t="s">
        <v>211</v>
      </c>
      <c r="DW1" s="122" t="s">
        <v>279</v>
      </c>
      <c r="DX1" s="121" t="s">
        <v>212</v>
      </c>
      <c r="DY1" s="121" t="s">
        <v>213</v>
      </c>
      <c r="DZ1" s="122" t="s">
        <v>214</v>
      </c>
      <c r="EA1" s="122" t="s">
        <v>215</v>
      </c>
      <c r="EB1" s="122" t="s">
        <v>280</v>
      </c>
      <c r="EC1" s="122" t="s">
        <v>216</v>
      </c>
      <c r="ED1" s="122" t="s">
        <v>281</v>
      </c>
      <c r="EE1" s="121" t="s">
        <v>217</v>
      </c>
      <c r="EF1" s="121" t="s">
        <v>218</v>
      </c>
      <c r="EG1" s="122" t="s">
        <v>219</v>
      </c>
      <c r="EH1" s="122" t="s">
        <v>307</v>
      </c>
      <c r="EI1" s="122" t="s">
        <v>220</v>
      </c>
      <c r="EJ1" s="122" t="s">
        <v>282</v>
      </c>
      <c r="EK1" s="121" t="s">
        <v>221</v>
      </c>
      <c r="EL1" s="121" t="s">
        <v>222</v>
      </c>
      <c r="EM1" s="122" t="s">
        <v>223</v>
      </c>
      <c r="EN1" s="122" t="s">
        <v>308</v>
      </c>
      <c r="EO1" s="122" t="s">
        <v>224</v>
      </c>
      <c r="EP1" s="122" t="s">
        <v>283</v>
      </c>
      <c r="EQ1" s="121" t="s">
        <v>225</v>
      </c>
      <c r="ER1" s="121" t="s">
        <v>226</v>
      </c>
      <c r="ES1" s="122" t="s">
        <v>227</v>
      </c>
      <c r="ET1" s="122" t="s">
        <v>228</v>
      </c>
      <c r="EU1" s="122" t="s">
        <v>265</v>
      </c>
      <c r="EV1" s="122" t="s">
        <v>313</v>
      </c>
      <c r="EW1" s="121" t="s">
        <v>229</v>
      </c>
      <c r="EX1" s="121" t="s">
        <v>230</v>
      </c>
      <c r="EY1" s="122" t="s">
        <v>231</v>
      </c>
      <c r="EZ1" s="122" t="s">
        <v>232</v>
      </c>
      <c r="FA1" s="122" t="s">
        <v>266</v>
      </c>
      <c r="FB1" s="122" t="s">
        <v>314</v>
      </c>
      <c r="FC1" s="121" t="s">
        <v>233</v>
      </c>
      <c r="FD1" s="121" t="s">
        <v>234</v>
      </c>
      <c r="FE1" s="122" t="s">
        <v>235</v>
      </c>
      <c r="FF1" s="122" t="s">
        <v>236</v>
      </c>
      <c r="FG1" s="122" t="s">
        <v>267</v>
      </c>
      <c r="FH1" s="122" t="s">
        <v>237</v>
      </c>
      <c r="FI1" s="121" t="s">
        <v>238</v>
      </c>
      <c r="FJ1" s="121" t="s">
        <v>239</v>
      </c>
      <c r="FK1" s="122" t="s">
        <v>240</v>
      </c>
      <c r="FL1" s="122" t="s">
        <v>241</v>
      </c>
      <c r="FM1" s="122" t="s">
        <v>268</v>
      </c>
      <c r="FN1" s="122" t="s">
        <v>315</v>
      </c>
      <c r="FO1" s="123" t="s">
        <v>242</v>
      </c>
      <c r="FP1" s="123" t="s">
        <v>243</v>
      </c>
      <c r="FQ1" s="122" t="s">
        <v>244</v>
      </c>
      <c r="FR1" s="122" t="s">
        <v>292</v>
      </c>
      <c r="FS1" s="122" t="s">
        <v>245</v>
      </c>
      <c r="FT1" s="122" t="s">
        <v>284</v>
      </c>
      <c r="FU1" s="122" t="s">
        <v>246</v>
      </c>
      <c r="FV1" s="122" t="s">
        <v>285</v>
      </c>
      <c r="FW1" s="121" t="s">
        <v>247</v>
      </c>
      <c r="FX1" s="121" t="s">
        <v>248</v>
      </c>
      <c r="FY1" s="122" t="s">
        <v>249</v>
      </c>
      <c r="FZ1" s="122" t="s">
        <v>309</v>
      </c>
      <c r="GA1" s="122" t="s">
        <v>250</v>
      </c>
      <c r="GB1" s="122" t="s">
        <v>286</v>
      </c>
      <c r="GC1" s="121" t="s">
        <v>251</v>
      </c>
      <c r="GD1" s="121" t="s">
        <v>252</v>
      </c>
      <c r="GE1" s="122" t="s">
        <v>253</v>
      </c>
      <c r="GF1" s="122" t="s">
        <v>299</v>
      </c>
      <c r="GG1" s="122" t="s">
        <v>300</v>
      </c>
      <c r="GH1" s="122" t="s">
        <v>254</v>
      </c>
      <c r="GI1" s="122" t="s">
        <v>287</v>
      </c>
      <c r="GJ1" s="121" t="s">
        <v>255</v>
      </c>
      <c r="GK1" s="121" t="s">
        <v>256</v>
      </c>
      <c r="GL1" s="122" t="s">
        <v>257</v>
      </c>
      <c r="GM1" s="122" t="s">
        <v>258</v>
      </c>
      <c r="GN1" s="122" t="s">
        <v>288</v>
      </c>
      <c r="GO1" s="122" t="s">
        <v>259</v>
      </c>
      <c r="GP1" s="122" t="s">
        <v>289</v>
      </c>
      <c r="GQ1" s="121" t="s">
        <v>260</v>
      </c>
      <c r="GR1" s="121" t="s">
        <v>261</v>
      </c>
      <c r="GS1" s="122" t="s">
        <v>262</v>
      </c>
      <c r="GT1" s="122" t="s">
        <v>263</v>
      </c>
      <c r="GU1" s="122" t="s">
        <v>290</v>
      </c>
      <c r="GV1" s="122" t="s">
        <v>264</v>
      </c>
      <c r="GW1" s="122" t="s">
        <v>291</v>
      </c>
      <c r="GX1" s="112" t="s">
        <v>339</v>
      </c>
      <c r="GY1" s="112" t="s">
        <v>340</v>
      </c>
      <c r="GZ1" s="128" t="s">
        <v>341</v>
      </c>
      <c r="HA1" s="129" t="s">
        <v>342</v>
      </c>
      <c r="HB1" s="129" t="s">
        <v>343</v>
      </c>
      <c r="HC1" s="129" t="s">
        <v>344</v>
      </c>
    </row>
    <row r="2" spans="1:211" x14ac:dyDescent="0.2">
      <c r="A2">
        <v>1961</v>
      </c>
      <c r="B2" s="24"/>
      <c r="F2" s="23">
        <v>356</v>
      </c>
      <c r="G2" s="23">
        <f>((F2*0.4)-1)/0.4</f>
        <v>353.5</v>
      </c>
      <c r="H2" s="12"/>
      <c r="I2" s="12"/>
      <c r="J2" s="12"/>
      <c r="K2" s="12"/>
      <c r="L2" s="12"/>
      <c r="M2" s="12"/>
      <c r="N2" s="42"/>
      <c r="O2" s="12"/>
      <c r="P2" s="12"/>
      <c r="Q2" s="12"/>
      <c r="R2" s="12"/>
      <c r="S2" s="12"/>
      <c r="T2" s="40"/>
      <c r="U2" s="12"/>
      <c r="V2" s="12"/>
      <c r="W2" s="12"/>
      <c r="X2" s="12"/>
      <c r="Y2" s="12"/>
      <c r="Z2" s="12"/>
      <c r="AA2" s="12"/>
      <c r="AC2" s="27"/>
      <c r="AD2" s="13"/>
      <c r="AE2" s="13"/>
      <c r="AF2" s="13"/>
      <c r="AG2" s="41"/>
      <c r="AH2" s="27"/>
      <c r="AI2" s="13"/>
      <c r="AJ2" s="13"/>
      <c r="AK2" s="13"/>
      <c r="AL2" s="41"/>
      <c r="AM2" s="32">
        <v>1680</v>
      </c>
      <c r="AN2" s="85">
        <v>34506</v>
      </c>
      <c r="AO2" s="35"/>
      <c r="AP2" s="35"/>
      <c r="AQ2" s="1">
        <v>46701</v>
      </c>
      <c r="AR2" s="29">
        <v>32.1</v>
      </c>
      <c r="AS2" s="73"/>
      <c r="BA2" s="43">
        <v>151000</v>
      </c>
      <c r="BB2" s="44">
        <v>100000</v>
      </c>
      <c r="BC2" s="45">
        <v>424000</v>
      </c>
      <c r="BD2" s="72">
        <f>BA2/BC2</f>
        <v>0.35613207547169812</v>
      </c>
      <c r="BE2" s="72">
        <f>ASIN(SQRT(BD2))</f>
        <v>0.639467230959196</v>
      </c>
      <c r="BF2" s="72">
        <f>BB2/BC2</f>
        <v>0.23584905660377359</v>
      </c>
      <c r="BG2" s="72">
        <f>ASIN(SQRT(BF2))</f>
        <v>0.50709850439233695</v>
      </c>
      <c r="BH2" s="43">
        <v>185000</v>
      </c>
      <c r="BI2" s="47">
        <v>16000</v>
      </c>
      <c r="BJ2" s="48">
        <v>235000</v>
      </c>
      <c r="BK2" s="71">
        <f>BH2/BJ2</f>
        <v>0.78723404255319152</v>
      </c>
      <c r="BL2" s="72">
        <f>ASIN(SQRT(BK2))</f>
        <v>1.0913752412415907</v>
      </c>
      <c r="BM2" s="71">
        <f>BI2/BJ2</f>
        <v>6.8085106382978725E-2</v>
      </c>
      <c r="BN2" s="72">
        <f>ASIN(SQRT(BM2))</f>
        <v>0.2639867244436141</v>
      </c>
      <c r="BO2" s="47">
        <v>0</v>
      </c>
      <c r="BP2" s="47">
        <v>75000</v>
      </c>
      <c r="BQ2" s="48">
        <v>103000</v>
      </c>
      <c r="BR2" s="48">
        <f>BO2/BQ2</f>
        <v>0</v>
      </c>
      <c r="BS2" s="71">
        <f>BP2/BQ2</f>
        <v>0.72815533980582525</v>
      </c>
      <c r="BT2" s="72">
        <f>ASIN(SQRT(BS2))</f>
        <v>1.0223204781624509</v>
      </c>
      <c r="BU2" s="47">
        <v>0</v>
      </c>
      <c r="BV2" s="47">
        <v>6000</v>
      </c>
      <c r="BW2" s="48">
        <v>61000</v>
      </c>
      <c r="BX2" s="48">
        <f>BU2/BW2</f>
        <v>0</v>
      </c>
      <c r="BY2" s="71">
        <f>BV2/BW2</f>
        <v>9.8360655737704916E-2</v>
      </c>
      <c r="BZ2" s="72">
        <f>ASIN(SQRT(BY2))</f>
        <v>0.31900827342994448</v>
      </c>
      <c r="CA2" s="47">
        <v>0</v>
      </c>
      <c r="CB2" s="47">
        <v>3000</v>
      </c>
      <c r="CC2" s="48">
        <v>14000</v>
      </c>
      <c r="CD2" s="48">
        <f>CA2/CC2</f>
        <v>0</v>
      </c>
      <c r="CE2" s="71">
        <f>CB2/CC2</f>
        <v>0.21428571428571427</v>
      </c>
      <c r="CF2" s="72">
        <f>ASIN(SQRT(CE2))</f>
        <v>0.48127537394234349</v>
      </c>
      <c r="CG2" s="47">
        <v>0</v>
      </c>
      <c r="CH2" s="47">
        <v>0</v>
      </c>
      <c r="CI2" s="48">
        <v>16000</v>
      </c>
      <c r="CJ2" s="48">
        <f>CG2/CI2</f>
        <v>0</v>
      </c>
      <c r="CK2" s="71">
        <f>CH2/CI2</f>
        <v>0</v>
      </c>
      <c r="CL2" s="72">
        <f>ASIN(SQRT(CK2))</f>
        <v>0</v>
      </c>
      <c r="CM2" s="47">
        <v>0</v>
      </c>
      <c r="CN2" s="47">
        <v>131000</v>
      </c>
      <c r="CO2" s="48">
        <v>148000</v>
      </c>
      <c r="CP2" s="48">
        <f>CM2/CO2</f>
        <v>0</v>
      </c>
      <c r="CQ2" s="71">
        <f>CN2/CO2</f>
        <v>0.88513513513513509</v>
      </c>
      <c r="CR2" s="72">
        <f>ASIN(SQRT(CQ2))</f>
        <v>1.2250305893884403</v>
      </c>
      <c r="CS2" s="47">
        <v>0</v>
      </c>
      <c r="CT2" s="47">
        <v>24000</v>
      </c>
      <c r="CU2" s="48">
        <v>28000</v>
      </c>
      <c r="CV2" s="48">
        <f>CS2/CU2</f>
        <v>0</v>
      </c>
      <c r="CW2" s="72">
        <f>CT2/CU2</f>
        <v>0.8571428571428571</v>
      </c>
      <c r="CX2" s="72">
        <f>ASIN(SQRT(CW2))</f>
        <v>1.1831996401397158</v>
      </c>
      <c r="CY2" s="47">
        <v>0</v>
      </c>
      <c r="CZ2" s="47">
        <v>9000</v>
      </c>
      <c r="DA2" s="48">
        <v>49000</v>
      </c>
      <c r="DB2" s="48">
        <f>CY2/CZ2</f>
        <v>0</v>
      </c>
      <c r="DC2" s="71">
        <f>CZ2/DA2</f>
        <v>0.18367346938775511</v>
      </c>
      <c r="DD2" s="72">
        <f>ASIN(SQRT(DC2))</f>
        <v>0.4429110440736389</v>
      </c>
      <c r="DE2" s="47">
        <v>0</v>
      </c>
      <c r="DF2" s="47">
        <v>11000</v>
      </c>
      <c r="DG2" s="48">
        <v>28000</v>
      </c>
      <c r="DH2" s="48">
        <f>DE2/DG2</f>
        <v>0</v>
      </c>
      <c r="DI2" s="71">
        <f>DF2/DG2</f>
        <v>0.39285714285714285</v>
      </c>
      <c r="DJ2" s="72">
        <f>ASIN(SQRT(DI2))</f>
        <v>0.67741791405497009</v>
      </c>
      <c r="DK2" s="47">
        <v>0</v>
      </c>
      <c r="DL2" s="47">
        <v>109000</v>
      </c>
      <c r="DM2" s="48">
        <v>118000</v>
      </c>
      <c r="DN2" s="48">
        <f>DK2/DM2</f>
        <v>0</v>
      </c>
      <c r="DO2" s="71">
        <f>DL2/DM2</f>
        <v>0.92372881355932202</v>
      </c>
      <c r="DP2" s="72">
        <f>ASIN(SQRT(DO2))</f>
        <v>1.2909870110824078</v>
      </c>
      <c r="DQ2" s="47">
        <v>0</v>
      </c>
      <c r="DR2" s="47">
        <v>157000</v>
      </c>
      <c r="DS2" s="48">
        <v>174000</v>
      </c>
      <c r="DT2" s="71">
        <f>DQ2/DS2</f>
        <v>0</v>
      </c>
      <c r="DU2" s="72">
        <f>ASIN(SQRT(DT2))</f>
        <v>0</v>
      </c>
      <c r="DV2" s="71">
        <f>DR2/DS2</f>
        <v>0.9022988505747126</v>
      </c>
      <c r="DW2" s="72">
        <f>ASIN(SQRT(DV2))</f>
        <v>1.2528970039854803</v>
      </c>
      <c r="DX2" s="47">
        <v>0</v>
      </c>
      <c r="DY2" s="47">
        <v>46000</v>
      </c>
      <c r="DZ2" s="48">
        <v>77000</v>
      </c>
      <c r="EA2" s="71">
        <f>DX2/DZ2</f>
        <v>0</v>
      </c>
      <c r="EB2" s="72">
        <f>ASIN(SQRT(EA2))</f>
        <v>0</v>
      </c>
      <c r="EC2" s="71">
        <f>DY2/DZ2</f>
        <v>0.59740259740259738</v>
      </c>
      <c r="ED2" s="72">
        <f>ASIN(SQRT(EC2))</f>
        <v>0.88342758143095057</v>
      </c>
      <c r="EE2" s="47">
        <v>0</v>
      </c>
      <c r="EF2" s="47">
        <v>163000</v>
      </c>
      <c r="EG2" s="48">
        <v>168000</v>
      </c>
      <c r="EH2" s="48">
        <f>EE2/EG2</f>
        <v>0</v>
      </c>
      <c r="EI2" s="71">
        <f>EF2/EG2</f>
        <v>0.97023809523809523</v>
      </c>
      <c r="EJ2" s="72">
        <f>ASIN(SQRT(EI2))</f>
        <v>1.3974125329112002</v>
      </c>
      <c r="EK2" s="47">
        <v>0</v>
      </c>
      <c r="EL2" s="47">
        <v>48000</v>
      </c>
      <c r="EM2" s="48">
        <v>49000</v>
      </c>
      <c r="EN2" s="48">
        <f>EK2/EM2</f>
        <v>0</v>
      </c>
      <c r="EO2" s="71">
        <f>EL2/EM2</f>
        <v>0.97959183673469385</v>
      </c>
      <c r="EP2" s="72">
        <f>ASIN(SQRT(EO2))</f>
        <v>1.4274487578895312</v>
      </c>
      <c r="EQ2" s="43">
        <v>17000</v>
      </c>
      <c r="ER2" s="47">
        <v>405000</v>
      </c>
      <c r="ES2" s="48">
        <v>452000</v>
      </c>
      <c r="ET2" s="68">
        <f>EQ2/ES2</f>
        <v>3.7610619469026552E-2</v>
      </c>
      <c r="EU2" s="68">
        <f t="shared" ref="EU2:EU17" si="0">ASIN(SQRT(CP2))</f>
        <v>0</v>
      </c>
      <c r="EV2" s="68">
        <f>ER2/ES2</f>
        <v>0.89601769911504425</v>
      </c>
      <c r="EW2" s="47">
        <v>31000</v>
      </c>
      <c r="EX2" s="47">
        <v>140000</v>
      </c>
      <c r="EY2" s="48">
        <v>238000</v>
      </c>
      <c r="EZ2" s="68">
        <f>EW2/EY2</f>
        <v>0.13025210084033614</v>
      </c>
      <c r="FA2" s="68">
        <f>ASIN(SQRT(EZ2))</f>
        <v>0.36923764140495385</v>
      </c>
      <c r="FB2" s="68">
        <f>EX2/EY2</f>
        <v>0.58823529411764708</v>
      </c>
      <c r="FC2" s="47">
        <v>1000</v>
      </c>
      <c r="FD2" s="47">
        <v>65000</v>
      </c>
      <c r="FE2" s="48">
        <v>75000</v>
      </c>
      <c r="FF2" s="68">
        <f>FC2/FD2</f>
        <v>1.5384615384615385E-2</v>
      </c>
      <c r="FG2" s="68">
        <f>ASIN(SQRT(FF2))</f>
        <v>0.12435499454676144</v>
      </c>
      <c r="FH2" s="68">
        <f t="shared" ref="FH2:FH17" si="1">FD2/FE2</f>
        <v>0.8666666666666667</v>
      </c>
      <c r="FI2" s="47">
        <v>41000</v>
      </c>
      <c r="FJ2" s="47">
        <v>253000</v>
      </c>
      <c r="FK2" s="48">
        <v>307000</v>
      </c>
      <c r="FL2" s="68">
        <f t="shared" ref="FL2:FL7" si="2">FI2/FK2</f>
        <v>0.13355048859934854</v>
      </c>
      <c r="FM2" s="68">
        <f>ASIN(SQRT(FL2))</f>
        <v>0.37411147227429226</v>
      </c>
      <c r="FN2" s="68">
        <f>FJ2/FK2</f>
        <v>0.82410423452768733</v>
      </c>
      <c r="FO2" s="46">
        <f t="shared" ref="FO2:FO17" si="3">EQ2+EW2+FC2+FI2</f>
        <v>90000</v>
      </c>
      <c r="FP2" s="46">
        <f t="shared" ref="FP2:FP17" si="4">ER2+EX2+FD2+FJ2</f>
        <v>863000</v>
      </c>
      <c r="FQ2" s="48">
        <f t="shared" ref="FQ2:FQ17" si="5">ES2+EY2+FE2+FK2</f>
        <v>1072000</v>
      </c>
      <c r="FR2" s="48"/>
      <c r="FS2" s="68">
        <f>FO2/FQ2</f>
        <v>8.3955223880597021E-2</v>
      </c>
      <c r="FT2" s="68">
        <f>ASIN(SQRT(FS2))</f>
        <v>0.29396591330151661</v>
      </c>
      <c r="FU2" s="68">
        <f t="shared" ref="FU2:FU17" si="6">FP2/FQ2</f>
        <v>0.8050373134328358</v>
      </c>
      <c r="FV2" s="68">
        <f>ASIN(SQRT(FU2))</f>
        <v>1.1134755496209279</v>
      </c>
      <c r="FW2" s="47">
        <v>0</v>
      </c>
      <c r="FX2" s="47">
        <v>52000</v>
      </c>
      <c r="FY2" s="48">
        <v>258000</v>
      </c>
      <c r="FZ2" s="48">
        <f>FW2/FY2</f>
        <v>0</v>
      </c>
      <c r="GA2" s="71">
        <f>FX2/FY2</f>
        <v>0.20155038759689922</v>
      </c>
      <c r="GB2" s="68">
        <f>ASIN(SQRT(GA2))</f>
        <v>0.4655827896387596</v>
      </c>
      <c r="GC2" s="47">
        <v>0</v>
      </c>
      <c r="GD2" s="47">
        <v>22000</v>
      </c>
      <c r="GE2" s="48">
        <v>37000</v>
      </c>
      <c r="GF2" s="48">
        <f>GC2/GE2</f>
        <v>0</v>
      </c>
      <c r="GG2" s="68">
        <f>ASIN(SQRT(GF2))</f>
        <v>0</v>
      </c>
      <c r="GH2" s="71">
        <f>GD2/GE2</f>
        <v>0.59459459459459463</v>
      </c>
      <c r="GI2" s="68">
        <f>ASIN(SQRT(GH2))</f>
        <v>0.88056634235764841</v>
      </c>
      <c r="GJ2" s="47">
        <v>0</v>
      </c>
      <c r="GK2" s="47">
        <v>43000</v>
      </c>
      <c r="GL2" s="48">
        <v>61000</v>
      </c>
      <c r="GM2" s="71">
        <f>GJ2/GL2</f>
        <v>0</v>
      </c>
      <c r="GN2" s="68">
        <f>ASIN(SQRT(GM2))</f>
        <v>0</v>
      </c>
      <c r="GO2" s="71">
        <f>GK2/GL2</f>
        <v>0.70491803278688525</v>
      </c>
      <c r="GP2" s="68">
        <f>ASIN(SQRT(GO2))</f>
        <v>0.99653533021761864</v>
      </c>
      <c r="GQ2" s="47">
        <v>1000</v>
      </c>
      <c r="GR2" s="47">
        <v>150000</v>
      </c>
      <c r="GS2" s="48">
        <v>157000</v>
      </c>
      <c r="GT2" s="71">
        <f>GQ2/GS2</f>
        <v>6.369426751592357E-3</v>
      </c>
      <c r="GU2" s="68">
        <f>ASIN(SQRT(GT2))</f>
        <v>7.9893654806116002E-2</v>
      </c>
      <c r="GV2" s="71">
        <f>GR2/GS2</f>
        <v>0.95541401273885351</v>
      </c>
      <c r="GW2" s="68">
        <f>ASIN(SQRT(GV2))</f>
        <v>1.3580409568618148</v>
      </c>
      <c r="GX2" s="40">
        <v>1000</v>
      </c>
      <c r="GY2" s="40">
        <v>215000</v>
      </c>
      <c r="GZ2">
        <v>255000</v>
      </c>
      <c r="HA2" s="126">
        <f>GX2/GZ2</f>
        <v>3.9215686274509803E-3</v>
      </c>
      <c r="HB2" s="126">
        <f>GY2/GZ2</f>
        <v>0.84313725490196079</v>
      </c>
      <c r="HC2" s="68">
        <f>ASIN(SQRT(HB2))</f>
        <v>1.1635754314646756</v>
      </c>
    </row>
    <row r="3" spans="1:211" x14ac:dyDescent="0.2">
      <c r="A3">
        <v>1962</v>
      </c>
      <c r="B3" s="24"/>
      <c r="F3" s="23">
        <v>471</v>
      </c>
      <c r="G3" s="23">
        <f t="shared" ref="G3:G53" si="7">((F3*0.4)-1)/0.4</f>
        <v>468.5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40"/>
      <c r="U3" s="12"/>
      <c r="V3" s="12"/>
      <c r="W3" s="12"/>
      <c r="X3" s="12"/>
      <c r="Y3" s="12"/>
      <c r="Z3" s="12"/>
      <c r="AA3" s="12"/>
      <c r="AC3" s="27"/>
      <c r="AD3" s="13"/>
      <c r="AE3" s="13"/>
      <c r="AF3" s="13"/>
      <c r="AG3" s="41"/>
      <c r="AH3" s="27"/>
      <c r="AI3" s="13"/>
      <c r="AJ3" s="13"/>
      <c r="AK3" s="13"/>
      <c r="AL3" s="41"/>
      <c r="AM3" s="32">
        <v>2022</v>
      </c>
      <c r="AN3" s="85">
        <v>23911</v>
      </c>
      <c r="AO3" s="35"/>
      <c r="AP3" s="35"/>
      <c r="AQ3" s="1">
        <v>55482</v>
      </c>
      <c r="AR3" s="29">
        <v>25.5</v>
      </c>
      <c r="AS3" s="73"/>
      <c r="BA3" s="43">
        <v>186000</v>
      </c>
      <c r="BB3" s="44">
        <v>110600</v>
      </c>
      <c r="BC3" s="45">
        <v>461100</v>
      </c>
      <c r="BD3" s="72">
        <f t="shared" ref="BD3:BD53" si="8">BA3/BC3</f>
        <v>0.4033832140533507</v>
      </c>
      <c r="BE3" s="72">
        <f t="shared" ref="BE3:BE53" si="9">ASIN(SQRT(BD3))</f>
        <v>0.68816977838708648</v>
      </c>
      <c r="BF3" s="72">
        <f t="shared" ref="BF3:BF53" si="10">BB3/BC3</f>
        <v>0.23986120147473433</v>
      </c>
      <c r="BG3" s="72">
        <f t="shared" ref="BG3:BG53" si="11">ASIN(SQRT(BF3))</f>
        <v>0.51181017605683454</v>
      </c>
      <c r="BH3" s="43">
        <v>155000</v>
      </c>
      <c r="BI3" s="47">
        <v>6900</v>
      </c>
      <c r="BJ3" s="48">
        <v>193900</v>
      </c>
      <c r="BK3" s="71">
        <f t="shared" ref="BK3:BK53" si="12">BH3/BJ3</f>
        <v>0.7993811242908716</v>
      </c>
      <c r="BL3" s="72">
        <f t="shared" ref="BL3:BL53" si="13">ASIN(SQRT(BK3))</f>
        <v>1.1063755711662699</v>
      </c>
      <c r="BM3" s="71">
        <f t="shared" ref="BM3:BM53" si="14">BI3/BJ3</f>
        <v>3.5585353274883963E-2</v>
      </c>
      <c r="BN3" s="72">
        <f t="shared" ref="BN3:BN53" si="15">ASIN(SQRT(BM3))</f>
        <v>0.18977791804856722</v>
      </c>
      <c r="BO3" s="47">
        <v>0</v>
      </c>
      <c r="BP3" s="47">
        <v>78200</v>
      </c>
      <c r="BQ3" s="48">
        <v>106200</v>
      </c>
      <c r="BR3" s="48">
        <f t="shared" ref="BR3:BR53" si="16">BO3/BQ3</f>
        <v>0</v>
      </c>
      <c r="BS3" s="71">
        <f t="shared" ref="BS3:BS53" si="17">BP3/BQ3</f>
        <v>0.73634651600753298</v>
      </c>
      <c r="BT3" s="72">
        <f t="shared" ref="BT3:BT53" si="18">ASIN(SQRT(BS3))</f>
        <v>1.0315703054748797</v>
      </c>
      <c r="BU3" s="47">
        <v>0</v>
      </c>
      <c r="BV3" s="47">
        <v>5000</v>
      </c>
      <c r="BW3" s="48">
        <v>59900</v>
      </c>
      <c r="BX3" s="48">
        <f t="shared" ref="BX3:BX53" si="19">BU3/BW3</f>
        <v>0</v>
      </c>
      <c r="BY3" s="71">
        <f t="shared" ref="BY3:BY53" si="20">BV3/BW3</f>
        <v>8.347245409015025E-2</v>
      </c>
      <c r="BZ3" s="72">
        <f t="shared" ref="BZ3:BZ53" si="21">ASIN(SQRT(BY3))</f>
        <v>0.29309435523818195</v>
      </c>
      <c r="CA3" s="47">
        <v>0</v>
      </c>
      <c r="CB3" s="47">
        <v>900</v>
      </c>
      <c r="CC3" s="48">
        <v>11300</v>
      </c>
      <c r="CD3" s="48">
        <f t="shared" ref="CD3:CD53" si="22">CA3/CC3</f>
        <v>0</v>
      </c>
      <c r="CE3" s="71">
        <f t="shared" ref="CE3:CE53" si="23">CB3/CC3</f>
        <v>7.9646017699115043E-2</v>
      </c>
      <c r="CF3" s="72">
        <f t="shared" ref="CF3:CF53" si="24">ASIN(SQRT(CE3))</f>
        <v>0.28610349373057298</v>
      </c>
      <c r="CG3" s="47">
        <v>0</v>
      </c>
      <c r="CH3" s="47">
        <v>700</v>
      </c>
      <c r="CI3" s="48">
        <v>16000</v>
      </c>
      <c r="CJ3" s="48">
        <f t="shared" ref="CJ3:CJ53" si="25">CG3/CI3</f>
        <v>0</v>
      </c>
      <c r="CK3" s="71">
        <f t="shared" ref="CK3:CK53" si="26">CH3/CI3</f>
        <v>4.3749999999999997E-2</v>
      </c>
      <c r="CL3" s="72">
        <f t="shared" ref="CL3:CL53" si="27">ASIN(SQRT(CK3))</f>
        <v>0.21072100075878145</v>
      </c>
      <c r="CM3" s="47">
        <v>0</v>
      </c>
      <c r="CN3" s="47">
        <v>173200</v>
      </c>
      <c r="CO3" s="48">
        <v>184800</v>
      </c>
      <c r="CP3" s="48">
        <f t="shared" ref="CP3:CP53" si="28">CM3/CO3</f>
        <v>0</v>
      </c>
      <c r="CQ3" s="71">
        <f t="shared" ref="CQ3:CQ53" si="29">CN3/CO3</f>
        <v>0.93722943722943719</v>
      </c>
      <c r="CR3" s="72">
        <f t="shared" ref="CR3:CR53" si="30">ASIN(SQRT(CQ3))</f>
        <v>1.3175577628609043</v>
      </c>
      <c r="CS3" s="47">
        <v>0</v>
      </c>
      <c r="CT3" s="47">
        <v>26700</v>
      </c>
      <c r="CU3" s="48">
        <v>33300</v>
      </c>
      <c r="CV3" s="48">
        <f t="shared" ref="CV3:CV53" si="31">CS3/CU3</f>
        <v>0</v>
      </c>
      <c r="CW3" s="72">
        <f t="shared" ref="CW3:CW53" si="32">CT3/CU3</f>
        <v>0.80180180180180183</v>
      </c>
      <c r="CX3" s="72">
        <f t="shared" ref="CX3:CX53" si="33">ASIN(SQRT(CW3))</f>
        <v>1.1094047951089452</v>
      </c>
      <c r="CY3" s="47">
        <v>0</v>
      </c>
      <c r="CZ3" s="47">
        <v>5500</v>
      </c>
      <c r="DA3" s="48">
        <v>46800</v>
      </c>
      <c r="DB3" s="48">
        <f t="shared" ref="DB3:DB53" si="34">CY3/CZ3</f>
        <v>0</v>
      </c>
      <c r="DC3" s="71">
        <f t="shared" ref="DC3:DC53" si="35">CZ3/DA3</f>
        <v>0.11752136752136752</v>
      </c>
      <c r="DD3" s="72">
        <f t="shared" ref="DD3:DD53" si="36">ASIN(SQRT(DC3))</f>
        <v>0.34991067469813775</v>
      </c>
      <c r="DE3" s="47">
        <v>0</v>
      </c>
      <c r="DF3" s="47">
        <v>11200</v>
      </c>
      <c r="DG3" s="48">
        <v>26900</v>
      </c>
      <c r="DH3" s="48">
        <f t="shared" ref="DH3:DH53" si="37">DE3/DG3</f>
        <v>0</v>
      </c>
      <c r="DI3" s="71">
        <f t="shared" ref="DI3:DI53" si="38">DF3/DG3</f>
        <v>0.41635687732342008</v>
      </c>
      <c r="DJ3" s="72">
        <f t="shared" ref="DJ3:DJ53" si="39">ASIN(SQRT(DI3))</f>
        <v>0.70135992334205777</v>
      </c>
      <c r="DK3" s="47">
        <v>0</v>
      </c>
      <c r="DL3" s="47">
        <v>99300</v>
      </c>
      <c r="DM3" s="48">
        <v>114100</v>
      </c>
      <c r="DN3" s="48">
        <f t="shared" ref="DN3:DN53" si="40">DK3/DM3</f>
        <v>0</v>
      </c>
      <c r="DO3" s="71">
        <f t="shared" ref="DO3:DO53" si="41">DL3/DM3</f>
        <v>0.87028921998247155</v>
      </c>
      <c r="DP3" s="72">
        <f t="shared" ref="DP3:DP53" si="42">ASIN(SQRT(DO3))</f>
        <v>1.2023635447953098</v>
      </c>
      <c r="DQ3" s="47">
        <v>0</v>
      </c>
      <c r="DR3" s="47">
        <v>130200</v>
      </c>
      <c r="DS3" s="48">
        <v>143600</v>
      </c>
      <c r="DT3" s="71">
        <f t="shared" ref="DT3:DT53" si="43">DQ3/DS3</f>
        <v>0</v>
      </c>
      <c r="DU3" s="72">
        <f t="shared" ref="DU3:DU53" si="44">ASIN(SQRT(DT3))</f>
        <v>0</v>
      </c>
      <c r="DV3" s="71">
        <f t="shared" ref="DV3:DV53" si="45">DR3/DS3</f>
        <v>0.90668523676880219</v>
      </c>
      <c r="DW3" s="72">
        <f t="shared" ref="DW3:DW53" si="46">ASIN(SQRT(DV3))</f>
        <v>1.2603594577728279</v>
      </c>
      <c r="DX3" s="47">
        <v>0</v>
      </c>
      <c r="DY3" s="47">
        <v>41300</v>
      </c>
      <c r="DZ3" s="48">
        <v>63600</v>
      </c>
      <c r="EA3" s="71">
        <f t="shared" ref="EA3:EA53" si="47">DX3/DZ3</f>
        <v>0</v>
      </c>
      <c r="EB3" s="72">
        <f t="shared" ref="EB3:EB53" si="48">ASIN(SQRT(EA3))</f>
        <v>0</v>
      </c>
      <c r="EC3" s="71">
        <f t="shared" ref="EC3:EC53" si="49">DY3/DZ3</f>
        <v>0.64937106918238996</v>
      </c>
      <c r="ED3" s="72">
        <f t="shared" ref="ED3:ED53" si="50">ASIN(SQRT(EC3))</f>
        <v>0.93708532821703461</v>
      </c>
      <c r="EE3" s="47">
        <v>0</v>
      </c>
      <c r="EF3" s="47">
        <v>184600</v>
      </c>
      <c r="EG3" s="48">
        <v>193100</v>
      </c>
      <c r="EH3" s="48">
        <f t="shared" ref="EH3:EH53" si="51">EE3/EG3</f>
        <v>0</v>
      </c>
      <c r="EI3" s="71">
        <f t="shared" ref="EI3:EI53" si="52">EF3/EG3</f>
        <v>0.95598135680994301</v>
      </c>
      <c r="EJ3" s="72">
        <f t="shared" ref="EJ3:EJ53" si="53">ASIN(SQRT(EI3))</f>
        <v>1.3594195788737067</v>
      </c>
      <c r="EK3" s="47">
        <v>0</v>
      </c>
      <c r="EL3" s="47">
        <v>49500</v>
      </c>
      <c r="EM3" s="48">
        <v>50400</v>
      </c>
      <c r="EN3" s="48">
        <f t="shared" ref="EN3:EN53" si="54">EK3/EM3</f>
        <v>0</v>
      </c>
      <c r="EO3" s="71">
        <f t="shared" ref="EO3:EO53" si="55">EL3/EM3</f>
        <v>0.9821428571428571</v>
      </c>
      <c r="EP3" s="72">
        <f t="shared" ref="EP3:EP53" si="56">ASIN(SQRT(EO3))</f>
        <v>1.4367647653836777</v>
      </c>
      <c r="EQ3" s="43">
        <v>44000</v>
      </c>
      <c r="ER3" s="47">
        <v>354400</v>
      </c>
      <c r="ES3" s="48">
        <v>420600</v>
      </c>
      <c r="ET3" s="68">
        <f t="shared" ref="ET3:ET53" si="57">EQ3/ES3</f>
        <v>0.10461245839277224</v>
      </c>
      <c r="EU3" s="68">
        <f t="shared" si="0"/>
        <v>0</v>
      </c>
      <c r="EV3" s="68">
        <f t="shared" ref="EV3:EV53" si="58">ER3/ES3</f>
        <v>0.842605801236329</v>
      </c>
      <c r="EW3" s="47">
        <v>9000</v>
      </c>
      <c r="EX3" s="47">
        <v>143100</v>
      </c>
      <c r="EY3" s="48">
        <v>224100</v>
      </c>
      <c r="EZ3" s="68">
        <f t="shared" ref="EZ3:EZ53" si="59">EW3/EY3</f>
        <v>4.0160642570281124E-2</v>
      </c>
      <c r="FA3" s="68">
        <f t="shared" ref="FA3:FA53" si="60">ASIN(SQRT(EZ3))</f>
        <v>0.20176741504826792</v>
      </c>
      <c r="FB3" s="68">
        <f t="shared" ref="FB3:FB53" si="61">EX3/EY3</f>
        <v>0.63855421686746983</v>
      </c>
      <c r="FC3" s="47">
        <v>1000</v>
      </c>
      <c r="FD3" s="47">
        <v>67800</v>
      </c>
      <c r="FE3" s="48">
        <v>77700</v>
      </c>
      <c r="FF3" s="68">
        <f t="shared" ref="FF3:FF53" si="62">FC3/FD3</f>
        <v>1.4749262536873156E-2</v>
      </c>
      <c r="FG3" s="68">
        <f t="shared" ref="FG3:FG53" si="63">ASIN(SQRT(FF3))</f>
        <v>0.12174708208472505</v>
      </c>
      <c r="FH3" s="68">
        <f t="shared" si="1"/>
        <v>0.87258687258687262</v>
      </c>
      <c r="FI3" s="47">
        <v>41000</v>
      </c>
      <c r="FJ3" s="47">
        <v>242000</v>
      </c>
      <c r="FK3" s="48">
        <v>297700</v>
      </c>
      <c r="FL3" s="68">
        <f t="shared" si="2"/>
        <v>0.13772253946926435</v>
      </c>
      <c r="FM3" s="68">
        <f t="shared" ref="FM3:FM53" si="64">ASIN(SQRT(FL3))</f>
        <v>0.38020396329754197</v>
      </c>
      <c r="FN3" s="68">
        <f t="shared" ref="FN3:FN53" si="65">FJ3/FK3</f>
        <v>0.81289889150151162</v>
      </c>
      <c r="FO3" s="46">
        <f t="shared" si="3"/>
        <v>95000</v>
      </c>
      <c r="FP3" s="46">
        <f t="shared" si="4"/>
        <v>807300</v>
      </c>
      <c r="FQ3" s="48">
        <f t="shared" si="5"/>
        <v>1020100</v>
      </c>
      <c r="FR3" s="48">
        <v>1072000</v>
      </c>
      <c r="FS3" s="68">
        <f t="shared" ref="FS3:FS53" si="66">FO3/FQ3</f>
        <v>9.3128124693657485E-2</v>
      </c>
      <c r="FT3" s="68">
        <f t="shared" ref="FT3:FT53" si="67">ASIN(SQRT(FS3))</f>
        <v>0.31011590020258395</v>
      </c>
      <c r="FU3" s="68">
        <f t="shared" si="6"/>
        <v>0.79139300068620722</v>
      </c>
      <c r="FV3" s="68">
        <f t="shared" ref="FV3:FV53" si="68">ASIN(SQRT(FU3))</f>
        <v>1.0964746071224309</v>
      </c>
      <c r="FW3" s="47">
        <v>0</v>
      </c>
      <c r="FX3" s="47">
        <v>53700</v>
      </c>
      <c r="FY3" s="48">
        <v>234200</v>
      </c>
      <c r="FZ3" s="48">
        <f t="shared" ref="FZ3:FZ53" si="69">FW3/FY3</f>
        <v>0</v>
      </c>
      <c r="GA3" s="71">
        <f t="shared" ref="GA3:GA53" si="70">FX3/FY3</f>
        <v>0.22929120409906062</v>
      </c>
      <c r="GB3" s="68">
        <f t="shared" ref="GB3:GB53" si="71">ASIN(SQRT(GA3))</f>
        <v>0.49933701740397651</v>
      </c>
      <c r="GC3" s="47">
        <v>0</v>
      </c>
      <c r="GD3" s="47">
        <v>26700</v>
      </c>
      <c r="GE3" s="48">
        <v>54200</v>
      </c>
      <c r="GF3" s="48">
        <f t="shared" ref="GF3:GF50" si="72">GC3/GE3</f>
        <v>0</v>
      </c>
      <c r="GG3" s="68">
        <f t="shared" ref="GG3:GG50" si="73">ASIN(SQRT(GF3))</f>
        <v>0</v>
      </c>
      <c r="GH3" s="71">
        <f t="shared" ref="GH3:GH50" si="74">GD3/GE3</f>
        <v>0.49261992619926198</v>
      </c>
      <c r="GI3" s="68">
        <f t="shared" ref="GI3:GI50" si="75">ASIN(SQRT(GH3))</f>
        <v>0.77801782159754818</v>
      </c>
      <c r="GJ3" s="47">
        <v>0</v>
      </c>
      <c r="GK3" s="47">
        <v>53800</v>
      </c>
      <c r="GL3" s="48">
        <v>73100</v>
      </c>
      <c r="GM3" s="71">
        <f t="shared" ref="GM3:GM53" si="76">GJ3/GL3</f>
        <v>0</v>
      </c>
      <c r="GN3" s="68">
        <f t="shared" ref="GN3:GN53" si="77">ASIN(SQRT(GM3))</f>
        <v>0</v>
      </c>
      <c r="GO3" s="71">
        <f t="shared" ref="GO3:GO53" si="78">GK3/GL3</f>
        <v>0.73597811217510256</v>
      </c>
      <c r="GP3" s="68">
        <f t="shared" ref="GP3:GP53" si="79">ASIN(SQRT(GO3))</f>
        <v>1.0311523413927388</v>
      </c>
      <c r="GQ3" s="47">
        <v>0</v>
      </c>
      <c r="GR3" s="47">
        <v>176000</v>
      </c>
      <c r="GS3" s="48">
        <v>181700</v>
      </c>
      <c r="GT3" s="71">
        <f t="shared" ref="GT3:GT53" si="80">GQ3/GS3</f>
        <v>0</v>
      </c>
      <c r="GU3" s="68">
        <f t="shared" ref="GU3:GU53" si="81">ASIN(SQRT(GT3))</f>
        <v>0</v>
      </c>
      <c r="GV3" s="71">
        <f t="shared" ref="GV3:GV53" si="82">GR3/GS3</f>
        <v>0.96862960924600994</v>
      </c>
      <c r="GW3" s="68">
        <f t="shared" ref="GW3:GW53" si="83">ASIN(SQRT(GV3))</f>
        <v>1.3927400826982177</v>
      </c>
      <c r="GX3" s="40">
        <v>0</v>
      </c>
      <c r="GY3" s="40">
        <v>256500</v>
      </c>
      <c r="GZ3">
        <v>309000</v>
      </c>
      <c r="HA3" s="126">
        <f t="shared" ref="HA3:HA50" si="84">GX3/GZ3</f>
        <v>0</v>
      </c>
      <c r="HB3" s="126">
        <f t="shared" ref="HB3:HB50" si="85">GY3/GZ3</f>
        <v>0.83009708737864074</v>
      </c>
      <c r="HC3" s="68">
        <f t="shared" ref="HC3:HC50" si="86">ASIN(SQRT(HB3))</f>
        <v>1.1459367902733468</v>
      </c>
    </row>
    <row r="4" spans="1:211" x14ac:dyDescent="0.2">
      <c r="A4">
        <v>1963</v>
      </c>
      <c r="B4" s="24"/>
      <c r="F4" s="23">
        <v>230</v>
      </c>
      <c r="G4" s="23">
        <f t="shared" si="7"/>
        <v>227.5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40"/>
      <c r="U4" s="12"/>
      <c r="V4" s="12"/>
      <c r="W4" s="12"/>
      <c r="X4" s="12"/>
      <c r="Y4" s="12"/>
      <c r="Z4" s="12"/>
      <c r="AA4" s="12"/>
      <c r="AC4" s="27"/>
      <c r="AD4" s="13"/>
      <c r="AE4" s="13"/>
      <c r="AF4" s="13"/>
      <c r="AG4" s="41"/>
      <c r="AH4" s="27"/>
      <c r="AI4" s="13"/>
      <c r="AJ4" s="13"/>
      <c r="AK4" s="13"/>
      <c r="AL4" s="41"/>
      <c r="AM4" s="32">
        <v>1302</v>
      </c>
      <c r="AN4" s="85">
        <v>13279</v>
      </c>
      <c r="AO4" s="35"/>
      <c r="AP4" s="35"/>
      <c r="AQ4" s="1">
        <v>22679</v>
      </c>
      <c r="AR4" s="29">
        <v>12.4</v>
      </c>
      <c r="AS4" s="73"/>
      <c r="BA4" s="49">
        <v>192000</v>
      </c>
      <c r="BB4" s="44">
        <v>133000</v>
      </c>
      <c r="BC4" s="45">
        <v>465700</v>
      </c>
      <c r="BD4" s="72">
        <f t="shared" si="8"/>
        <v>0.41228258535537898</v>
      </c>
      <c r="BE4" s="72">
        <f t="shared" si="9"/>
        <v>0.69722444836222697</v>
      </c>
      <c r="BF4" s="72">
        <f t="shared" si="10"/>
        <v>0.28559158256388234</v>
      </c>
      <c r="BG4" s="72">
        <f t="shared" si="11"/>
        <v>0.56380682510825342</v>
      </c>
      <c r="BH4" s="43">
        <v>183000</v>
      </c>
      <c r="BI4" s="47">
        <v>2300</v>
      </c>
      <c r="BJ4" s="48">
        <v>216900</v>
      </c>
      <c r="BK4" s="71">
        <f t="shared" si="12"/>
        <v>0.84370677731673582</v>
      </c>
      <c r="BL4" s="72">
        <f t="shared" si="13"/>
        <v>1.1643590292035588</v>
      </c>
      <c r="BM4" s="71">
        <f t="shared" si="14"/>
        <v>1.0603964960811434E-2</v>
      </c>
      <c r="BN4" s="72">
        <f t="shared" si="15"/>
        <v>0.10315842063682878</v>
      </c>
      <c r="BO4" s="47">
        <v>0</v>
      </c>
      <c r="BP4" s="47">
        <v>87500</v>
      </c>
      <c r="BQ4" s="48">
        <v>118700</v>
      </c>
      <c r="BR4" s="48">
        <f t="shared" si="16"/>
        <v>0</v>
      </c>
      <c r="BS4" s="71">
        <f t="shared" si="17"/>
        <v>0.73715248525695032</v>
      </c>
      <c r="BT4" s="72">
        <f t="shared" si="18"/>
        <v>1.032485353868219</v>
      </c>
      <c r="BU4" s="47">
        <v>0</v>
      </c>
      <c r="BV4" s="47">
        <v>6700</v>
      </c>
      <c r="BW4" s="48">
        <v>54700</v>
      </c>
      <c r="BX4" s="48">
        <f t="shared" si="19"/>
        <v>0</v>
      </c>
      <c r="BY4" s="71">
        <f t="shared" si="20"/>
        <v>0.12248628884826325</v>
      </c>
      <c r="BZ4" s="72">
        <f t="shared" si="21"/>
        <v>0.35755019322383041</v>
      </c>
      <c r="CA4" s="47">
        <v>0</v>
      </c>
      <c r="CB4" s="47">
        <v>1200</v>
      </c>
      <c r="CC4" s="48">
        <v>8800</v>
      </c>
      <c r="CD4" s="48">
        <f t="shared" si="22"/>
        <v>0</v>
      </c>
      <c r="CE4" s="71">
        <f t="shared" si="23"/>
        <v>0.13636363636363635</v>
      </c>
      <c r="CF4" s="72">
        <f t="shared" si="24"/>
        <v>0.37822819233418564</v>
      </c>
      <c r="CG4" s="47">
        <v>0</v>
      </c>
      <c r="CH4" s="47">
        <v>500</v>
      </c>
      <c r="CI4" s="48">
        <v>15300</v>
      </c>
      <c r="CJ4" s="48">
        <f t="shared" si="25"/>
        <v>0</v>
      </c>
      <c r="CK4" s="71">
        <f t="shared" si="26"/>
        <v>3.2679738562091505E-2</v>
      </c>
      <c r="CL4" s="72">
        <f t="shared" si="27"/>
        <v>0.18177476460113504</v>
      </c>
      <c r="CM4" s="47">
        <v>0</v>
      </c>
      <c r="CN4" s="47">
        <v>153600</v>
      </c>
      <c r="CO4" s="48">
        <v>162400</v>
      </c>
      <c r="CP4" s="48">
        <f t="shared" si="28"/>
        <v>0</v>
      </c>
      <c r="CQ4" s="71">
        <f t="shared" si="29"/>
        <v>0.94581280788177335</v>
      </c>
      <c r="CR4" s="72">
        <f t="shared" si="30"/>
        <v>1.335859626032345</v>
      </c>
      <c r="CS4" s="47">
        <v>0</v>
      </c>
      <c r="CT4" s="47">
        <v>27000</v>
      </c>
      <c r="CU4" s="48">
        <v>35800</v>
      </c>
      <c r="CV4" s="48">
        <f t="shared" si="31"/>
        <v>0</v>
      </c>
      <c r="CW4" s="72">
        <f t="shared" si="32"/>
        <v>0.75418994413407825</v>
      </c>
      <c r="CX4" s="72">
        <f t="shared" si="33"/>
        <v>1.0520493487681866</v>
      </c>
      <c r="CY4" s="47">
        <v>0</v>
      </c>
      <c r="CZ4" s="47">
        <v>5600</v>
      </c>
      <c r="DA4" s="48">
        <v>50800</v>
      </c>
      <c r="DB4" s="48">
        <f t="shared" si="34"/>
        <v>0</v>
      </c>
      <c r="DC4" s="71">
        <f t="shared" si="35"/>
        <v>0.11023622047244094</v>
      </c>
      <c r="DD4" s="72">
        <f t="shared" si="36"/>
        <v>0.33844255932580292</v>
      </c>
      <c r="DE4" s="47">
        <v>0</v>
      </c>
      <c r="DF4" s="47">
        <v>9200</v>
      </c>
      <c r="DG4" s="48">
        <v>20600</v>
      </c>
      <c r="DH4" s="48">
        <f t="shared" si="37"/>
        <v>0</v>
      </c>
      <c r="DI4" s="71">
        <f t="shared" si="38"/>
        <v>0.44660194174757284</v>
      </c>
      <c r="DJ4" s="72">
        <f t="shared" si="39"/>
        <v>0.73189807615312752</v>
      </c>
      <c r="DK4" s="47">
        <v>0</v>
      </c>
      <c r="DL4" s="47">
        <v>118500</v>
      </c>
      <c r="DM4" s="48">
        <v>128600</v>
      </c>
      <c r="DN4" s="48">
        <f t="shared" si="40"/>
        <v>0</v>
      </c>
      <c r="DO4" s="71">
        <f t="shared" si="41"/>
        <v>0.92146189735614303</v>
      </c>
      <c r="DP4" s="72">
        <f t="shared" si="42"/>
        <v>1.2867454336375213</v>
      </c>
      <c r="DQ4" s="47">
        <v>0</v>
      </c>
      <c r="DR4" s="47">
        <v>120000</v>
      </c>
      <c r="DS4" s="48">
        <v>133000</v>
      </c>
      <c r="DT4" s="71">
        <f t="shared" si="43"/>
        <v>0</v>
      </c>
      <c r="DU4" s="72">
        <f t="shared" si="44"/>
        <v>0</v>
      </c>
      <c r="DV4" s="71">
        <f t="shared" si="45"/>
        <v>0.90225563909774431</v>
      </c>
      <c r="DW4" s="72">
        <f t="shared" si="46"/>
        <v>1.252824242549111</v>
      </c>
      <c r="DX4" s="47">
        <v>0</v>
      </c>
      <c r="DY4" s="47">
        <v>40900</v>
      </c>
      <c r="DZ4" s="48">
        <v>61000</v>
      </c>
      <c r="EA4" s="71">
        <f t="shared" si="47"/>
        <v>0</v>
      </c>
      <c r="EB4" s="72">
        <f t="shared" si="48"/>
        <v>0</v>
      </c>
      <c r="EC4" s="71">
        <f t="shared" si="49"/>
        <v>0.67049180327868851</v>
      </c>
      <c r="ED4" s="72">
        <f t="shared" si="50"/>
        <v>0.9593796694604122</v>
      </c>
      <c r="EE4" s="47">
        <v>0</v>
      </c>
      <c r="EF4" s="47">
        <v>168500</v>
      </c>
      <c r="EG4" s="48">
        <v>178000</v>
      </c>
      <c r="EH4" s="48">
        <f t="shared" si="51"/>
        <v>0</v>
      </c>
      <c r="EI4" s="71">
        <f t="shared" si="52"/>
        <v>0.9466292134831461</v>
      </c>
      <c r="EJ4" s="72">
        <f t="shared" si="53"/>
        <v>1.337669200199195</v>
      </c>
      <c r="EK4" s="47">
        <v>0</v>
      </c>
      <c r="EL4" s="47">
        <v>61400</v>
      </c>
      <c r="EM4" s="48">
        <v>61800</v>
      </c>
      <c r="EN4" s="48">
        <f t="shared" si="54"/>
        <v>0</v>
      </c>
      <c r="EO4" s="71">
        <f t="shared" si="55"/>
        <v>0.99352750809061485</v>
      </c>
      <c r="EP4" s="72">
        <f t="shared" si="56"/>
        <v>1.4902574870980134</v>
      </c>
      <c r="EQ4" s="43">
        <v>27000</v>
      </c>
      <c r="ER4" s="47">
        <v>395100</v>
      </c>
      <c r="ES4" s="48">
        <v>443800</v>
      </c>
      <c r="ET4" s="68">
        <f t="shared" si="57"/>
        <v>6.0838215412347907E-2</v>
      </c>
      <c r="EU4" s="68">
        <f t="shared" si="0"/>
        <v>0</v>
      </c>
      <c r="EV4" s="68">
        <f t="shared" si="58"/>
        <v>0.8902658855340243</v>
      </c>
      <c r="EW4" s="47">
        <v>8000</v>
      </c>
      <c r="EX4" s="47">
        <v>161100</v>
      </c>
      <c r="EY4" s="48">
        <v>226400</v>
      </c>
      <c r="EZ4" s="68">
        <f t="shared" si="59"/>
        <v>3.5335689045936397E-2</v>
      </c>
      <c r="FA4" s="68">
        <f t="shared" si="60"/>
        <v>0.18910293258040958</v>
      </c>
      <c r="FB4" s="68">
        <f t="shared" si="61"/>
        <v>0.71157243816254412</v>
      </c>
      <c r="FC4" s="47">
        <v>0</v>
      </c>
      <c r="FD4" s="47">
        <v>66200</v>
      </c>
      <c r="FE4" s="48">
        <v>74600</v>
      </c>
      <c r="FF4" s="68">
        <f t="shared" si="62"/>
        <v>0</v>
      </c>
      <c r="FG4" s="68">
        <f t="shared" si="63"/>
        <v>0</v>
      </c>
      <c r="FH4" s="68">
        <f t="shared" si="1"/>
        <v>0.88739946380697055</v>
      </c>
      <c r="FI4" s="47">
        <v>39000</v>
      </c>
      <c r="FJ4" s="47">
        <v>234000</v>
      </c>
      <c r="FK4" s="48">
        <v>283800</v>
      </c>
      <c r="FL4" s="68">
        <f t="shared" si="2"/>
        <v>0.13742071881606766</v>
      </c>
      <c r="FM4" s="68">
        <f t="shared" si="64"/>
        <v>0.37976584331521396</v>
      </c>
      <c r="FN4" s="68">
        <f t="shared" si="65"/>
        <v>0.82452431289640593</v>
      </c>
      <c r="FO4" s="46">
        <f t="shared" si="3"/>
        <v>74000</v>
      </c>
      <c r="FP4" s="46">
        <f t="shared" si="4"/>
        <v>856400</v>
      </c>
      <c r="FQ4" s="48">
        <f t="shared" si="5"/>
        <v>1028600</v>
      </c>
      <c r="FR4" s="48">
        <v>1020100</v>
      </c>
      <c r="FS4" s="68">
        <f t="shared" si="66"/>
        <v>7.1942446043165464E-2</v>
      </c>
      <c r="FT4" s="68">
        <f t="shared" si="67"/>
        <v>0.27154577500698512</v>
      </c>
      <c r="FU4" s="68">
        <f t="shared" si="6"/>
        <v>0.83258798366712039</v>
      </c>
      <c r="FV4" s="68">
        <f t="shared" si="68"/>
        <v>1.1492628921501762</v>
      </c>
      <c r="FW4" s="47">
        <v>0</v>
      </c>
      <c r="FX4" s="47">
        <v>63400</v>
      </c>
      <c r="FY4" s="48">
        <v>244900</v>
      </c>
      <c r="FZ4" s="48">
        <f t="shared" si="69"/>
        <v>0</v>
      </c>
      <c r="GA4" s="71">
        <f t="shared" si="70"/>
        <v>0.25888117599020011</v>
      </c>
      <c r="GB4" s="68">
        <f t="shared" si="71"/>
        <v>0.53379456501659173</v>
      </c>
      <c r="GC4" s="47">
        <v>0</v>
      </c>
      <c r="GD4" s="47">
        <v>23700</v>
      </c>
      <c r="GE4" s="48">
        <v>47200</v>
      </c>
      <c r="GF4" s="48">
        <f t="shared" si="72"/>
        <v>0</v>
      </c>
      <c r="GG4" s="68">
        <f t="shared" si="73"/>
        <v>0</v>
      </c>
      <c r="GH4" s="71">
        <f t="shared" si="74"/>
        <v>0.5021186440677966</v>
      </c>
      <c r="GI4" s="68">
        <f t="shared" si="75"/>
        <v>0.787516813805201</v>
      </c>
      <c r="GJ4" s="47">
        <v>0</v>
      </c>
      <c r="GK4" s="47">
        <v>35100</v>
      </c>
      <c r="GL4" s="48">
        <v>50700</v>
      </c>
      <c r="GM4" s="71">
        <f t="shared" si="76"/>
        <v>0</v>
      </c>
      <c r="GN4" s="68">
        <f t="shared" si="77"/>
        <v>0</v>
      </c>
      <c r="GO4" s="71">
        <f t="shared" si="78"/>
        <v>0.69230769230769229</v>
      </c>
      <c r="GP4" s="68">
        <f t="shared" si="79"/>
        <v>0.98279372324732917</v>
      </c>
      <c r="GQ4" s="47">
        <v>8000</v>
      </c>
      <c r="GR4" s="47">
        <v>172100</v>
      </c>
      <c r="GS4" s="48">
        <v>185300</v>
      </c>
      <c r="GT4" s="71">
        <f t="shared" si="80"/>
        <v>4.317323259579061E-2</v>
      </c>
      <c r="GU4" s="68">
        <f t="shared" si="81"/>
        <v>0.20930661166838191</v>
      </c>
      <c r="GV4" s="71">
        <f t="shared" si="82"/>
        <v>0.92876416621694546</v>
      </c>
      <c r="GW4" s="68">
        <f t="shared" si="83"/>
        <v>1.3006209877813284</v>
      </c>
      <c r="GX4" s="40">
        <v>8000</v>
      </c>
      <c r="GY4" s="40">
        <v>230900</v>
      </c>
      <c r="GZ4">
        <v>283200</v>
      </c>
      <c r="HA4" s="126">
        <f t="shared" si="84"/>
        <v>2.8248587570621469E-2</v>
      </c>
      <c r="HB4" s="126">
        <f t="shared" si="85"/>
        <v>0.81532485875706218</v>
      </c>
      <c r="HC4" s="68">
        <f t="shared" si="86"/>
        <v>1.1265932228835827</v>
      </c>
    </row>
    <row r="5" spans="1:211" x14ac:dyDescent="0.2">
      <c r="A5">
        <v>1964</v>
      </c>
      <c r="B5" s="24"/>
      <c r="F5" s="23">
        <v>264</v>
      </c>
      <c r="G5" s="23">
        <f t="shared" si="7"/>
        <v>261.5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40"/>
      <c r="U5" s="12"/>
      <c r="V5" s="12"/>
      <c r="W5" s="12"/>
      <c r="X5" s="12"/>
      <c r="Y5" s="12"/>
      <c r="Z5" s="12"/>
      <c r="AA5" s="12"/>
      <c r="AC5" s="27"/>
      <c r="AD5" s="13"/>
      <c r="AE5" s="13"/>
      <c r="AF5" s="13"/>
      <c r="AG5" s="41"/>
      <c r="AH5" s="27"/>
      <c r="AI5" s="13"/>
      <c r="AJ5" s="13"/>
      <c r="AK5" s="13"/>
      <c r="AL5" s="41"/>
      <c r="AM5" s="32">
        <v>1645</v>
      </c>
      <c r="AN5" s="31">
        <v>17671</v>
      </c>
      <c r="AO5" s="34"/>
      <c r="AP5" s="34"/>
      <c r="AQ5" s="1">
        <v>31398</v>
      </c>
      <c r="AR5" s="29">
        <v>14.8</v>
      </c>
      <c r="AS5" s="73"/>
      <c r="BA5" s="43">
        <v>166000</v>
      </c>
      <c r="BB5" s="44">
        <v>112700</v>
      </c>
      <c r="BC5" s="45">
        <v>391300</v>
      </c>
      <c r="BD5" s="72">
        <f t="shared" si="8"/>
        <v>0.42422693585484283</v>
      </c>
      <c r="BE5" s="72">
        <f t="shared" si="9"/>
        <v>0.70933202322586175</v>
      </c>
      <c r="BF5" s="72">
        <f t="shared" si="10"/>
        <v>0.28801431127012522</v>
      </c>
      <c r="BG5" s="72">
        <f t="shared" si="11"/>
        <v>0.56648524758126317</v>
      </c>
      <c r="BH5" s="43">
        <v>136000</v>
      </c>
      <c r="BI5" s="47">
        <v>12500</v>
      </c>
      <c r="BJ5" s="48">
        <v>179800</v>
      </c>
      <c r="BK5" s="71">
        <f t="shared" si="12"/>
        <v>0.75639599555061177</v>
      </c>
      <c r="BL5" s="72">
        <f t="shared" si="13"/>
        <v>1.054615047567059</v>
      </c>
      <c r="BM5" s="71">
        <f t="shared" si="14"/>
        <v>6.9521690767519462E-2</v>
      </c>
      <c r="BN5" s="72">
        <f t="shared" si="15"/>
        <v>0.26682452040883853</v>
      </c>
      <c r="BO5" s="47">
        <v>0</v>
      </c>
      <c r="BP5" s="47">
        <v>83700</v>
      </c>
      <c r="BQ5" s="48">
        <v>114000</v>
      </c>
      <c r="BR5" s="48">
        <f t="shared" si="16"/>
        <v>0</v>
      </c>
      <c r="BS5" s="71">
        <f t="shared" si="17"/>
        <v>0.73421052631578942</v>
      </c>
      <c r="BT5" s="72">
        <f t="shared" si="18"/>
        <v>1.0291495584158794</v>
      </c>
      <c r="BU5" s="47">
        <v>0</v>
      </c>
      <c r="BV5" s="47">
        <v>11600</v>
      </c>
      <c r="BW5" s="48">
        <v>53000</v>
      </c>
      <c r="BX5" s="48">
        <f t="shared" si="19"/>
        <v>0</v>
      </c>
      <c r="BY5" s="71">
        <f t="shared" si="20"/>
        <v>0.21886792452830189</v>
      </c>
      <c r="BZ5" s="72">
        <f t="shared" si="21"/>
        <v>0.48683756934249045</v>
      </c>
      <c r="CA5" s="47">
        <v>0</v>
      </c>
      <c r="CB5" s="47">
        <v>1100</v>
      </c>
      <c r="CC5" s="48">
        <v>8600</v>
      </c>
      <c r="CD5" s="48">
        <f t="shared" si="22"/>
        <v>0</v>
      </c>
      <c r="CE5" s="71">
        <f t="shared" si="23"/>
        <v>0.12790697674418605</v>
      </c>
      <c r="CF5" s="72">
        <f t="shared" si="24"/>
        <v>0.36574042892428077</v>
      </c>
      <c r="CG5" s="47">
        <v>0</v>
      </c>
      <c r="CH5" s="47">
        <v>100</v>
      </c>
      <c r="CI5" s="48">
        <v>14500</v>
      </c>
      <c r="CJ5" s="48">
        <f t="shared" si="25"/>
        <v>0</v>
      </c>
      <c r="CK5" s="71">
        <f t="shared" si="26"/>
        <v>6.8965517241379309E-3</v>
      </c>
      <c r="CL5" s="72">
        <f t="shared" si="27"/>
        <v>8.3141231888441219E-2</v>
      </c>
      <c r="CM5" s="47">
        <v>0</v>
      </c>
      <c r="CN5" s="47">
        <v>160900</v>
      </c>
      <c r="CO5" s="48">
        <v>170700</v>
      </c>
      <c r="CP5" s="48">
        <f t="shared" si="28"/>
        <v>0</v>
      </c>
      <c r="CQ5" s="71">
        <f t="shared" si="29"/>
        <v>0.94258933801991795</v>
      </c>
      <c r="CR5" s="72">
        <f t="shared" si="30"/>
        <v>1.3288371198527069</v>
      </c>
      <c r="CS5" s="47">
        <v>0</v>
      </c>
      <c r="CT5" s="47">
        <v>25300</v>
      </c>
      <c r="CU5" s="48">
        <v>32200</v>
      </c>
      <c r="CV5" s="48">
        <f t="shared" si="31"/>
        <v>0</v>
      </c>
      <c r="CW5" s="72">
        <f t="shared" si="32"/>
        <v>0.7857142857142857</v>
      </c>
      <c r="CX5" s="72">
        <f t="shared" si="33"/>
        <v>1.0895209528525531</v>
      </c>
      <c r="CY5" s="47">
        <v>0</v>
      </c>
      <c r="CZ5" s="47">
        <v>5200</v>
      </c>
      <c r="DA5" s="48">
        <v>55900</v>
      </c>
      <c r="DB5" s="48">
        <f t="shared" si="34"/>
        <v>0</v>
      </c>
      <c r="DC5" s="71">
        <f t="shared" si="35"/>
        <v>9.3023255813953487E-2</v>
      </c>
      <c r="DD5" s="72">
        <f t="shared" si="36"/>
        <v>0.30993542688799175</v>
      </c>
      <c r="DE5" s="47">
        <v>0</v>
      </c>
      <c r="DF5" s="47">
        <v>12600</v>
      </c>
      <c r="DG5" s="48">
        <v>23900</v>
      </c>
      <c r="DH5" s="48">
        <f t="shared" si="37"/>
        <v>0</v>
      </c>
      <c r="DI5" s="71">
        <f t="shared" si="38"/>
        <v>0.52719665271966532</v>
      </c>
      <c r="DJ5" s="72">
        <f t="shared" si="39"/>
        <v>0.81260824481660554</v>
      </c>
      <c r="DK5" s="47">
        <v>0</v>
      </c>
      <c r="DL5" s="47">
        <v>99200</v>
      </c>
      <c r="DM5" s="48">
        <v>107700</v>
      </c>
      <c r="DN5" s="48">
        <f t="shared" si="40"/>
        <v>0</v>
      </c>
      <c r="DO5" s="71">
        <f t="shared" si="41"/>
        <v>0.92107706592386263</v>
      </c>
      <c r="DP5" s="72">
        <f t="shared" si="42"/>
        <v>1.2860309768741416</v>
      </c>
      <c r="DQ5" s="47">
        <v>0</v>
      </c>
      <c r="DR5" s="47">
        <v>102400</v>
      </c>
      <c r="DS5" s="48">
        <v>115000</v>
      </c>
      <c r="DT5" s="71">
        <f t="shared" si="43"/>
        <v>0</v>
      </c>
      <c r="DU5" s="72">
        <f t="shared" si="44"/>
        <v>0</v>
      </c>
      <c r="DV5" s="71">
        <f t="shared" si="45"/>
        <v>0.89043478260869569</v>
      </c>
      <c r="DW5" s="72">
        <f t="shared" si="46"/>
        <v>1.2334264605982186</v>
      </c>
      <c r="DX5" s="47">
        <v>0</v>
      </c>
      <c r="DY5" s="47">
        <v>39100</v>
      </c>
      <c r="DZ5" s="48">
        <v>66500</v>
      </c>
      <c r="EA5" s="71">
        <f t="shared" si="47"/>
        <v>0</v>
      </c>
      <c r="EB5" s="72">
        <f t="shared" si="48"/>
        <v>0</v>
      </c>
      <c r="EC5" s="71">
        <f t="shared" si="49"/>
        <v>0.58796992481203003</v>
      </c>
      <c r="ED5" s="72">
        <f t="shared" si="50"/>
        <v>0.87382837819628767</v>
      </c>
      <c r="EE5" s="47">
        <v>0</v>
      </c>
      <c r="EF5" s="47">
        <v>178400</v>
      </c>
      <c r="EG5" s="48">
        <v>184400</v>
      </c>
      <c r="EH5" s="48">
        <f t="shared" si="51"/>
        <v>0</v>
      </c>
      <c r="EI5" s="71">
        <f t="shared" si="52"/>
        <v>0.96746203904555317</v>
      </c>
      <c r="EJ5" s="72">
        <f t="shared" si="53"/>
        <v>1.3894206873524755</v>
      </c>
      <c r="EK5" s="47">
        <v>0</v>
      </c>
      <c r="EL5" s="47">
        <v>32800</v>
      </c>
      <c r="EM5" s="48">
        <v>33500</v>
      </c>
      <c r="EN5" s="48">
        <f t="shared" si="54"/>
        <v>0</v>
      </c>
      <c r="EO5" s="71">
        <f t="shared" si="55"/>
        <v>0.9791044776119403</v>
      </c>
      <c r="EP5" s="72">
        <f t="shared" si="56"/>
        <v>1.4257352796276517</v>
      </c>
      <c r="EQ5" s="43">
        <v>19000</v>
      </c>
      <c r="ER5" s="47">
        <v>419500</v>
      </c>
      <c r="ES5" s="48">
        <v>458500</v>
      </c>
      <c r="ET5" s="68">
        <f t="shared" si="57"/>
        <v>4.1439476553980371E-2</v>
      </c>
      <c r="EU5" s="68">
        <f t="shared" si="0"/>
        <v>0</v>
      </c>
      <c r="EV5" s="68">
        <f t="shared" si="58"/>
        <v>0.9149400218102508</v>
      </c>
      <c r="EW5" s="47">
        <v>12000</v>
      </c>
      <c r="EX5" s="47">
        <v>145400</v>
      </c>
      <c r="EY5" s="48">
        <v>215900</v>
      </c>
      <c r="EZ5" s="68">
        <f t="shared" si="59"/>
        <v>5.5581287633163501E-2</v>
      </c>
      <c r="FA5" s="68">
        <f t="shared" si="60"/>
        <v>0.23799728721998736</v>
      </c>
      <c r="FB5" s="68">
        <f t="shared" si="61"/>
        <v>0.67345993515516445</v>
      </c>
      <c r="FC5" s="47">
        <v>0</v>
      </c>
      <c r="FD5" s="47">
        <v>47100</v>
      </c>
      <c r="FE5" s="48">
        <v>53200</v>
      </c>
      <c r="FF5" s="68">
        <f t="shared" si="62"/>
        <v>0</v>
      </c>
      <c r="FG5" s="68">
        <f t="shared" si="63"/>
        <v>0</v>
      </c>
      <c r="FH5" s="68">
        <f t="shared" si="1"/>
        <v>0.88533834586466165</v>
      </c>
      <c r="FI5" s="47">
        <v>34000</v>
      </c>
      <c r="FJ5" s="47">
        <v>230500</v>
      </c>
      <c r="FK5" s="48">
        <v>273900</v>
      </c>
      <c r="FL5" s="68">
        <f t="shared" si="2"/>
        <v>0.12413289521723257</v>
      </c>
      <c r="FM5" s="68">
        <f t="shared" si="64"/>
        <v>0.36005422870502696</v>
      </c>
      <c r="FN5" s="68">
        <f t="shared" si="65"/>
        <v>0.84154801022270898</v>
      </c>
      <c r="FO5" s="46">
        <f t="shared" si="3"/>
        <v>65000</v>
      </c>
      <c r="FP5" s="46">
        <f t="shared" si="4"/>
        <v>842500</v>
      </c>
      <c r="FQ5" s="48">
        <f t="shared" si="5"/>
        <v>1001500</v>
      </c>
      <c r="FR5" s="48">
        <v>1028600</v>
      </c>
      <c r="FS5" s="68">
        <f t="shared" si="66"/>
        <v>6.4902646030953567E-2</v>
      </c>
      <c r="FT5" s="68">
        <f t="shared" si="67"/>
        <v>0.25759948243729625</v>
      </c>
      <c r="FU5" s="68">
        <f t="shared" si="6"/>
        <v>0.84123814278582132</v>
      </c>
      <c r="FV5" s="68">
        <f t="shared" si="68"/>
        <v>1.1609707925513442</v>
      </c>
      <c r="FW5" s="47">
        <v>0</v>
      </c>
      <c r="FX5" s="47">
        <v>64900</v>
      </c>
      <c r="FY5" s="48">
        <v>247000</v>
      </c>
      <c r="FZ5" s="48">
        <f t="shared" si="69"/>
        <v>0</v>
      </c>
      <c r="GA5" s="71">
        <f t="shared" si="70"/>
        <v>0.26275303643724696</v>
      </c>
      <c r="GB5" s="68">
        <f t="shared" si="71"/>
        <v>0.53820364898551909</v>
      </c>
      <c r="GC5" s="47">
        <v>0</v>
      </c>
      <c r="GD5" s="47">
        <v>26800</v>
      </c>
      <c r="GE5" s="48">
        <v>55000</v>
      </c>
      <c r="GF5" s="48">
        <f t="shared" si="72"/>
        <v>0</v>
      </c>
      <c r="GG5" s="68">
        <f t="shared" si="73"/>
        <v>0</v>
      </c>
      <c r="GH5" s="71">
        <f t="shared" si="74"/>
        <v>0.48727272727272725</v>
      </c>
      <c r="GI5" s="68">
        <f t="shared" si="75"/>
        <v>0.77266951586407617</v>
      </c>
      <c r="GJ5" s="47">
        <v>0</v>
      </c>
      <c r="GK5" s="47">
        <v>45500</v>
      </c>
      <c r="GL5" s="48">
        <v>58700</v>
      </c>
      <c r="GM5" s="71">
        <f t="shared" si="76"/>
        <v>0</v>
      </c>
      <c r="GN5" s="68">
        <f t="shared" si="77"/>
        <v>0</v>
      </c>
      <c r="GO5" s="71">
        <f t="shared" si="78"/>
        <v>0.77512776831345831</v>
      </c>
      <c r="GP5" s="68">
        <f t="shared" si="79"/>
        <v>1.0767332835273646</v>
      </c>
      <c r="GQ5" s="47">
        <v>4000</v>
      </c>
      <c r="GR5" s="47">
        <v>220500</v>
      </c>
      <c r="GS5" s="48">
        <v>228900</v>
      </c>
      <c r="GT5" s="71">
        <f t="shared" si="80"/>
        <v>1.7474879860200961E-2</v>
      </c>
      <c r="GU5" s="68">
        <f t="shared" si="81"/>
        <v>0.13258065397272556</v>
      </c>
      <c r="GV5" s="71">
        <f t="shared" si="82"/>
        <v>0.96330275229357798</v>
      </c>
      <c r="GW5" s="68">
        <f t="shared" si="83"/>
        <v>1.3780396349176347</v>
      </c>
      <c r="GX5" s="40">
        <v>4000</v>
      </c>
      <c r="GY5" s="40">
        <v>292800</v>
      </c>
      <c r="GZ5">
        <v>342600</v>
      </c>
      <c r="HA5" s="126">
        <f t="shared" si="84"/>
        <v>1.1675423234092236E-2</v>
      </c>
      <c r="HB5" s="126">
        <f t="shared" si="85"/>
        <v>0.85464098073555161</v>
      </c>
      <c r="HC5" s="68">
        <f t="shared" si="86"/>
        <v>1.1796377052784059</v>
      </c>
    </row>
    <row r="6" spans="1:211" x14ac:dyDescent="0.2">
      <c r="A6">
        <v>1965</v>
      </c>
      <c r="B6" s="24"/>
      <c r="F6" s="23">
        <v>212</v>
      </c>
      <c r="G6" s="23">
        <f t="shared" si="7"/>
        <v>209.50000000000003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40"/>
      <c r="U6" s="12"/>
      <c r="V6" s="12"/>
      <c r="W6" s="12"/>
      <c r="X6" s="12"/>
      <c r="Y6" s="12"/>
      <c r="Z6" s="12"/>
      <c r="AA6" s="12"/>
      <c r="AC6" s="27"/>
      <c r="AD6" s="13"/>
      <c r="AE6" s="13"/>
      <c r="AF6" s="13"/>
      <c r="AG6" s="41"/>
      <c r="AH6" s="27"/>
      <c r="AI6" s="13"/>
      <c r="AJ6" s="13"/>
      <c r="AK6" s="13"/>
      <c r="AL6" s="41"/>
      <c r="AM6" s="32">
        <v>1686</v>
      </c>
      <c r="AN6" s="31">
        <v>21777</v>
      </c>
      <c r="AO6" s="34"/>
      <c r="AP6" s="34"/>
      <c r="AQ6" s="1">
        <v>38018</v>
      </c>
      <c r="AR6" s="29">
        <v>21.7</v>
      </c>
      <c r="AS6" s="73"/>
      <c r="BA6" s="43">
        <v>169000</v>
      </c>
      <c r="BB6" s="44">
        <v>114000</v>
      </c>
      <c r="BC6" s="45">
        <v>397100</v>
      </c>
      <c r="BD6" s="72">
        <f t="shared" si="8"/>
        <v>0.42558549483757241</v>
      </c>
      <c r="BE6" s="72">
        <f t="shared" si="9"/>
        <v>0.71070616888388027</v>
      </c>
      <c r="BF6" s="72">
        <f t="shared" si="10"/>
        <v>0.28708133971291866</v>
      </c>
      <c r="BG6" s="72">
        <f t="shared" si="11"/>
        <v>0.56545461080829917</v>
      </c>
      <c r="BH6" s="43">
        <v>194000</v>
      </c>
      <c r="BI6" s="47">
        <v>13600</v>
      </c>
      <c r="BJ6" s="48">
        <v>240800</v>
      </c>
      <c r="BK6" s="71">
        <f t="shared" si="12"/>
        <v>0.80564784053156147</v>
      </c>
      <c r="BL6" s="72">
        <f t="shared" si="13"/>
        <v>1.1142465405251611</v>
      </c>
      <c r="BM6" s="71">
        <f t="shared" si="14"/>
        <v>5.647840531561462E-2</v>
      </c>
      <c r="BN6" s="72">
        <f t="shared" si="15"/>
        <v>0.23994773320414986</v>
      </c>
      <c r="BO6" s="47">
        <v>0</v>
      </c>
      <c r="BP6" s="47">
        <v>83900</v>
      </c>
      <c r="BQ6" s="48">
        <v>117800</v>
      </c>
      <c r="BR6" s="48">
        <f t="shared" si="16"/>
        <v>0</v>
      </c>
      <c r="BS6" s="71">
        <f t="shared" si="17"/>
        <v>0.71222410865874364</v>
      </c>
      <c r="BT6" s="72">
        <f t="shared" si="18"/>
        <v>1.0045743625922468</v>
      </c>
      <c r="BU6" s="47">
        <v>0</v>
      </c>
      <c r="BV6" s="47">
        <v>13600</v>
      </c>
      <c r="BW6" s="48">
        <v>58200</v>
      </c>
      <c r="BX6" s="48">
        <f t="shared" si="19"/>
        <v>0</v>
      </c>
      <c r="BY6" s="71">
        <f t="shared" si="20"/>
        <v>0.23367697594501718</v>
      </c>
      <c r="BZ6" s="72">
        <f t="shared" si="21"/>
        <v>0.50453617964952646</v>
      </c>
      <c r="CA6" s="47">
        <v>0</v>
      </c>
      <c r="CB6" s="47">
        <v>1700</v>
      </c>
      <c r="CC6" s="48">
        <v>9200</v>
      </c>
      <c r="CD6" s="48">
        <f t="shared" si="22"/>
        <v>0</v>
      </c>
      <c r="CE6" s="71">
        <f t="shared" si="23"/>
        <v>0.18478260869565216</v>
      </c>
      <c r="CF6" s="72">
        <f t="shared" si="24"/>
        <v>0.44434156525451096</v>
      </c>
      <c r="CG6" s="47">
        <v>0</v>
      </c>
      <c r="CH6" s="47">
        <v>0</v>
      </c>
      <c r="CI6" s="48">
        <v>13400</v>
      </c>
      <c r="CJ6" s="48">
        <f t="shared" si="25"/>
        <v>0</v>
      </c>
      <c r="CK6" s="71">
        <f t="shared" si="26"/>
        <v>0</v>
      </c>
      <c r="CL6" s="72">
        <f t="shared" si="27"/>
        <v>0</v>
      </c>
      <c r="CM6" s="47">
        <v>0</v>
      </c>
      <c r="CN6" s="47">
        <v>212400</v>
      </c>
      <c r="CO6" s="48">
        <v>224600</v>
      </c>
      <c r="CP6" s="48">
        <f t="shared" si="28"/>
        <v>0</v>
      </c>
      <c r="CQ6" s="71">
        <f t="shared" si="29"/>
        <v>0.94568121104185221</v>
      </c>
      <c r="CR6" s="72">
        <f t="shared" si="30"/>
        <v>1.3355691460480688</v>
      </c>
      <c r="CS6" s="47">
        <v>0</v>
      </c>
      <c r="CT6" s="47">
        <v>31600</v>
      </c>
      <c r="CU6" s="48">
        <v>40000</v>
      </c>
      <c r="CV6" s="48">
        <f t="shared" si="31"/>
        <v>0</v>
      </c>
      <c r="CW6" s="72">
        <f t="shared" si="32"/>
        <v>0.79</v>
      </c>
      <c r="CX6" s="72">
        <f t="shared" si="33"/>
        <v>1.0947625087335739</v>
      </c>
      <c r="CY6" s="47">
        <v>0</v>
      </c>
      <c r="CZ6" s="47">
        <v>6600</v>
      </c>
      <c r="DA6" s="48">
        <v>54900</v>
      </c>
      <c r="DB6" s="48">
        <f t="shared" si="34"/>
        <v>0</v>
      </c>
      <c r="DC6" s="71">
        <f t="shared" si="35"/>
        <v>0.12021857923497267</v>
      </c>
      <c r="DD6" s="72">
        <f t="shared" si="36"/>
        <v>0.35407778930286093</v>
      </c>
      <c r="DE6" s="47">
        <v>0</v>
      </c>
      <c r="DF6" s="47">
        <v>12500</v>
      </c>
      <c r="DG6" s="48">
        <v>24500</v>
      </c>
      <c r="DH6" s="48">
        <f t="shared" si="37"/>
        <v>0</v>
      </c>
      <c r="DI6" s="71">
        <f t="shared" si="38"/>
        <v>0.51020408163265307</v>
      </c>
      <c r="DJ6" s="72">
        <f t="shared" si="39"/>
        <v>0.79560295348453536</v>
      </c>
      <c r="DK6" s="47">
        <v>0</v>
      </c>
      <c r="DL6" s="47">
        <v>80800</v>
      </c>
      <c r="DM6" s="48">
        <v>89300</v>
      </c>
      <c r="DN6" s="48">
        <f t="shared" si="40"/>
        <v>0</v>
      </c>
      <c r="DO6" s="71">
        <f t="shared" si="41"/>
        <v>0.90481522956326987</v>
      </c>
      <c r="DP6" s="72">
        <f t="shared" si="42"/>
        <v>1.2571592811755359</v>
      </c>
      <c r="DQ6" s="47">
        <v>0</v>
      </c>
      <c r="DR6" s="47">
        <v>106400</v>
      </c>
      <c r="DS6" s="48">
        <v>119700</v>
      </c>
      <c r="DT6" s="71">
        <f t="shared" si="43"/>
        <v>0</v>
      </c>
      <c r="DU6" s="72">
        <f t="shared" si="44"/>
        <v>0</v>
      </c>
      <c r="DV6" s="71">
        <f t="shared" si="45"/>
        <v>0.88888888888888884</v>
      </c>
      <c r="DW6" s="72">
        <f t="shared" si="46"/>
        <v>1.2309594173407747</v>
      </c>
      <c r="DX6" s="47">
        <v>0</v>
      </c>
      <c r="DY6" s="47">
        <v>40000</v>
      </c>
      <c r="DZ6" s="48">
        <v>62300</v>
      </c>
      <c r="EA6" s="71">
        <f t="shared" si="47"/>
        <v>0</v>
      </c>
      <c r="EB6" s="72">
        <f t="shared" si="48"/>
        <v>0</v>
      </c>
      <c r="EC6" s="71">
        <f t="shared" si="49"/>
        <v>0.6420545746388443</v>
      </c>
      <c r="ED6" s="72">
        <f t="shared" si="50"/>
        <v>0.92943674408498123</v>
      </c>
      <c r="EE6" s="47">
        <v>0</v>
      </c>
      <c r="EF6" s="47">
        <v>126100</v>
      </c>
      <c r="EG6" s="48">
        <v>133000</v>
      </c>
      <c r="EH6" s="48">
        <f t="shared" si="51"/>
        <v>0</v>
      </c>
      <c r="EI6" s="71">
        <f t="shared" si="52"/>
        <v>0.9481203007518797</v>
      </c>
      <c r="EJ6" s="72">
        <f t="shared" si="53"/>
        <v>1.3410082710322038</v>
      </c>
      <c r="EK6" s="47">
        <v>0</v>
      </c>
      <c r="EL6" s="47">
        <v>38300</v>
      </c>
      <c r="EM6" s="48">
        <v>39400</v>
      </c>
      <c r="EN6" s="48">
        <f t="shared" si="54"/>
        <v>0</v>
      </c>
      <c r="EO6" s="71">
        <f t="shared" si="55"/>
        <v>0.97208121827411165</v>
      </c>
      <c r="EP6" s="72">
        <f t="shared" si="56"/>
        <v>1.4029197627875147</v>
      </c>
      <c r="EQ6" s="43">
        <v>35000</v>
      </c>
      <c r="ER6" s="47">
        <v>442100</v>
      </c>
      <c r="ES6" s="48">
        <v>492700</v>
      </c>
      <c r="ET6" s="68">
        <f t="shared" si="57"/>
        <v>7.1037142277247819E-2</v>
      </c>
      <c r="EU6" s="68">
        <f t="shared" si="0"/>
        <v>0</v>
      </c>
      <c r="EV6" s="68">
        <f t="shared" si="58"/>
        <v>0.89730058859346462</v>
      </c>
      <c r="EW6" s="47">
        <v>13000</v>
      </c>
      <c r="EX6" s="47">
        <v>161900</v>
      </c>
      <c r="EY6" s="48">
        <v>228400</v>
      </c>
      <c r="EZ6" s="68">
        <f t="shared" si="59"/>
        <v>5.6917688266199647E-2</v>
      </c>
      <c r="FA6" s="68">
        <f t="shared" si="60"/>
        <v>0.24089747537303804</v>
      </c>
      <c r="FB6" s="68">
        <f t="shared" si="61"/>
        <v>0.70884413309982486</v>
      </c>
      <c r="FC6" s="47">
        <v>0</v>
      </c>
      <c r="FD6" s="47">
        <v>57100</v>
      </c>
      <c r="FE6" s="48">
        <v>63300</v>
      </c>
      <c r="FF6" s="68">
        <f t="shared" si="62"/>
        <v>0</v>
      </c>
      <c r="FG6" s="68">
        <f t="shared" si="63"/>
        <v>0</v>
      </c>
      <c r="FH6" s="68">
        <f t="shared" si="1"/>
        <v>0.90205371248025279</v>
      </c>
      <c r="FI6" s="47">
        <v>44000</v>
      </c>
      <c r="FJ6" s="47">
        <v>235400</v>
      </c>
      <c r="FK6" s="48">
        <v>287100</v>
      </c>
      <c r="FL6" s="68">
        <f t="shared" si="2"/>
        <v>0.1532567049808429</v>
      </c>
      <c r="FM6" s="68">
        <f t="shared" si="64"/>
        <v>0.40223957194068838</v>
      </c>
      <c r="FN6" s="68">
        <f t="shared" si="65"/>
        <v>0.81992337164750961</v>
      </c>
      <c r="FO6" s="46">
        <f t="shared" si="3"/>
        <v>92000</v>
      </c>
      <c r="FP6" s="46">
        <f t="shared" si="4"/>
        <v>896500</v>
      </c>
      <c r="FQ6" s="48">
        <f t="shared" si="5"/>
        <v>1071500</v>
      </c>
      <c r="FR6" s="48">
        <v>1001500</v>
      </c>
      <c r="FS6" s="68">
        <f t="shared" si="66"/>
        <v>8.5860942603826415E-2</v>
      </c>
      <c r="FT6" s="68">
        <f t="shared" si="67"/>
        <v>0.29738435675345909</v>
      </c>
      <c r="FU6" s="68">
        <f t="shared" si="6"/>
        <v>0.83667755482967798</v>
      </c>
      <c r="FV6" s="68">
        <f t="shared" si="68"/>
        <v>1.1547669483720038</v>
      </c>
      <c r="FW6" s="47">
        <v>0</v>
      </c>
      <c r="FX6" s="47">
        <v>74400</v>
      </c>
      <c r="FY6" s="48">
        <v>241300</v>
      </c>
      <c r="FZ6" s="48">
        <f t="shared" si="69"/>
        <v>0</v>
      </c>
      <c r="GA6" s="71">
        <f t="shared" si="70"/>
        <v>0.30832987981765436</v>
      </c>
      <c r="GB6" s="68">
        <f t="shared" si="71"/>
        <v>0.58869310823757537</v>
      </c>
      <c r="GC6" s="47">
        <v>0</v>
      </c>
      <c r="GD6" s="47">
        <v>32100</v>
      </c>
      <c r="GE6" s="48">
        <v>55700</v>
      </c>
      <c r="GF6" s="48">
        <f t="shared" si="72"/>
        <v>0</v>
      </c>
      <c r="GG6" s="68">
        <f t="shared" si="73"/>
        <v>0</v>
      </c>
      <c r="GH6" s="71">
        <f t="shared" si="74"/>
        <v>0.57630161579892281</v>
      </c>
      <c r="GI6" s="68">
        <f t="shared" si="75"/>
        <v>0.86199907517520669</v>
      </c>
      <c r="GJ6" s="47">
        <v>0</v>
      </c>
      <c r="GK6" s="47">
        <v>42700</v>
      </c>
      <c r="GL6" s="48">
        <v>58800</v>
      </c>
      <c r="GM6" s="71">
        <f t="shared" si="76"/>
        <v>0</v>
      </c>
      <c r="GN6" s="68">
        <f t="shared" si="77"/>
        <v>0</v>
      </c>
      <c r="GO6" s="71">
        <f t="shared" si="78"/>
        <v>0.72619047619047616</v>
      </c>
      <c r="GP6" s="68">
        <f t="shared" si="79"/>
        <v>1.0201148086015077</v>
      </c>
      <c r="GQ6" s="47">
        <v>3000</v>
      </c>
      <c r="GR6" s="47">
        <v>199200</v>
      </c>
      <c r="GS6" s="48">
        <v>205500</v>
      </c>
      <c r="GT6" s="71">
        <f t="shared" si="80"/>
        <v>1.4598540145985401E-2</v>
      </c>
      <c r="GU6" s="68">
        <f t="shared" si="81"/>
        <v>0.12112034353770552</v>
      </c>
      <c r="GV6" s="71">
        <f t="shared" si="82"/>
        <v>0.96934306569343065</v>
      </c>
      <c r="GW6" s="68">
        <f t="shared" si="83"/>
        <v>1.3947979110802486</v>
      </c>
      <c r="GX6" s="40">
        <v>3000</v>
      </c>
      <c r="GY6" s="40">
        <v>274000</v>
      </c>
      <c r="GZ6">
        <v>320000</v>
      </c>
      <c r="HA6" s="126">
        <f t="shared" si="84"/>
        <v>9.3749999999999997E-3</v>
      </c>
      <c r="HB6" s="126">
        <f t="shared" si="85"/>
        <v>0.85624999999999996</v>
      </c>
      <c r="HC6" s="68">
        <f t="shared" si="86"/>
        <v>1.1819255197103988</v>
      </c>
    </row>
    <row r="7" spans="1:211" x14ac:dyDescent="0.2">
      <c r="A7">
        <v>1966</v>
      </c>
      <c r="B7" s="24"/>
      <c r="F7" s="23">
        <v>180</v>
      </c>
      <c r="G7" s="23">
        <f t="shared" si="7"/>
        <v>177.5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40"/>
      <c r="U7" s="12"/>
      <c r="V7" s="12"/>
      <c r="W7" s="12"/>
      <c r="X7" s="12"/>
      <c r="Y7" s="12"/>
      <c r="Z7" s="12"/>
      <c r="AA7" s="12"/>
      <c r="AC7" s="27"/>
      <c r="AD7" s="13"/>
      <c r="AE7" s="13"/>
      <c r="AF7" s="13"/>
      <c r="AG7" s="41"/>
      <c r="AH7" s="27"/>
      <c r="AI7" s="13"/>
      <c r="AJ7" s="13"/>
      <c r="AK7" s="13"/>
      <c r="AL7" s="41"/>
      <c r="AM7" s="32">
        <v>1443</v>
      </c>
      <c r="AN7" s="31">
        <v>24644</v>
      </c>
      <c r="AO7" s="34"/>
      <c r="AP7" s="34"/>
      <c r="AQ7" s="1">
        <v>49354</v>
      </c>
      <c r="AR7" s="29">
        <v>12.7</v>
      </c>
      <c r="AS7" s="73"/>
      <c r="BA7" s="43">
        <v>214000</v>
      </c>
      <c r="BB7" s="44">
        <v>132700</v>
      </c>
      <c r="BC7" s="45">
        <v>445000</v>
      </c>
      <c r="BD7" s="72">
        <f t="shared" si="8"/>
        <v>0.48089887640449436</v>
      </c>
      <c r="BE7" s="72">
        <f t="shared" si="9"/>
        <v>0.76629239068087396</v>
      </c>
      <c r="BF7" s="72">
        <f t="shared" si="10"/>
        <v>0.29820224719101124</v>
      </c>
      <c r="BG7" s="72">
        <f t="shared" si="11"/>
        <v>0.57767654411147273</v>
      </c>
      <c r="BH7" s="43">
        <v>191000</v>
      </c>
      <c r="BI7" s="47">
        <v>22200</v>
      </c>
      <c r="BJ7" s="48">
        <v>246000</v>
      </c>
      <c r="BK7" s="71">
        <f t="shared" si="12"/>
        <v>0.77642276422764223</v>
      </c>
      <c r="BL7" s="72">
        <f t="shared" si="13"/>
        <v>1.0782857744973751</v>
      </c>
      <c r="BM7" s="71">
        <f t="shared" si="14"/>
        <v>9.0243902439024387E-2</v>
      </c>
      <c r="BN7" s="72">
        <f t="shared" si="15"/>
        <v>0.30511852627758029</v>
      </c>
      <c r="BO7" s="47">
        <v>0</v>
      </c>
      <c r="BP7" s="47">
        <v>89600</v>
      </c>
      <c r="BQ7" s="48">
        <v>124400</v>
      </c>
      <c r="BR7" s="48">
        <f t="shared" si="16"/>
        <v>0</v>
      </c>
      <c r="BS7" s="71">
        <f t="shared" si="17"/>
        <v>0.72025723472668812</v>
      </c>
      <c r="BT7" s="72">
        <f t="shared" si="18"/>
        <v>1.0134839939633784</v>
      </c>
      <c r="BU7" s="47">
        <v>1000</v>
      </c>
      <c r="BV7" s="47">
        <v>28300</v>
      </c>
      <c r="BW7" s="48">
        <v>76900</v>
      </c>
      <c r="BX7" s="48">
        <f t="shared" si="19"/>
        <v>1.3003901170351105E-2</v>
      </c>
      <c r="BY7" s="71">
        <f t="shared" si="20"/>
        <v>0.3680104031209363</v>
      </c>
      <c r="BZ7" s="72">
        <f t="shared" si="21"/>
        <v>0.65182545277277304</v>
      </c>
      <c r="CA7" s="47">
        <v>0</v>
      </c>
      <c r="CB7" s="47">
        <v>5200</v>
      </c>
      <c r="CC7" s="48">
        <v>13800</v>
      </c>
      <c r="CD7" s="48">
        <f t="shared" si="22"/>
        <v>0</v>
      </c>
      <c r="CE7" s="71">
        <f t="shared" si="23"/>
        <v>0.37681159420289856</v>
      </c>
      <c r="CF7" s="72">
        <f t="shared" si="24"/>
        <v>0.66092814363531671</v>
      </c>
      <c r="CG7" s="47">
        <v>0</v>
      </c>
      <c r="CH7" s="47">
        <v>1000</v>
      </c>
      <c r="CI7" s="48">
        <v>13300</v>
      </c>
      <c r="CJ7" s="48">
        <f t="shared" si="25"/>
        <v>0</v>
      </c>
      <c r="CK7" s="71">
        <f t="shared" si="26"/>
        <v>7.5187969924812026E-2</v>
      </c>
      <c r="CL7" s="72">
        <f t="shared" si="27"/>
        <v>0.27776213762302637</v>
      </c>
      <c r="CM7" s="47">
        <v>0</v>
      </c>
      <c r="CN7" s="47">
        <v>167600</v>
      </c>
      <c r="CO7" s="48">
        <v>182400</v>
      </c>
      <c r="CP7" s="48">
        <f t="shared" si="28"/>
        <v>0</v>
      </c>
      <c r="CQ7" s="71">
        <f t="shared" si="29"/>
        <v>0.91885964912280704</v>
      </c>
      <c r="CR7" s="72">
        <f t="shared" si="30"/>
        <v>1.2819448681146126</v>
      </c>
      <c r="CS7" s="47">
        <v>0</v>
      </c>
      <c r="CT7" s="47">
        <v>56800</v>
      </c>
      <c r="CU7" s="48">
        <v>62500</v>
      </c>
      <c r="CV7" s="48">
        <f t="shared" si="31"/>
        <v>0</v>
      </c>
      <c r="CW7" s="72">
        <f t="shared" si="32"/>
        <v>0.90880000000000005</v>
      </c>
      <c r="CX7" s="72">
        <f t="shared" si="33"/>
        <v>1.2640133568842731</v>
      </c>
      <c r="CY7" s="47">
        <v>0</v>
      </c>
      <c r="CZ7" s="47">
        <v>8300</v>
      </c>
      <c r="DA7" s="48">
        <v>59300</v>
      </c>
      <c r="DB7" s="48">
        <f t="shared" si="34"/>
        <v>0</v>
      </c>
      <c r="DC7" s="71">
        <f t="shared" si="35"/>
        <v>0.1399662731871838</v>
      </c>
      <c r="DD7" s="72">
        <f t="shared" si="36"/>
        <v>0.38344840195079966</v>
      </c>
      <c r="DE7" s="47">
        <v>0</v>
      </c>
      <c r="DF7" s="47">
        <v>10200</v>
      </c>
      <c r="DG7" s="48">
        <v>21200</v>
      </c>
      <c r="DH7" s="48">
        <f t="shared" si="37"/>
        <v>0</v>
      </c>
      <c r="DI7" s="71">
        <f t="shared" si="38"/>
        <v>0.48113207547169812</v>
      </c>
      <c r="DJ7" s="72">
        <f t="shared" si="39"/>
        <v>0.76652575802773104</v>
      </c>
      <c r="DK7" s="47">
        <v>0</v>
      </c>
      <c r="DL7" s="47">
        <v>109100</v>
      </c>
      <c r="DM7" s="48">
        <v>115400</v>
      </c>
      <c r="DN7" s="48">
        <f t="shared" si="40"/>
        <v>0</v>
      </c>
      <c r="DO7" s="71">
        <f t="shared" si="41"/>
        <v>0.94540727902946275</v>
      </c>
      <c r="DP7" s="72">
        <f t="shared" si="42"/>
        <v>1.3349655445567046</v>
      </c>
      <c r="DQ7" s="47">
        <v>0</v>
      </c>
      <c r="DR7" s="47">
        <v>109600</v>
      </c>
      <c r="DS7" s="48">
        <v>122000</v>
      </c>
      <c r="DT7" s="71">
        <f t="shared" si="43"/>
        <v>0</v>
      </c>
      <c r="DU7" s="72">
        <f t="shared" si="44"/>
        <v>0</v>
      </c>
      <c r="DV7" s="71">
        <f t="shared" si="45"/>
        <v>0.89836065573770496</v>
      </c>
      <c r="DW7" s="72">
        <f t="shared" si="46"/>
        <v>1.2463234002327508</v>
      </c>
      <c r="DX7" s="47">
        <v>0</v>
      </c>
      <c r="DY7" s="47">
        <v>42700</v>
      </c>
      <c r="DZ7" s="48">
        <v>71400</v>
      </c>
      <c r="EA7" s="71">
        <f t="shared" si="47"/>
        <v>0</v>
      </c>
      <c r="EB7" s="72">
        <f t="shared" si="48"/>
        <v>0</v>
      </c>
      <c r="EC7" s="71">
        <f t="shared" si="49"/>
        <v>0.59803921568627449</v>
      </c>
      <c r="ED7" s="72">
        <f t="shared" si="50"/>
        <v>0.88407671817263433</v>
      </c>
      <c r="EE7" s="47">
        <v>0</v>
      </c>
      <c r="EF7" s="47">
        <v>139600</v>
      </c>
      <c r="EG7" s="48">
        <v>143900</v>
      </c>
      <c r="EH7" s="48">
        <f t="shared" si="51"/>
        <v>0</v>
      </c>
      <c r="EI7" s="71">
        <f t="shared" si="52"/>
        <v>0.97011813759555243</v>
      </c>
      <c r="EJ7" s="72">
        <f t="shared" si="53"/>
        <v>1.397059914593245</v>
      </c>
      <c r="EK7" s="47">
        <v>0</v>
      </c>
      <c r="EL7" s="47">
        <v>28400</v>
      </c>
      <c r="EM7" s="48">
        <v>29300</v>
      </c>
      <c r="EN7" s="48">
        <f t="shared" si="54"/>
        <v>0</v>
      </c>
      <c r="EO7" s="71">
        <f t="shared" si="55"/>
        <v>0.96928327645051193</v>
      </c>
      <c r="EP7" s="72">
        <f t="shared" si="56"/>
        <v>1.3946245765667333</v>
      </c>
      <c r="EQ7" s="43">
        <v>35000</v>
      </c>
      <c r="ER7" s="47">
        <v>424700</v>
      </c>
      <c r="ES7" s="48">
        <v>476100</v>
      </c>
      <c r="ET7" s="68">
        <f t="shared" si="57"/>
        <v>7.3513967653854234E-2</v>
      </c>
      <c r="EU7" s="68">
        <f t="shared" si="0"/>
        <v>0</v>
      </c>
      <c r="EV7" s="68">
        <f t="shared" si="58"/>
        <v>0.89203948750262552</v>
      </c>
      <c r="EW7" s="47">
        <v>12000</v>
      </c>
      <c r="EX7" s="47">
        <v>152200</v>
      </c>
      <c r="EY7" s="48">
        <v>216100</v>
      </c>
      <c r="EZ7" s="68">
        <f t="shared" si="59"/>
        <v>5.5529847292919945E-2</v>
      </c>
      <c r="FA7" s="68">
        <f t="shared" si="60"/>
        <v>0.23788500219275457</v>
      </c>
      <c r="FB7" s="68">
        <f t="shared" si="61"/>
        <v>0.70430356316520126</v>
      </c>
      <c r="FC7" s="47">
        <v>0</v>
      </c>
      <c r="FD7" s="47">
        <v>52600</v>
      </c>
      <c r="FE7" s="48">
        <v>59100</v>
      </c>
      <c r="FF7" s="68">
        <f t="shared" si="62"/>
        <v>0</v>
      </c>
      <c r="FG7" s="68">
        <f t="shared" si="63"/>
        <v>0</v>
      </c>
      <c r="FH7" s="68">
        <f t="shared" si="1"/>
        <v>0.89001692047377323</v>
      </c>
      <c r="FI7" s="47">
        <v>39000</v>
      </c>
      <c r="FJ7" s="47">
        <v>220800</v>
      </c>
      <c r="FK7" s="48">
        <v>268300</v>
      </c>
      <c r="FL7" s="68">
        <f t="shared" si="2"/>
        <v>0.1453596720089452</v>
      </c>
      <c r="FM7" s="68">
        <f t="shared" si="64"/>
        <v>0.3911595474930008</v>
      </c>
      <c r="FN7" s="68">
        <f t="shared" si="65"/>
        <v>0.82295937383525908</v>
      </c>
      <c r="FO7" s="46">
        <f t="shared" si="3"/>
        <v>86000</v>
      </c>
      <c r="FP7" s="46">
        <f t="shared" si="4"/>
        <v>850300</v>
      </c>
      <c r="FQ7" s="48">
        <f t="shared" si="5"/>
        <v>1019600</v>
      </c>
      <c r="FR7" s="48">
        <v>1071500</v>
      </c>
      <c r="FS7" s="68">
        <f t="shared" si="66"/>
        <v>8.4346802667712828E-2</v>
      </c>
      <c r="FT7" s="68">
        <f t="shared" si="67"/>
        <v>0.29467117099106666</v>
      </c>
      <c r="FU7" s="68">
        <f t="shared" si="6"/>
        <v>0.83395449195763049</v>
      </c>
      <c r="FV7" s="68">
        <f t="shared" si="68"/>
        <v>1.1510959857583687</v>
      </c>
      <c r="FW7" s="47">
        <v>0</v>
      </c>
      <c r="FX7" s="47">
        <v>71300</v>
      </c>
      <c r="FY7" s="48">
        <v>234900</v>
      </c>
      <c r="FZ7" s="48">
        <f t="shared" si="69"/>
        <v>0</v>
      </c>
      <c r="GA7" s="71">
        <f t="shared" si="70"/>
        <v>0.30353341847594723</v>
      </c>
      <c r="GB7" s="68">
        <f t="shared" si="71"/>
        <v>0.58348858883136967</v>
      </c>
      <c r="GC7" s="47">
        <v>0</v>
      </c>
      <c r="GD7" s="47">
        <v>37900</v>
      </c>
      <c r="GE7" s="48">
        <v>60900</v>
      </c>
      <c r="GF7" s="48">
        <f t="shared" si="72"/>
        <v>0</v>
      </c>
      <c r="GG7" s="68">
        <f t="shared" si="73"/>
        <v>0</v>
      </c>
      <c r="GH7" s="71">
        <f t="shared" si="74"/>
        <v>0.62233169129720856</v>
      </c>
      <c r="GI7" s="68">
        <f t="shared" si="75"/>
        <v>0.90898441779530392</v>
      </c>
      <c r="GJ7" s="47">
        <v>0</v>
      </c>
      <c r="GK7" s="47">
        <v>58600</v>
      </c>
      <c r="GL7" s="48">
        <v>80000</v>
      </c>
      <c r="GM7" s="71">
        <f t="shared" si="76"/>
        <v>0</v>
      </c>
      <c r="GN7" s="68">
        <f t="shared" si="77"/>
        <v>0</v>
      </c>
      <c r="GO7" s="71">
        <f t="shared" si="78"/>
        <v>0.73250000000000004</v>
      </c>
      <c r="GP7" s="68">
        <f t="shared" si="79"/>
        <v>1.0272154690065336</v>
      </c>
      <c r="GQ7" s="47">
        <v>1000</v>
      </c>
      <c r="GR7" s="47">
        <v>246700</v>
      </c>
      <c r="GS7" s="48">
        <v>250900</v>
      </c>
      <c r="GT7" s="71">
        <f t="shared" si="80"/>
        <v>3.9856516540454365E-3</v>
      </c>
      <c r="GU7" s="68">
        <f t="shared" si="81"/>
        <v>6.3174030095021844E-2</v>
      </c>
      <c r="GV7" s="71">
        <f t="shared" si="82"/>
        <v>0.98326026305300918</v>
      </c>
      <c r="GW7" s="68">
        <f t="shared" si="83"/>
        <v>1.4410504744081172</v>
      </c>
      <c r="GX7" s="40">
        <v>1000</v>
      </c>
      <c r="GY7" s="40">
        <v>343200</v>
      </c>
      <c r="GZ7">
        <v>391800</v>
      </c>
      <c r="HA7" s="126">
        <f t="shared" si="84"/>
        <v>2.5523226135783562E-3</v>
      </c>
      <c r="HB7" s="126">
        <f t="shared" si="85"/>
        <v>0.87595712098009193</v>
      </c>
      <c r="HC7" s="68">
        <f t="shared" si="86"/>
        <v>1.2108786179115918</v>
      </c>
    </row>
    <row r="8" spans="1:211" x14ac:dyDescent="0.2">
      <c r="A8">
        <v>1967</v>
      </c>
      <c r="B8" s="24"/>
      <c r="F8" s="23">
        <v>400</v>
      </c>
      <c r="G8" s="23">
        <f t="shared" si="7"/>
        <v>397.5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40"/>
      <c r="U8" s="12"/>
      <c r="V8" s="12"/>
      <c r="W8" s="12"/>
      <c r="X8" s="12"/>
      <c r="Y8" s="12"/>
      <c r="Z8" s="12"/>
      <c r="AA8" s="12"/>
      <c r="AC8" s="27"/>
      <c r="AD8" s="13"/>
      <c r="AE8" s="13"/>
      <c r="AF8" s="13"/>
      <c r="AG8" s="41"/>
      <c r="AH8" s="27"/>
      <c r="AI8" s="13"/>
      <c r="AJ8" s="13"/>
      <c r="AK8" s="13"/>
      <c r="AL8" s="41"/>
      <c r="AM8" s="32">
        <v>2299</v>
      </c>
      <c r="AN8" s="31">
        <v>33930</v>
      </c>
      <c r="AO8" s="34"/>
      <c r="AP8" s="34"/>
      <c r="AQ8" s="1">
        <v>76575</v>
      </c>
      <c r="AR8" s="29">
        <v>27.2</v>
      </c>
      <c r="AS8" s="73"/>
      <c r="BA8" s="43">
        <v>137000</v>
      </c>
      <c r="BB8" s="44">
        <v>109000</v>
      </c>
      <c r="BC8" s="45">
        <v>348000</v>
      </c>
      <c r="BD8" s="72">
        <f t="shared" si="8"/>
        <v>0.39367816091954022</v>
      </c>
      <c r="BE8" s="72">
        <f t="shared" si="9"/>
        <v>0.67825830252797314</v>
      </c>
      <c r="BF8" s="72">
        <f t="shared" si="10"/>
        <v>0.31321839080459768</v>
      </c>
      <c r="BG8" s="72">
        <f t="shared" si="11"/>
        <v>0.59397447605363729</v>
      </c>
      <c r="BH8" s="43">
        <v>198000</v>
      </c>
      <c r="BI8" s="47">
        <v>22000</v>
      </c>
      <c r="BJ8" s="48">
        <v>256000</v>
      </c>
      <c r="BK8" s="71">
        <f t="shared" si="12"/>
        <v>0.7734375</v>
      </c>
      <c r="BL8" s="72">
        <f t="shared" si="13"/>
        <v>1.0747116888469981</v>
      </c>
      <c r="BM8" s="71">
        <f t="shared" si="14"/>
        <v>8.59375E-2</v>
      </c>
      <c r="BN8" s="72">
        <f t="shared" si="15"/>
        <v>0.29752096141377199</v>
      </c>
      <c r="BO8" s="47">
        <v>0</v>
      </c>
      <c r="BP8" s="47">
        <v>92000</v>
      </c>
      <c r="BQ8" s="48">
        <v>119000</v>
      </c>
      <c r="BR8" s="48">
        <f t="shared" si="16"/>
        <v>0</v>
      </c>
      <c r="BS8" s="71">
        <f t="shared" si="17"/>
        <v>0.77310924369747902</v>
      </c>
      <c r="BT8" s="72">
        <f t="shared" si="18"/>
        <v>1.0743197075814854</v>
      </c>
      <c r="BU8" s="47">
        <v>0</v>
      </c>
      <c r="BV8" s="47">
        <v>8000</v>
      </c>
      <c r="BW8" s="48">
        <v>39000</v>
      </c>
      <c r="BX8" s="48">
        <f t="shared" si="19"/>
        <v>0</v>
      </c>
      <c r="BY8" s="71">
        <f t="shared" si="20"/>
        <v>0.20512820512820512</v>
      </c>
      <c r="BZ8" s="72">
        <f t="shared" si="21"/>
        <v>0.47002751157762085</v>
      </c>
      <c r="CA8" s="47">
        <v>0</v>
      </c>
      <c r="CB8" s="47">
        <v>5000</v>
      </c>
      <c r="CC8" s="48">
        <v>12000</v>
      </c>
      <c r="CD8" s="48">
        <f t="shared" si="22"/>
        <v>0</v>
      </c>
      <c r="CE8" s="71">
        <f t="shared" si="23"/>
        <v>0.41666666666666669</v>
      </c>
      <c r="CF8" s="72">
        <f t="shared" si="24"/>
        <v>0.70167412378760374</v>
      </c>
      <c r="CG8" s="47">
        <v>0</v>
      </c>
      <c r="CH8" s="47">
        <v>0</v>
      </c>
      <c r="CI8" s="48">
        <v>12000</v>
      </c>
      <c r="CJ8" s="48">
        <f t="shared" si="25"/>
        <v>0</v>
      </c>
      <c r="CK8" s="71">
        <f t="shared" si="26"/>
        <v>0</v>
      </c>
      <c r="CL8" s="72">
        <f t="shared" si="27"/>
        <v>0</v>
      </c>
      <c r="CM8" s="47">
        <v>0</v>
      </c>
      <c r="CN8" s="47">
        <v>176000</v>
      </c>
      <c r="CO8" s="48">
        <v>185000</v>
      </c>
      <c r="CP8" s="48">
        <f t="shared" si="28"/>
        <v>0</v>
      </c>
      <c r="CQ8" s="71">
        <f t="shared" si="29"/>
        <v>0.9513513513513514</v>
      </c>
      <c r="CR8" s="72">
        <f t="shared" si="30"/>
        <v>1.348403257057452</v>
      </c>
      <c r="CS8" s="47">
        <v>0</v>
      </c>
      <c r="CT8" s="47">
        <v>49000</v>
      </c>
      <c r="CU8" s="48">
        <v>54000</v>
      </c>
      <c r="CV8" s="48">
        <f t="shared" si="31"/>
        <v>0</v>
      </c>
      <c r="CW8" s="72">
        <f t="shared" si="32"/>
        <v>0.90740740740740744</v>
      </c>
      <c r="CX8" s="72">
        <f t="shared" si="33"/>
        <v>1.2616030058518954</v>
      </c>
      <c r="CY8" s="47">
        <v>0</v>
      </c>
      <c r="CZ8" s="47">
        <v>8000</v>
      </c>
      <c r="DA8" s="48">
        <v>55000</v>
      </c>
      <c r="DB8" s="48">
        <f t="shared" si="34"/>
        <v>0</v>
      </c>
      <c r="DC8" s="71">
        <f t="shared" si="35"/>
        <v>0.14545454545454545</v>
      </c>
      <c r="DD8" s="72">
        <f t="shared" si="36"/>
        <v>0.39129411562557198</v>
      </c>
      <c r="DE8" s="47">
        <v>0</v>
      </c>
      <c r="DF8" s="47">
        <v>7000</v>
      </c>
      <c r="DG8" s="48">
        <v>18000</v>
      </c>
      <c r="DH8" s="48">
        <f t="shared" si="37"/>
        <v>0</v>
      </c>
      <c r="DI8" s="71">
        <f t="shared" si="38"/>
        <v>0.3888888888888889</v>
      </c>
      <c r="DJ8" s="72">
        <f t="shared" si="39"/>
        <v>0.67335161724676273</v>
      </c>
      <c r="DK8" s="47">
        <v>2000</v>
      </c>
      <c r="DL8" s="47">
        <v>79000</v>
      </c>
      <c r="DM8" s="48">
        <v>86000</v>
      </c>
      <c r="DN8" s="48">
        <f t="shared" si="40"/>
        <v>2.3255813953488372E-2</v>
      </c>
      <c r="DO8" s="71">
        <f t="shared" si="41"/>
        <v>0.91860465116279066</v>
      </c>
      <c r="DP8" s="72">
        <f t="shared" si="42"/>
        <v>1.2814782592392442</v>
      </c>
      <c r="DQ8" s="47">
        <v>0</v>
      </c>
      <c r="DR8" s="47">
        <v>106000</v>
      </c>
      <c r="DS8" s="48">
        <v>120000</v>
      </c>
      <c r="DT8" s="71">
        <f t="shared" si="43"/>
        <v>0</v>
      </c>
      <c r="DU8" s="72">
        <f t="shared" si="44"/>
        <v>0</v>
      </c>
      <c r="DV8" s="71">
        <f t="shared" si="45"/>
        <v>0.8833333333333333</v>
      </c>
      <c r="DW8" s="72">
        <f t="shared" si="46"/>
        <v>1.2222147599737805</v>
      </c>
      <c r="DX8" s="47">
        <v>0</v>
      </c>
      <c r="DY8" s="47">
        <v>56000</v>
      </c>
      <c r="DZ8" s="48">
        <v>90000</v>
      </c>
      <c r="EA8" s="71">
        <f t="shared" si="47"/>
        <v>0</v>
      </c>
      <c r="EB8" s="72">
        <f t="shared" si="48"/>
        <v>0</v>
      </c>
      <c r="EC8" s="71">
        <f t="shared" si="49"/>
        <v>0.62222222222222223</v>
      </c>
      <c r="ED8" s="72">
        <f t="shared" si="50"/>
        <v>0.90887152067766486</v>
      </c>
      <c r="EE8" s="47">
        <v>0</v>
      </c>
      <c r="EF8" s="47">
        <v>132000</v>
      </c>
      <c r="EG8" s="48">
        <v>135000</v>
      </c>
      <c r="EH8" s="48">
        <f t="shared" si="51"/>
        <v>0</v>
      </c>
      <c r="EI8" s="71">
        <f t="shared" si="52"/>
        <v>0.97777777777777775</v>
      </c>
      <c r="EJ8" s="72">
        <f t="shared" si="53"/>
        <v>1.4211674174353792</v>
      </c>
      <c r="EK8" s="47">
        <v>0</v>
      </c>
      <c r="EL8" s="47">
        <v>48000</v>
      </c>
      <c r="EM8" s="48">
        <v>49000</v>
      </c>
      <c r="EN8" s="48">
        <f t="shared" si="54"/>
        <v>0</v>
      </c>
      <c r="EO8" s="71">
        <f t="shared" si="55"/>
        <v>0.97959183673469385</v>
      </c>
      <c r="EP8" s="72">
        <f t="shared" si="56"/>
        <v>1.4274487578895312</v>
      </c>
      <c r="EQ8" s="43">
        <v>47000</v>
      </c>
      <c r="ER8" s="47">
        <v>397000</v>
      </c>
      <c r="ES8" s="48">
        <v>459000</v>
      </c>
      <c r="ET8" s="68">
        <f t="shared" si="57"/>
        <v>0.10239651416122005</v>
      </c>
      <c r="EU8" s="68">
        <f t="shared" si="0"/>
        <v>0</v>
      </c>
      <c r="EV8" s="68">
        <f t="shared" si="58"/>
        <v>0.86492374727668841</v>
      </c>
      <c r="EW8" s="47">
        <v>14000</v>
      </c>
      <c r="EX8" s="47">
        <v>147000</v>
      </c>
      <c r="EY8" s="48">
        <v>222000</v>
      </c>
      <c r="EZ8" s="68">
        <f t="shared" si="59"/>
        <v>6.3063063063063057E-2</v>
      </c>
      <c r="FA8" s="68">
        <f t="shared" si="60"/>
        <v>0.25384087960123652</v>
      </c>
      <c r="FB8" s="68">
        <f t="shared" si="61"/>
        <v>0.66216216216216217</v>
      </c>
      <c r="FC8" s="47">
        <v>0</v>
      </c>
      <c r="FD8" s="47">
        <v>48000</v>
      </c>
      <c r="FE8" s="48">
        <v>54000</v>
      </c>
      <c r="FF8" s="68">
        <f t="shared" si="62"/>
        <v>0</v>
      </c>
      <c r="FG8" s="68">
        <f t="shared" si="63"/>
        <v>0</v>
      </c>
      <c r="FH8" s="68">
        <f t="shared" si="1"/>
        <v>0.88888888888888884</v>
      </c>
      <c r="FI8" s="47">
        <v>31000</v>
      </c>
      <c r="FJ8" s="47">
        <v>205000</v>
      </c>
      <c r="FK8" s="48">
        <v>243000</v>
      </c>
      <c r="FL8" s="68">
        <f>FI8/FK8</f>
        <v>0.12757201646090535</v>
      </c>
      <c r="FM8" s="68">
        <f t="shared" si="64"/>
        <v>0.36523869010708437</v>
      </c>
      <c r="FN8" s="68">
        <f t="shared" si="65"/>
        <v>0.84362139917695478</v>
      </c>
      <c r="FO8" s="46">
        <f t="shared" si="3"/>
        <v>92000</v>
      </c>
      <c r="FP8" s="46">
        <f t="shared" si="4"/>
        <v>797000</v>
      </c>
      <c r="FQ8" s="48">
        <f t="shared" si="5"/>
        <v>978000</v>
      </c>
      <c r="FR8" s="48">
        <v>1019600</v>
      </c>
      <c r="FS8" s="68">
        <f t="shared" si="66"/>
        <v>9.4069529652351741E-2</v>
      </c>
      <c r="FT8" s="68">
        <f t="shared" si="67"/>
        <v>0.31173194109535218</v>
      </c>
      <c r="FU8" s="68">
        <f t="shared" si="6"/>
        <v>0.81492842535787324</v>
      </c>
      <c r="FV8" s="68">
        <f t="shared" si="68"/>
        <v>1.1260826113880298</v>
      </c>
      <c r="FW8" s="47">
        <v>0</v>
      </c>
      <c r="FX8" s="47">
        <v>54000</v>
      </c>
      <c r="FY8" s="48">
        <v>192000</v>
      </c>
      <c r="FZ8" s="48">
        <f t="shared" si="69"/>
        <v>0</v>
      </c>
      <c r="GA8" s="71">
        <f t="shared" si="70"/>
        <v>0.28125</v>
      </c>
      <c r="GB8" s="68">
        <f t="shared" si="71"/>
        <v>0.55898986602498546</v>
      </c>
      <c r="GC8" s="47">
        <v>0</v>
      </c>
      <c r="GD8" s="47">
        <v>40000</v>
      </c>
      <c r="GE8" s="48">
        <v>64000</v>
      </c>
      <c r="GF8" s="48">
        <f t="shared" si="72"/>
        <v>0</v>
      </c>
      <c r="GG8" s="68">
        <f t="shared" si="73"/>
        <v>0</v>
      </c>
      <c r="GH8" s="71">
        <f t="shared" si="74"/>
        <v>0.625</v>
      </c>
      <c r="GI8" s="68">
        <f t="shared" si="75"/>
        <v>0.91173829096848769</v>
      </c>
      <c r="GJ8" s="47">
        <v>0</v>
      </c>
      <c r="GK8" s="47">
        <v>69000</v>
      </c>
      <c r="GL8" s="48">
        <v>84000</v>
      </c>
      <c r="GM8" s="71">
        <f t="shared" si="76"/>
        <v>0</v>
      </c>
      <c r="GN8" s="68">
        <f t="shared" si="77"/>
        <v>0</v>
      </c>
      <c r="GO8" s="71">
        <f t="shared" si="78"/>
        <v>0.8214285714285714</v>
      </c>
      <c r="GP8" s="68">
        <f t="shared" si="79"/>
        <v>1.1345094000787284</v>
      </c>
      <c r="GQ8" s="47">
        <v>0</v>
      </c>
      <c r="GR8" s="47">
        <v>238000</v>
      </c>
      <c r="GS8" s="48">
        <v>242000</v>
      </c>
      <c r="GT8" s="71">
        <f t="shared" si="80"/>
        <v>0</v>
      </c>
      <c r="GU8" s="68">
        <f t="shared" si="81"/>
        <v>0</v>
      </c>
      <c r="GV8" s="71">
        <f t="shared" si="82"/>
        <v>0.98347107438016534</v>
      </c>
      <c r="GW8" s="68">
        <f t="shared" si="83"/>
        <v>1.4418746237349547</v>
      </c>
      <c r="GX8" s="40">
        <v>0</v>
      </c>
      <c r="GY8" s="40">
        <v>347000</v>
      </c>
      <c r="GZ8">
        <v>390000</v>
      </c>
      <c r="HA8" s="126">
        <f t="shared" si="84"/>
        <v>0</v>
      </c>
      <c r="HB8" s="126">
        <f t="shared" si="85"/>
        <v>0.88974358974358969</v>
      </c>
      <c r="HC8" s="68">
        <f t="shared" si="86"/>
        <v>1.2323215356558912</v>
      </c>
    </row>
    <row r="9" spans="1:211" x14ac:dyDescent="0.2">
      <c r="A9">
        <v>1968</v>
      </c>
      <c r="B9" s="25">
        <v>67</v>
      </c>
      <c r="C9" s="1">
        <v>77</v>
      </c>
      <c r="D9" s="1">
        <v>78</v>
      </c>
      <c r="E9" s="1">
        <v>154</v>
      </c>
      <c r="F9" s="69">
        <f t="shared" ref="F9:F53" si="87">SUM(B9:E9)</f>
        <v>376</v>
      </c>
      <c r="G9" s="23">
        <f t="shared" si="7"/>
        <v>373.5</v>
      </c>
      <c r="H9" s="1">
        <v>111</v>
      </c>
      <c r="I9" s="1">
        <v>166</v>
      </c>
      <c r="J9" s="1">
        <v>117</v>
      </c>
      <c r="K9" s="1">
        <v>76</v>
      </c>
      <c r="L9" s="1">
        <v>47</v>
      </c>
      <c r="M9" s="1">
        <v>18</v>
      </c>
      <c r="N9" s="1">
        <v>98</v>
      </c>
      <c r="O9" s="1">
        <v>25</v>
      </c>
      <c r="P9" s="1">
        <v>123</v>
      </c>
      <c r="Q9" s="1">
        <v>17</v>
      </c>
      <c r="R9" s="1">
        <v>23</v>
      </c>
      <c r="S9" s="1">
        <v>32</v>
      </c>
      <c r="T9" s="69">
        <f>SUM(P9:S9)</f>
        <v>195</v>
      </c>
      <c r="U9" s="1">
        <v>12</v>
      </c>
      <c r="V9" s="1">
        <v>12</v>
      </c>
      <c r="W9" s="1"/>
      <c r="X9" s="1">
        <v>19</v>
      </c>
      <c r="Y9" s="1"/>
      <c r="Z9" s="1">
        <v>25</v>
      </c>
      <c r="AA9" s="1">
        <v>70</v>
      </c>
      <c r="AB9" s="69"/>
      <c r="AC9" s="27">
        <v>376</v>
      </c>
      <c r="AD9" s="13">
        <v>1714.6</v>
      </c>
      <c r="AE9" s="13">
        <v>2262.4</v>
      </c>
      <c r="AF9" s="13">
        <v>1109.8</v>
      </c>
      <c r="AG9" s="41">
        <f>SUM(AC9:AF9)</f>
        <v>5462.8</v>
      </c>
      <c r="AH9" s="27">
        <v>1818.4</v>
      </c>
      <c r="AI9" s="13">
        <v>2858.7</v>
      </c>
      <c r="AJ9" s="13">
        <v>4443.5</v>
      </c>
      <c r="AK9" s="13">
        <v>2000.1</v>
      </c>
      <c r="AL9" s="41">
        <f>SUM(AH9:AK9)</f>
        <v>11120.7</v>
      </c>
      <c r="AM9" s="32">
        <v>2109</v>
      </c>
      <c r="AN9" s="31">
        <v>20547</v>
      </c>
      <c r="AO9" s="34">
        <f>318.7+81.2+2.5</f>
        <v>402.4</v>
      </c>
      <c r="AP9" s="34">
        <f>3575.1+9.3+1800.5+3821.3+470.5+5871.3+1.3+1010.8</f>
        <v>16560.099999999999</v>
      </c>
      <c r="AQ9" s="1">
        <v>56628</v>
      </c>
      <c r="AR9" s="30" t="e">
        <f>AZ9/#REF!</f>
        <v>#REF!</v>
      </c>
      <c r="AS9" s="74" t="e">
        <f>AY9/#REF!</f>
        <v>#REF!</v>
      </c>
      <c r="AY9">
        <f>376+1714.6+2262.4+1109.8</f>
        <v>5462.8</v>
      </c>
      <c r="AZ9">
        <f>1818.4+2858.7+4443.5+2000.1</f>
        <v>11120.7</v>
      </c>
      <c r="BA9" s="49">
        <v>186000</v>
      </c>
      <c r="BB9" s="19">
        <v>127000</v>
      </c>
      <c r="BC9" s="50">
        <v>397000</v>
      </c>
      <c r="BD9" s="72">
        <f t="shared" si="8"/>
        <v>0.46851385390428213</v>
      </c>
      <c r="BE9" s="72">
        <f t="shared" si="9"/>
        <v>0.75389117031022068</v>
      </c>
      <c r="BF9" s="72">
        <f t="shared" si="10"/>
        <v>0.31989924433249373</v>
      </c>
      <c r="BG9" s="72">
        <f t="shared" si="11"/>
        <v>0.60115621558724852</v>
      </c>
      <c r="BH9" s="49">
        <v>264000</v>
      </c>
      <c r="BI9" s="51">
        <v>37000</v>
      </c>
      <c r="BJ9" s="52">
        <v>336000</v>
      </c>
      <c r="BK9" s="71">
        <f t="shared" si="12"/>
        <v>0.7857142857142857</v>
      </c>
      <c r="BL9" s="72">
        <f t="shared" si="13"/>
        <v>1.0895209528525531</v>
      </c>
      <c r="BM9" s="71">
        <f t="shared" si="14"/>
        <v>0.11011904761904762</v>
      </c>
      <c r="BN9" s="72">
        <f t="shared" si="15"/>
        <v>0.33825544861664958</v>
      </c>
      <c r="BO9" s="51">
        <v>0</v>
      </c>
      <c r="BP9" s="51">
        <v>74000</v>
      </c>
      <c r="BQ9" s="52">
        <v>106000</v>
      </c>
      <c r="BR9" s="48">
        <f t="shared" si="16"/>
        <v>0</v>
      </c>
      <c r="BS9" s="71">
        <f t="shared" si="17"/>
        <v>0.69811320754716977</v>
      </c>
      <c r="BT9" s="72">
        <f t="shared" si="18"/>
        <v>0.9890997676289589</v>
      </c>
      <c r="BU9" s="51">
        <v>0</v>
      </c>
      <c r="BV9" s="51">
        <v>29000</v>
      </c>
      <c r="BW9" s="52">
        <v>71000</v>
      </c>
      <c r="BX9" s="48">
        <f t="shared" si="19"/>
        <v>0</v>
      </c>
      <c r="BY9" s="71">
        <f t="shared" si="20"/>
        <v>0.40845070422535212</v>
      </c>
      <c r="BZ9" s="72">
        <f t="shared" si="21"/>
        <v>0.6933294597552504</v>
      </c>
      <c r="CA9" s="51">
        <v>0</v>
      </c>
      <c r="CB9" s="51">
        <v>8000</v>
      </c>
      <c r="CC9" s="52">
        <v>15000</v>
      </c>
      <c r="CD9" s="48">
        <f t="shared" si="22"/>
        <v>0</v>
      </c>
      <c r="CE9" s="71">
        <f t="shared" si="23"/>
        <v>0.53333333333333333</v>
      </c>
      <c r="CF9" s="72">
        <f t="shared" si="24"/>
        <v>0.81875623760256089</v>
      </c>
      <c r="CG9" s="53">
        <v>0</v>
      </c>
      <c r="CH9" s="53">
        <v>0</v>
      </c>
      <c r="CI9" s="52">
        <v>14000</v>
      </c>
      <c r="CJ9" s="48">
        <f t="shared" si="25"/>
        <v>0</v>
      </c>
      <c r="CK9" s="71">
        <f t="shared" si="26"/>
        <v>0</v>
      </c>
      <c r="CL9" s="72">
        <f t="shared" si="27"/>
        <v>0</v>
      </c>
      <c r="CM9" s="53">
        <v>0</v>
      </c>
      <c r="CN9" s="53">
        <v>204000</v>
      </c>
      <c r="CO9" s="52">
        <v>214000</v>
      </c>
      <c r="CP9" s="48">
        <f t="shared" si="28"/>
        <v>0</v>
      </c>
      <c r="CQ9" s="71">
        <f t="shared" si="29"/>
        <v>0.95327102803738317</v>
      </c>
      <c r="CR9" s="72">
        <f t="shared" si="30"/>
        <v>1.3529074991310368</v>
      </c>
      <c r="CS9" s="47">
        <v>0</v>
      </c>
      <c r="CT9" s="47">
        <v>42000</v>
      </c>
      <c r="CU9" s="48">
        <v>45000</v>
      </c>
      <c r="CV9" s="48">
        <f t="shared" si="31"/>
        <v>0</v>
      </c>
      <c r="CW9" s="72">
        <f t="shared" si="32"/>
        <v>0.93333333333333335</v>
      </c>
      <c r="CX9" s="72">
        <f t="shared" si="33"/>
        <v>1.3096389158918722</v>
      </c>
      <c r="CY9" s="53">
        <v>0</v>
      </c>
      <c r="CZ9" s="53">
        <v>9000</v>
      </c>
      <c r="DA9" s="52">
        <v>67000</v>
      </c>
      <c r="DB9" s="48">
        <f t="shared" si="34"/>
        <v>0</v>
      </c>
      <c r="DC9" s="71">
        <f t="shared" si="35"/>
        <v>0.13432835820895522</v>
      </c>
      <c r="DD9" s="72">
        <f t="shared" si="36"/>
        <v>0.37525342699168673</v>
      </c>
      <c r="DE9" s="47">
        <v>0</v>
      </c>
      <c r="DF9" s="47">
        <v>7000</v>
      </c>
      <c r="DG9" s="48">
        <v>18000</v>
      </c>
      <c r="DH9" s="48">
        <f t="shared" si="37"/>
        <v>0</v>
      </c>
      <c r="DI9" s="71">
        <f t="shared" si="38"/>
        <v>0.3888888888888889</v>
      </c>
      <c r="DJ9" s="72">
        <f t="shared" si="39"/>
        <v>0.67335161724676273</v>
      </c>
      <c r="DK9" s="47">
        <v>0</v>
      </c>
      <c r="DL9" s="47">
        <v>92000</v>
      </c>
      <c r="DM9" s="48">
        <v>102000</v>
      </c>
      <c r="DN9" s="48">
        <f t="shared" si="40"/>
        <v>0</v>
      </c>
      <c r="DO9" s="71">
        <f t="shared" si="41"/>
        <v>0.90196078431372551</v>
      </c>
      <c r="DP9" s="72">
        <f t="shared" si="42"/>
        <v>1.2523281349842579</v>
      </c>
      <c r="DQ9" s="51">
        <v>0</v>
      </c>
      <c r="DR9" s="51">
        <v>99000</v>
      </c>
      <c r="DS9" s="52">
        <v>110000</v>
      </c>
      <c r="DT9" s="71">
        <f t="shared" si="43"/>
        <v>0</v>
      </c>
      <c r="DU9" s="72">
        <f t="shared" si="44"/>
        <v>0</v>
      </c>
      <c r="DV9" s="71">
        <f t="shared" si="45"/>
        <v>0.9</v>
      </c>
      <c r="DW9" s="72">
        <f t="shared" si="46"/>
        <v>1.2490457723982542</v>
      </c>
      <c r="DX9" s="51">
        <v>0</v>
      </c>
      <c r="DY9" s="51">
        <v>50000</v>
      </c>
      <c r="DZ9" s="52">
        <v>83000</v>
      </c>
      <c r="EA9" s="71">
        <f t="shared" si="47"/>
        <v>0</v>
      </c>
      <c r="EB9" s="72">
        <f t="shared" si="48"/>
        <v>0</v>
      </c>
      <c r="EC9" s="71">
        <f t="shared" si="49"/>
        <v>0.60240963855421692</v>
      </c>
      <c r="ED9" s="72">
        <f t="shared" si="50"/>
        <v>0.88853769662568871</v>
      </c>
      <c r="EE9" s="51">
        <v>0</v>
      </c>
      <c r="EF9" s="51">
        <v>161000</v>
      </c>
      <c r="EG9" s="52">
        <v>167000</v>
      </c>
      <c r="EH9" s="48">
        <f t="shared" si="51"/>
        <v>0</v>
      </c>
      <c r="EI9" s="71">
        <f t="shared" si="52"/>
        <v>0.9640718562874252</v>
      </c>
      <c r="EJ9" s="72">
        <f t="shared" si="53"/>
        <v>1.380095353686648</v>
      </c>
      <c r="EK9" s="51">
        <v>0</v>
      </c>
      <c r="EL9" s="51">
        <v>43000</v>
      </c>
      <c r="EM9" s="52">
        <v>44000</v>
      </c>
      <c r="EN9" s="48">
        <f t="shared" si="54"/>
        <v>0</v>
      </c>
      <c r="EO9" s="71">
        <f t="shared" si="55"/>
        <v>0.97727272727272729</v>
      </c>
      <c r="EP9" s="72">
        <f t="shared" si="56"/>
        <v>1.4194636898176809</v>
      </c>
      <c r="EQ9" s="49">
        <v>67000</v>
      </c>
      <c r="ER9" s="51">
        <v>369000</v>
      </c>
      <c r="ES9" s="52">
        <v>453000</v>
      </c>
      <c r="ET9" s="68">
        <f t="shared" si="57"/>
        <v>0.1479028697571744</v>
      </c>
      <c r="EU9" s="68">
        <f t="shared" si="0"/>
        <v>0</v>
      </c>
      <c r="EV9" s="68">
        <f t="shared" si="58"/>
        <v>0.81456953642384111</v>
      </c>
      <c r="EW9" s="51">
        <v>30000</v>
      </c>
      <c r="EX9" s="51">
        <v>163000</v>
      </c>
      <c r="EY9" s="52">
        <v>242000</v>
      </c>
      <c r="EZ9" s="68">
        <f t="shared" si="59"/>
        <v>0.12396694214876033</v>
      </c>
      <c r="FA9" s="68">
        <f t="shared" si="60"/>
        <v>0.35980250889625798</v>
      </c>
      <c r="FB9" s="68">
        <f t="shared" si="61"/>
        <v>0.67355371900826444</v>
      </c>
      <c r="FC9" s="51">
        <v>0</v>
      </c>
      <c r="FD9" s="51">
        <v>60000</v>
      </c>
      <c r="FE9" s="52">
        <v>68000</v>
      </c>
      <c r="FF9" s="68">
        <f t="shared" si="62"/>
        <v>0</v>
      </c>
      <c r="FG9" s="68">
        <f t="shared" si="63"/>
        <v>0</v>
      </c>
      <c r="FH9" s="68">
        <f t="shared" si="1"/>
        <v>0.88235294117647056</v>
      </c>
      <c r="FI9" s="51">
        <v>35000</v>
      </c>
      <c r="FJ9" s="51">
        <v>198000</v>
      </c>
      <c r="FK9" s="52">
        <v>241000</v>
      </c>
      <c r="FL9" s="68">
        <f t="shared" ref="FL9:FL53" si="88">FI9/FK9</f>
        <v>0.14522821576763487</v>
      </c>
      <c r="FM9" s="68">
        <f t="shared" si="64"/>
        <v>0.39097303021100421</v>
      </c>
      <c r="FN9" s="68">
        <f t="shared" si="65"/>
        <v>0.82157676348547715</v>
      </c>
      <c r="FO9" s="46">
        <f t="shared" si="3"/>
        <v>132000</v>
      </c>
      <c r="FP9" s="46">
        <f t="shared" si="4"/>
        <v>790000</v>
      </c>
      <c r="FQ9" s="48">
        <f t="shared" si="5"/>
        <v>1004000</v>
      </c>
      <c r="FR9" s="48">
        <v>978000</v>
      </c>
      <c r="FS9" s="68">
        <f t="shared" si="66"/>
        <v>0.13147410358565736</v>
      </c>
      <c r="FT9" s="68">
        <f t="shared" si="67"/>
        <v>0.37104935931617694</v>
      </c>
      <c r="FU9" s="68">
        <f t="shared" si="6"/>
        <v>0.78685258964143423</v>
      </c>
      <c r="FV9" s="68">
        <f t="shared" si="68"/>
        <v>1.0909093698710699</v>
      </c>
      <c r="FW9" s="51">
        <v>0</v>
      </c>
      <c r="FX9" s="51">
        <v>64000</v>
      </c>
      <c r="FY9" s="52">
        <v>297000</v>
      </c>
      <c r="FZ9" s="48">
        <f t="shared" si="69"/>
        <v>0</v>
      </c>
      <c r="GA9" s="71">
        <f t="shared" si="70"/>
        <v>0.21548821548821548</v>
      </c>
      <c r="GB9" s="68">
        <f t="shared" si="71"/>
        <v>0.48273918415589523</v>
      </c>
      <c r="GC9" s="51">
        <v>0</v>
      </c>
      <c r="GD9" s="51">
        <v>40000</v>
      </c>
      <c r="GE9" s="52">
        <v>61000</v>
      </c>
      <c r="GF9" s="48">
        <f t="shared" si="72"/>
        <v>0</v>
      </c>
      <c r="GG9" s="68">
        <f t="shared" si="73"/>
        <v>0</v>
      </c>
      <c r="GH9" s="71">
        <f t="shared" si="74"/>
        <v>0.65573770491803274</v>
      </c>
      <c r="GI9" s="68">
        <f t="shared" si="75"/>
        <v>0.94377080623743348</v>
      </c>
      <c r="GJ9" s="51">
        <v>0</v>
      </c>
      <c r="GK9" s="51">
        <v>89000</v>
      </c>
      <c r="GL9" s="52">
        <v>100000</v>
      </c>
      <c r="GM9" s="71">
        <f t="shared" si="76"/>
        <v>0</v>
      </c>
      <c r="GN9" s="68">
        <f t="shared" si="77"/>
        <v>0</v>
      </c>
      <c r="GO9" s="71">
        <f t="shared" si="78"/>
        <v>0.89</v>
      </c>
      <c r="GP9" s="68">
        <f t="shared" si="79"/>
        <v>1.2327310720145659</v>
      </c>
      <c r="GQ9" s="51">
        <v>2000</v>
      </c>
      <c r="GR9" s="51">
        <v>251000</v>
      </c>
      <c r="GS9" s="52">
        <v>263000</v>
      </c>
      <c r="GT9" s="71">
        <f t="shared" si="80"/>
        <v>7.6045627376425855E-3</v>
      </c>
      <c r="GU9" s="68">
        <f t="shared" si="81"/>
        <v>8.7315048879802223E-2</v>
      </c>
      <c r="GV9" s="71">
        <f t="shared" si="82"/>
        <v>0.95437262357414454</v>
      </c>
      <c r="GW9" s="68">
        <f t="shared" si="83"/>
        <v>1.3555320056615956</v>
      </c>
      <c r="GX9" s="40">
        <v>2000</v>
      </c>
      <c r="GY9" s="40">
        <v>380000</v>
      </c>
      <c r="GZ9">
        <v>424000</v>
      </c>
      <c r="HA9" s="126">
        <f t="shared" si="84"/>
        <v>4.7169811320754715E-3</v>
      </c>
      <c r="HB9" s="126">
        <f t="shared" si="85"/>
        <v>0.89622641509433965</v>
      </c>
      <c r="HC9" s="68">
        <f t="shared" si="86"/>
        <v>1.2428081785272391</v>
      </c>
    </row>
    <row r="10" spans="1:211" x14ac:dyDescent="0.2">
      <c r="A10">
        <v>1969</v>
      </c>
      <c r="B10" s="25">
        <v>136</v>
      </c>
      <c r="C10" s="1">
        <v>65</v>
      </c>
      <c r="D10" s="1">
        <v>94</v>
      </c>
      <c r="E10" s="1">
        <v>218</v>
      </c>
      <c r="F10" s="69">
        <f t="shared" si="87"/>
        <v>513</v>
      </c>
      <c r="G10" s="23">
        <f t="shared" si="7"/>
        <v>510.5</v>
      </c>
      <c r="H10" s="1">
        <v>56</v>
      </c>
      <c r="I10" s="1">
        <v>74</v>
      </c>
      <c r="J10" s="1">
        <v>37</v>
      </c>
      <c r="K10" s="1">
        <v>45</v>
      </c>
      <c r="L10" s="1">
        <v>9</v>
      </c>
      <c r="M10" s="1">
        <v>4</v>
      </c>
      <c r="N10" s="1">
        <v>15</v>
      </c>
      <c r="O10" s="1">
        <v>26</v>
      </c>
      <c r="P10" s="1">
        <v>84</v>
      </c>
      <c r="Q10" s="1">
        <v>36</v>
      </c>
      <c r="R10" s="1">
        <v>10</v>
      </c>
      <c r="S10" s="1">
        <v>20</v>
      </c>
      <c r="T10" s="69">
        <f t="shared" ref="T10:T53" si="89">SUM(P10:S10)</f>
        <v>150</v>
      </c>
      <c r="U10" s="1">
        <v>12</v>
      </c>
      <c r="V10" s="1">
        <v>9</v>
      </c>
      <c r="W10" s="1">
        <v>60</v>
      </c>
      <c r="X10" s="1">
        <v>14</v>
      </c>
      <c r="Y10" s="1">
        <v>5</v>
      </c>
      <c r="Z10" s="1">
        <v>21</v>
      </c>
      <c r="AA10" s="1">
        <v>50</v>
      </c>
      <c r="AB10" s="69">
        <f t="shared" ref="AB10:AB53" si="90">SUM(Y10:AA10)</f>
        <v>76</v>
      </c>
      <c r="AC10" s="27">
        <v>1819.6</v>
      </c>
      <c r="AD10" s="13">
        <v>896.8</v>
      </c>
      <c r="AE10" s="13">
        <v>260.2</v>
      </c>
      <c r="AF10" s="13">
        <v>9704.4</v>
      </c>
      <c r="AG10" s="41">
        <f t="shared" ref="AG10:AG53" si="91">SUM(AC10:AF10)</f>
        <v>12681</v>
      </c>
      <c r="AH10" s="27">
        <v>4022.9</v>
      </c>
      <c r="AI10" s="13">
        <v>1618.4</v>
      </c>
      <c r="AJ10" s="13">
        <v>1368.5</v>
      </c>
      <c r="AK10" s="13">
        <v>12795.1</v>
      </c>
      <c r="AL10" s="41">
        <f t="shared" ref="AL10:AL53" si="92">SUM(AH10:AK10)</f>
        <v>19804.900000000001</v>
      </c>
      <c r="AM10" s="32">
        <v>1494</v>
      </c>
      <c r="AN10" s="31">
        <v>19296</v>
      </c>
      <c r="AO10" s="34">
        <f>631.7+118.3+0.3</f>
        <v>750.3</v>
      </c>
      <c r="AP10" s="34">
        <f>2125.1+0.1+579.7+1551.4+146.9+10853.3+3+2723.9</f>
        <v>17983.399999999998</v>
      </c>
      <c r="AQ10" s="1">
        <v>53719</v>
      </c>
      <c r="AR10" s="30" t="e">
        <f>AZ10/#REF!</f>
        <v>#REF!</v>
      </c>
      <c r="AS10" s="74" t="e">
        <f>AY10/#REF!</f>
        <v>#REF!</v>
      </c>
      <c r="AY10">
        <f>1819.6+896.8+260.2+9704.4</f>
        <v>12681</v>
      </c>
      <c r="AZ10">
        <f>4022.9+1618.4+1368.5+12795.1</f>
        <v>19804.900000000001</v>
      </c>
      <c r="BA10" s="49">
        <v>206000</v>
      </c>
      <c r="BB10" s="19">
        <v>137000</v>
      </c>
      <c r="BC10" s="50">
        <v>412000</v>
      </c>
      <c r="BD10" s="72">
        <f t="shared" si="8"/>
        <v>0.5</v>
      </c>
      <c r="BE10" s="72">
        <f t="shared" si="9"/>
        <v>0.78539816339744839</v>
      </c>
      <c r="BF10" s="72">
        <f t="shared" si="10"/>
        <v>0.33252427184466021</v>
      </c>
      <c r="BG10" s="72">
        <f t="shared" si="11"/>
        <v>0.6146213084350628</v>
      </c>
      <c r="BH10" s="49">
        <v>247000</v>
      </c>
      <c r="BI10" s="51">
        <v>31000</v>
      </c>
      <c r="BJ10" s="52">
        <v>313000</v>
      </c>
      <c r="BK10" s="71">
        <f t="shared" si="12"/>
        <v>0.78913738019169333</v>
      </c>
      <c r="BL10" s="72">
        <f t="shared" si="13"/>
        <v>1.0937043775918711</v>
      </c>
      <c r="BM10" s="71">
        <f t="shared" si="14"/>
        <v>9.9041533546325874E-2</v>
      </c>
      <c r="BN10" s="72">
        <f t="shared" si="15"/>
        <v>0.32014969055496101</v>
      </c>
      <c r="BO10" s="51">
        <v>0</v>
      </c>
      <c r="BP10" s="51">
        <v>94000</v>
      </c>
      <c r="BQ10" s="52">
        <v>127000</v>
      </c>
      <c r="BR10" s="48">
        <f t="shared" si="16"/>
        <v>0</v>
      </c>
      <c r="BS10" s="71">
        <f t="shared" si="17"/>
        <v>0.74015748031496065</v>
      </c>
      <c r="BT10" s="72">
        <f t="shared" si="18"/>
        <v>1.0359050493461646</v>
      </c>
      <c r="BU10" s="51">
        <v>0</v>
      </c>
      <c r="BV10" s="51">
        <v>10000</v>
      </c>
      <c r="BW10" s="52">
        <v>47000</v>
      </c>
      <c r="BX10" s="48">
        <f t="shared" si="19"/>
        <v>0</v>
      </c>
      <c r="BY10" s="71">
        <f t="shared" si="20"/>
        <v>0.21276595744680851</v>
      </c>
      <c r="BZ10" s="72">
        <f t="shared" si="21"/>
        <v>0.47942108555330598</v>
      </c>
      <c r="CA10" s="51">
        <v>0</v>
      </c>
      <c r="CB10" s="51">
        <v>4000</v>
      </c>
      <c r="CC10" s="52">
        <v>11000</v>
      </c>
      <c r="CD10" s="48">
        <f t="shared" si="22"/>
        <v>0</v>
      </c>
      <c r="CE10" s="71">
        <f t="shared" si="23"/>
        <v>0.36363636363636365</v>
      </c>
      <c r="CF10" s="72">
        <f t="shared" si="24"/>
        <v>0.64728484801565256</v>
      </c>
      <c r="CG10" s="53">
        <v>0</v>
      </c>
      <c r="CH10" s="53">
        <v>0</v>
      </c>
      <c r="CI10" s="52">
        <v>13000</v>
      </c>
      <c r="CJ10" s="48">
        <f t="shared" si="25"/>
        <v>0</v>
      </c>
      <c r="CK10" s="71">
        <f t="shared" si="26"/>
        <v>0</v>
      </c>
      <c r="CL10" s="72">
        <f t="shared" si="27"/>
        <v>0</v>
      </c>
      <c r="CM10" s="53">
        <v>0</v>
      </c>
      <c r="CN10" s="53">
        <v>225000</v>
      </c>
      <c r="CO10" s="52">
        <v>236000</v>
      </c>
      <c r="CP10" s="48">
        <f t="shared" si="28"/>
        <v>0</v>
      </c>
      <c r="CQ10" s="71">
        <f t="shared" si="29"/>
        <v>0.95338983050847459</v>
      </c>
      <c r="CR10" s="72">
        <f t="shared" si="30"/>
        <v>1.3531891148763715</v>
      </c>
      <c r="CS10" s="47">
        <v>0</v>
      </c>
      <c r="CT10" s="47">
        <v>41000</v>
      </c>
      <c r="CU10" s="48">
        <v>44000</v>
      </c>
      <c r="CV10" s="48">
        <f t="shared" si="31"/>
        <v>0</v>
      </c>
      <c r="CW10" s="72">
        <f t="shared" si="32"/>
        <v>0.93181818181818177</v>
      </c>
      <c r="CX10" s="72">
        <f t="shared" si="33"/>
        <v>1.3066176946497714</v>
      </c>
      <c r="CY10" s="53">
        <v>0</v>
      </c>
      <c r="CZ10" s="53">
        <v>7000</v>
      </c>
      <c r="DA10" s="52">
        <v>70000</v>
      </c>
      <c r="DB10" s="48">
        <f t="shared" si="34"/>
        <v>0</v>
      </c>
      <c r="DC10" s="71">
        <f t="shared" si="35"/>
        <v>0.1</v>
      </c>
      <c r="DD10" s="72">
        <f t="shared" si="36"/>
        <v>0.32175055439664224</v>
      </c>
      <c r="DE10" s="47">
        <v>0</v>
      </c>
      <c r="DF10" s="47">
        <v>10000</v>
      </c>
      <c r="DG10" s="48">
        <v>24000</v>
      </c>
      <c r="DH10" s="48">
        <f t="shared" si="37"/>
        <v>0</v>
      </c>
      <c r="DI10" s="71">
        <f t="shared" si="38"/>
        <v>0.41666666666666669</v>
      </c>
      <c r="DJ10" s="72">
        <f t="shared" si="39"/>
        <v>0.70167412378760374</v>
      </c>
      <c r="DK10" s="47">
        <v>0</v>
      </c>
      <c r="DL10" s="47">
        <v>79000</v>
      </c>
      <c r="DM10" s="48">
        <v>88000</v>
      </c>
      <c r="DN10" s="48">
        <f t="shared" si="40"/>
        <v>0</v>
      </c>
      <c r="DO10" s="71">
        <f t="shared" si="41"/>
        <v>0.89772727272727271</v>
      </c>
      <c r="DP10" s="72">
        <f t="shared" si="42"/>
        <v>1.2452767980516859</v>
      </c>
      <c r="DQ10" s="51">
        <v>0</v>
      </c>
      <c r="DR10" s="51">
        <v>123000</v>
      </c>
      <c r="DS10" s="52">
        <v>134000</v>
      </c>
      <c r="DT10" s="71">
        <f t="shared" si="43"/>
        <v>0</v>
      </c>
      <c r="DU10" s="72">
        <f t="shared" si="44"/>
        <v>0</v>
      </c>
      <c r="DV10" s="71">
        <f t="shared" si="45"/>
        <v>0.91791044776119401</v>
      </c>
      <c r="DW10" s="72">
        <f t="shared" si="46"/>
        <v>1.2802113322445612</v>
      </c>
      <c r="DX10" s="51">
        <v>0</v>
      </c>
      <c r="DY10" s="51">
        <v>74000</v>
      </c>
      <c r="DZ10" s="52">
        <v>101000</v>
      </c>
      <c r="EA10" s="71">
        <f t="shared" si="47"/>
        <v>0</v>
      </c>
      <c r="EB10" s="72">
        <f t="shared" si="48"/>
        <v>0</v>
      </c>
      <c r="EC10" s="71">
        <f t="shared" si="49"/>
        <v>0.73267326732673266</v>
      </c>
      <c r="ED10" s="72">
        <f t="shared" si="50"/>
        <v>1.0274112027190261</v>
      </c>
      <c r="EE10" s="51">
        <v>0</v>
      </c>
      <c r="EF10" s="51">
        <v>176000</v>
      </c>
      <c r="EG10" s="52">
        <v>180000</v>
      </c>
      <c r="EH10" s="48">
        <f t="shared" si="51"/>
        <v>0</v>
      </c>
      <c r="EI10" s="71">
        <f t="shared" si="52"/>
        <v>0.97777777777777775</v>
      </c>
      <c r="EJ10" s="72">
        <f t="shared" si="53"/>
        <v>1.4211674174353792</v>
      </c>
      <c r="EK10" s="51">
        <v>0</v>
      </c>
      <c r="EL10" s="51">
        <v>40000</v>
      </c>
      <c r="EM10" s="52">
        <v>42000</v>
      </c>
      <c r="EN10" s="48">
        <f t="shared" si="54"/>
        <v>0</v>
      </c>
      <c r="EO10" s="71">
        <f t="shared" si="55"/>
        <v>0.95238095238095233</v>
      </c>
      <c r="EP10" s="72">
        <f t="shared" si="56"/>
        <v>1.3508083493994372</v>
      </c>
      <c r="EQ10" s="49">
        <v>75000</v>
      </c>
      <c r="ER10" s="51">
        <v>419000</v>
      </c>
      <c r="ES10" s="52">
        <v>510000</v>
      </c>
      <c r="ET10" s="68">
        <f t="shared" si="57"/>
        <v>0.14705882352941177</v>
      </c>
      <c r="EU10" s="68">
        <f t="shared" si="0"/>
        <v>0</v>
      </c>
      <c r="EV10" s="68">
        <f t="shared" si="58"/>
        <v>0.82156862745098036</v>
      </c>
      <c r="EW10" s="51">
        <v>36000</v>
      </c>
      <c r="EX10" s="51">
        <v>196000</v>
      </c>
      <c r="EY10" s="52">
        <v>269000</v>
      </c>
      <c r="EZ10" s="68">
        <f t="shared" si="59"/>
        <v>0.13382899628252787</v>
      </c>
      <c r="FA10" s="68">
        <f t="shared" si="60"/>
        <v>0.37452065893499087</v>
      </c>
      <c r="FB10" s="68">
        <f t="shared" si="61"/>
        <v>0.72862453531598514</v>
      </c>
      <c r="FC10" s="51">
        <v>0</v>
      </c>
      <c r="FD10" s="51">
        <v>56000</v>
      </c>
      <c r="FE10" s="52">
        <v>63000</v>
      </c>
      <c r="FF10" s="68">
        <f t="shared" si="62"/>
        <v>0</v>
      </c>
      <c r="FG10" s="68">
        <f t="shared" si="63"/>
        <v>0</v>
      </c>
      <c r="FH10" s="68">
        <f t="shared" si="1"/>
        <v>0.88888888888888884</v>
      </c>
      <c r="FI10" s="51">
        <v>37000</v>
      </c>
      <c r="FJ10" s="51">
        <v>213000</v>
      </c>
      <c r="FK10" s="52">
        <v>258000</v>
      </c>
      <c r="FL10" s="68">
        <f t="shared" si="88"/>
        <v>0.1434108527131783</v>
      </c>
      <c r="FM10" s="68">
        <f t="shared" si="64"/>
        <v>0.38838722799951475</v>
      </c>
      <c r="FN10" s="68">
        <f t="shared" si="65"/>
        <v>0.82558139534883723</v>
      </c>
      <c r="FO10" s="46">
        <f t="shared" si="3"/>
        <v>148000</v>
      </c>
      <c r="FP10" s="46">
        <f t="shared" si="4"/>
        <v>884000</v>
      </c>
      <c r="FQ10" s="48">
        <f t="shared" si="5"/>
        <v>1100000</v>
      </c>
      <c r="FR10" s="48">
        <v>1004000</v>
      </c>
      <c r="FS10" s="68">
        <f t="shared" si="66"/>
        <v>0.13454545454545455</v>
      </c>
      <c r="FT10" s="68">
        <f t="shared" si="67"/>
        <v>0.37557163705608093</v>
      </c>
      <c r="FU10" s="68">
        <f t="shared" si="6"/>
        <v>0.80363636363636359</v>
      </c>
      <c r="FV10" s="68">
        <f t="shared" si="68"/>
        <v>1.1117098383558228</v>
      </c>
      <c r="FW10" s="51">
        <v>0</v>
      </c>
      <c r="FX10" s="51">
        <v>81000</v>
      </c>
      <c r="FY10" s="52">
        <v>291000</v>
      </c>
      <c r="FZ10" s="48">
        <f t="shared" si="69"/>
        <v>0</v>
      </c>
      <c r="GA10" s="71">
        <f t="shared" si="70"/>
        <v>0.27835051546391754</v>
      </c>
      <c r="GB10" s="68">
        <f t="shared" si="71"/>
        <v>0.55576031935268222</v>
      </c>
      <c r="GC10" s="51">
        <v>0</v>
      </c>
      <c r="GD10" s="51">
        <v>50000</v>
      </c>
      <c r="GE10" s="52">
        <v>75000</v>
      </c>
      <c r="GF10" s="48">
        <f t="shared" si="72"/>
        <v>0</v>
      </c>
      <c r="GG10" s="68">
        <f t="shared" si="73"/>
        <v>0</v>
      </c>
      <c r="GH10" s="71">
        <f t="shared" si="74"/>
        <v>0.66666666666666663</v>
      </c>
      <c r="GI10" s="68">
        <f t="shared" si="75"/>
        <v>0.9553166181245093</v>
      </c>
      <c r="GJ10" s="51">
        <v>0</v>
      </c>
      <c r="GK10" s="51">
        <v>164000</v>
      </c>
      <c r="GL10" s="52">
        <v>184000</v>
      </c>
      <c r="GM10" s="71">
        <f t="shared" si="76"/>
        <v>0</v>
      </c>
      <c r="GN10" s="68">
        <f t="shared" si="77"/>
        <v>0</v>
      </c>
      <c r="GO10" s="71">
        <f t="shared" si="78"/>
        <v>0.89130434782608692</v>
      </c>
      <c r="GP10" s="68">
        <f t="shared" si="79"/>
        <v>1.2348208785469397</v>
      </c>
      <c r="GQ10" s="51">
        <v>2000</v>
      </c>
      <c r="GR10" s="51">
        <v>290000</v>
      </c>
      <c r="GS10" s="52">
        <v>297000</v>
      </c>
      <c r="GT10" s="71">
        <f t="shared" si="80"/>
        <v>6.7340067340067337E-3</v>
      </c>
      <c r="GU10" s="68">
        <f t="shared" si="81"/>
        <v>8.2153374081628872E-2</v>
      </c>
      <c r="GV10" s="71">
        <f t="shared" si="82"/>
        <v>0.97643097643097643</v>
      </c>
      <c r="GW10" s="68">
        <f t="shared" si="83"/>
        <v>1.4166647164906745</v>
      </c>
      <c r="GX10" s="40">
        <v>2000</v>
      </c>
      <c r="GY10" s="40">
        <v>504000</v>
      </c>
      <c r="GZ10">
        <v>556000</v>
      </c>
      <c r="HA10" s="126">
        <f t="shared" si="84"/>
        <v>3.5971223021582736E-3</v>
      </c>
      <c r="HB10" s="126">
        <f t="shared" si="85"/>
        <v>0.90647482014388492</v>
      </c>
      <c r="HC10" s="68">
        <f t="shared" si="86"/>
        <v>1.2599979420581449</v>
      </c>
    </row>
    <row r="11" spans="1:211" x14ac:dyDescent="0.2">
      <c r="A11">
        <v>1970</v>
      </c>
      <c r="B11" s="25">
        <v>121</v>
      </c>
      <c r="C11" s="1">
        <v>136</v>
      </c>
      <c r="D11" s="1">
        <v>240</v>
      </c>
      <c r="E11" s="1">
        <v>668</v>
      </c>
      <c r="F11" s="69">
        <f t="shared" si="87"/>
        <v>1165</v>
      </c>
      <c r="G11" s="23">
        <f t="shared" si="7"/>
        <v>1162.5</v>
      </c>
      <c r="H11" s="1">
        <v>172</v>
      </c>
      <c r="I11" s="1">
        <v>94</v>
      </c>
      <c r="J11" s="1">
        <v>71</v>
      </c>
      <c r="K11" s="1">
        <v>211</v>
      </c>
      <c r="L11" s="1">
        <v>35</v>
      </c>
      <c r="M11" s="1">
        <v>39</v>
      </c>
      <c r="N11" s="1">
        <v>24</v>
      </c>
      <c r="O11" s="1">
        <v>38</v>
      </c>
      <c r="P11" s="1">
        <v>266</v>
      </c>
      <c r="Q11" s="1">
        <v>86</v>
      </c>
      <c r="R11" s="1">
        <v>41</v>
      </c>
      <c r="S11" s="1">
        <v>75</v>
      </c>
      <c r="T11" s="69">
        <f t="shared" si="89"/>
        <v>468</v>
      </c>
      <c r="U11" s="1">
        <v>24</v>
      </c>
      <c r="V11" s="1">
        <v>23</v>
      </c>
      <c r="W11" s="1">
        <v>234</v>
      </c>
      <c r="X11" s="1">
        <v>20</v>
      </c>
      <c r="Y11" s="1">
        <v>14</v>
      </c>
      <c r="Z11" s="1">
        <v>25</v>
      </c>
      <c r="AA11" s="1">
        <v>43</v>
      </c>
      <c r="AB11" s="69">
        <f t="shared" si="90"/>
        <v>82</v>
      </c>
      <c r="AC11" s="27">
        <v>587.9</v>
      </c>
      <c r="AD11" s="31">
        <v>2077.3000000000002</v>
      </c>
      <c r="AE11" s="31">
        <v>1474.8</v>
      </c>
      <c r="AF11" s="13">
        <v>2836.5</v>
      </c>
      <c r="AG11" s="41">
        <f t="shared" si="91"/>
        <v>6976.5</v>
      </c>
      <c r="AH11" s="13">
        <v>1465.2</v>
      </c>
      <c r="AI11" s="13">
        <v>3310.5</v>
      </c>
      <c r="AJ11" s="13">
        <v>7299.8</v>
      </c>
      <c r="AK11" s="13">
        <v>5570.5</v>
      </c>
      <c r="AL11" s="41">
        <f t="shared" si="92"/>
        <v>17646</v>
      </c>
      <c r="AM11" s="32">
        <v>3203</v>
      </c>
      <c r="AN11" s="31">
        <v>34330</v>
      </c>
      <c r="AO11" s="34">
        <f>570.6+61.7+1</f>
        <v>633.30000000000007</v>
      </c>
      <c r="AP11" s="34">
        <f>4514.6+37.1+1194.8+17172.1+1013+6264+1360+1189.4+66.4</f>
        <v>32811.4</v>
      </c>
      <c r="AQ11" s="1">
        <v>87324</v>
      </c>
      <c r="AR11" s="30" t="e">
        <f>AZ11/#REF!</f>
        <v>#REF!</v>
      </c>
      <c r="AS11" s="74" t="e">
        <f>AY11/#REF!</f>
        <v>#REF!</v>
      </c>
      <c r="AY11">
        <f>587.9+2077.3+1474.8+2836.5</f>
        <v>6976.5</v>
      </c>
      <c r="AZ11">
        <f>1465.2+3310.5+7299.8+5570.5</f>
        <v>17646</v>
      </c>
      <c r="BA11" s="49">
        <v>200000</v>
      </c>
      <c r="BB11" s="19">
        <v>118000</v>
      </c>
      <c r="BC11" s="50">
        <v>388000</v>
      </c>
      <c r="BD11" s="72">
        <f t="shared" si="8"/>
        <v>0.51546391752577314</v>
      </c>
      <c r="BE11" s="72">
        <f t="shared" si="9"/>
        <v>0.80086454727101453</v>
      </c>
      <c r="BF11" s="72">
        <f t="shared" si="10"/>
        <v>0.30412371134020616</v>
      </c>
      <c r="BG11" s="72">
        <f t="shared" si="11"/>
        <v>0.5841303378049989</v>
      </c>
      <c r="BH11" s="49">
        <v>331000</v>
      </c>
      <c r="BI11" s="51">
        <v>48000</v>
      </c>
      <c r="BJ11" s="52">
        <v>414000</v>
      </c>
      <c r="BK11" s="71">
        <f t="shared" si="12"/>
        <v>0.79951690821256038</v>
      </c>
      <c r="BL11" s="72">
        <f t="shared" si="13"/>
        <v>1.1065451261553061</v>
      </c>
      <c r="BM11" s="71">
        <f t="shared" si="14"/>
        <v>0.11594202898550725</v>
      </c>
      <c r="BN11" s="72">
        <f t="shared" si="15"/>
        <v>0.34745140124898977</v>
      </c>
      <c r="BO11" s="51">
        <v>0</v>
      </c>
      <c r="BP11" s="51">
        <v>83000</v>
      </c>
      <c r="BQ11" s="52">
        <v>110000</v>
      </c>
      <c r="BR11" s="48">
        <f t="shared" si="16"/>
        <v>0</v>
      </c>
      <c r="BS11" s="71">
        <f t="shared" si="17"/>
        <v>0.75454545454545452</v>
      </c>
      <c r="BT11" s="72">
        <f t="shared" si="18"/>
        <v>1.0524622898329681</v>
      </c>
      <c r="BU11" s="51">
        <v>0</v>
      </c>
      <c r="BV11" s="51">
        <v>10000</v>
      </c>
      <c r="BW11" s="52">
        <v>54000</v>
      </c>
      <c r="BX11" s="48">
        <f t="shared" si="19"/>
        <v>0</v>
      </c>
      <c r="BY11" s="71">
        <f t="shared" si="20"/>
        <v>0.18518518518518517</v>
      </c>
      <c r="BZ11" s="72">
        <f t="shared" si="21"/>
        <v>0.44485996933794703</v>
      </c>
      <c r="CA11" s="51">
        <v>0</v>
      </c>
      <c r="CB11" s="51">
        <v>4000</v>
      </c>
      <c r="CC11" s="52">
        <v>15000</v>
      </c>
      <c r="CD11" s="48">
        <f t="shared" si="22"/>
        <v>0</v>
      </c>
      <c r="CE11" s="71">
        <f t="shared" si="23"/>
        <v>0.26666666666666666</v>
      </c>
      <c r="CF11" s="72">
        <f t="shared" si="24"/>
        <v>0.54263910224965262</v>
      </c>
      <c r="CG11" s="53">
        <v>0</v>
      </c>
      <c r="CH11" s="53">
        <v>0</v>
      </c>
      <c r="CI11" s="52">
        <v>12000</v>
      </c>
      <c r="CJ11" s="48">
        <f t="shared" si="25"/>
        <v>0</v>
      </c>
      <c r="CK11" s="71">
        <f t="shared" si="26"/>
        <v>0</v>
      </c>
      <c r="CL11" s="72">
        <f t="shared" si="27"/>
        <v>0</v>
      </c>
      <c r="CM11" s="53">
        <v>0</v>
      </c>
      <c r="CN11" s="53">
        <v>244000</v>
      </c>
      <c r="CO11" s="52">
        <v>255000</v>
      </c>
      <c r="CP11" s="48">
        <f t="shared" si="28"/>
        <v>0</v>
      </c>
      <c r="CQ11" s="71">
        <f t="shared" si="29"/>
        <v>0.95686274509803926</v>
      </c>
      <c r="CR11" s="72">
        <f t="shared" si="30"/>
        <v>1.3615782401004546</v>
      </c>
      <c r="CS11" s="47">
        <v>0</v>
      </c>
      <c r="CT11" s="47">
        <v>40000</v>
      </c>
      <c r="CU11" s="48">
        <v>42000</v>
      </c>
      <c r="CV11" s="48">
        <f t="shared" si="31"/>
        <v>0</v>
      </c>
      <c r="CW11" s="72">
        <f t="shared" si="32"/>
        <v>0.95238095238095233</v>
      </c>
      <c r="CX11" s="72">
        <f t="shared" si="33"/>
        <v>1.3508083493994372</v>
      </c>
      <c r="CY11" s="53">
        <v>0</v>
      </c>
      <c r="CZ11" s="53">
        <v>18000</v>
      </c>
      <c r="DA11" s="52">
        <v>84000</v>
      </c>
      <c r="DB11" s="48">
        <f t="shared" si="34"/>
        <v>0</v>
      </c>
      <c r="DC11" s="71">
        <f t="shared" si="35"/>
        <v>0.21428571428571427</v>
      </c>
      <c r="DD11" s="72">
        <f t="shared" si="36"/>
        <v>0.48127537394234349</v>
      </c>
      <c r="DE11" s="47">
        <v>0</v>
      </c>
      <c r="DF11" s="47">
        <v>12000</v>
      </c>
      <c r="DG11" s="48">
        <v>31000</v>
      </c>
      <c r="DH11" s="48">
        <f t="shared" si="37"/>
        <v>0</v>
      </c>
      <c r="DI11" s="71">
        <f t="shared" si="38"/>
        <v>0.38709677419354838</v>
      </c>
      <c r="DJ11" s="72">
        <f t="shared" si="39"/>
        <v>0.67151276860410103</v>
      </c>
      <c r="DK11" s="47">
        <v>0</v>
      </c>
      <c r="DL11" s="47">
        <v>126000</v>
      </c>
      <c r="DM11" s="48">
        <v>140000</v>
      </c>
      <c r="DN11" s="48">
        <f t="shared" si="40"/>
        <v>0</v>
      </c>
      <c r="DO11" s="71">
        <f t="shared" si="41"/>
        <v>0.9</v>
      </c>
      <c r="DP11" s="72">
        <f t="shared" si="42"/>
        <v>1.2490457723982542</v>
      </c>
      <c r="DQ11" s="51">
        <v>0</v>
      </c>
      <c r="DR11" s="51">
        <v>127000</v>
      </c>
      <c r="DS11" s="52">
        <v>141000</v>
      </c>
      <c r="DT11" s="71">
        <f t="shared" si="43"/>
        <v>0</v>
      </c>
      <c r="DU11" s="72">
        <f t="shared" si="44"/>
        <v>0</v>
      </c>
      <c r="DV11" s="71">
        <f t="shared" si="45"/>
        <v>0.900709219858156</v>
      </c>
      <c r="DW11" s="72">
        <f t="shared" si="46"/>
        <v>1.2502296754357707</v>
      </c>
      <c r="DX11" s="51">
        <v>0</v>
      </c>
      <c r="DY11" s="51">
        <v>36000</v>
      </c>
      <c r="DZ11" s="52">
        <v>60000</v>
      </c>
      <c r="EA11" s="71">
        <f t="shared" si="47"/>
        <v>0</v>
      </c>
      <c r="EB11" s="72">
        <f t="shared" si="48"/>
        <v>0</v>
      </c>
      <c r="EC11" s="71">
        <f t="shared" si="49"/>
        <v>0.6</v>
      </c>
      <c r="ED11" s="72">
        <f t="shared" si="50"/>
        <v>0.88607712379261372</v>
      </c>
      <c r="EE11" s="51">
        <v>0</v>
      </c>
      <c r="EF11" s="51">
        <v>177000</v>
      </c>
      <c r="EG11" s="52">
        <v>183000</v>
      </c>
      <c r="EH11" s="48">
        <f t="shared" si="51"/>
        <v>0</v>
      </c>
      <c r="EI11" s="71">
        <f t="shared" si="52"/>
        <v>0.96721311475409832</v>
      </c>
      <c r="EJ11" s="72">
        <f t="shared" si="53"/>
        <v>1.3887204829678317</v>
      </c>
      <c r="EK11" s="51">
        <v>0</v>
      </c>
      <c r="EL11" s="51">
        <v>44000</v>
      </c>
      <c r="EM11" s="52">
        <v>46000</v>
      </c>
      <c r="EN11" s="48">
        <f t="shared" si="54"/>
        <v>0</v>
      </c>
      <c r="EO11" s="71">
        <f t="shared" si="55"/>
        <v>0.95652173913043481</v>
      </c>
      <c r="EP11" s="72">
        <f t="shared" si="56"/>
        <v>1.3607405877236576</v>
      </c>
      <c r="EQ11" s="49">
        <v>76000</v>
      </c>
      <c r="ER11" s="51">
        <v>442000</v>
      </c>
      <c r="ES11" s="52">
        <v>530000</v>
      </c>
      <c r="ET11" s="68">
        <f t="shared" si="57"/>
        <v>0.14339622641509434</v>
      </c>
      <c r="EU11" s="68">
        <f t="shared" si="0"/>
        <v>0</v>
      </c>
      <c r="EV11" s="68">
        <f t="shared" si="58"/>
        <v>0.83396226415094343</v>
      </c>
      <c r="EW11" s="51">
        <v>40000</v>
      </c>
      <c r="EX11" s="51">
        <v>218000</v>
      </c>
      <c r="EY11" s="52">
        <v>280000</v>
      </c>
      <c r="EZ11" s="68">
        <f t="shared" si="59"/>
        <v>0.14285714285714285</v>
      </c>
      <c r="FA11" s="68">
        <f t="shared" si="60"/>
        <v>0.3875966866551806</v>
      </c>
      <c r="FB11" s="68">
        <f t="shared" si="61"/>
        <v>0.77857142857142858</v>
      </c>
      <c r="FC11" s="51">
        <v>0</v>
      </c>
      <c r="FD11" s="51">
        <v>63000</v>
      </c>
      <c r="FE11" s="52">
        <v>66000</v>
      </c>
      <c r="FF11" s="68">
        <f t="shared" si="62"/>
        <v>0</v>
      </c>
      <c r="FG11" s="68">
        <f t="shared" si="63"/>
        <v>0</v>
      </c>
      <c r="FH11" s="68">
        <f t="shared" si="1"/>
        <v>0.95454545454545459</v>
      </c>
      <c r="FI11" s="51">
        <v>35000</v>
      </c>
      <c r="FJ11" s="51">
        <v>268000</v>
      </c>
      <c r="FK11" s="52">
        <v>305000</v>
      </c>
      <c r="FL11" s="68">
        <f t="shared" si="88"/>
        <v>0.11475409836065574</v>
      </c>
      <c r="FM11" s="68">
        <f t="shared" si="64"/>
        <v>0.34559200885002161</v>
      </c>
      <c r="FN11" s="68">
        <f t="shared" si="65"/>
        <v>0.87868852459016389</v>
      </c>
      <c r="FO11" s="46">
        <f t="shared" si="3"/>
        <v>151000</v>
      </c>
      <c r="FP11" s="46">
        <f t="shared" si="4"/>
        <v>991000</v>
      </c>
      <c r="FQ11" s="48">
        <f t="shared" si="5"/>
        <v>1181000</v>
      </c>
      <c r="FR11" s="48">
        <v>1100000</v>
      </c>
      <c r="FS11" s="68">
        <f t="shared" si="66"/>
        <v>0.12785774767146485</v>
      </c>
      <c r="FT11" s="68">
        <f t="shared" si="67"/>
        <v>0.36566672361008762</v>
      </c>
      <c r="FU11" s="68">
        <f t="shared" si="6"/>
        <v>0.83911939034716343</v>
      </c>
      <c r="FV11" s="68">
        <f t="shared" si="68"/>
        <v>1.1580797845145194</v>
      </c>
      <c r="FW11" s="51">
        <v>0</v>
      </c>
      <c r="FX11" s="51">
        <v>86000</v>
      </c>
      <c r="FY11" s="52">
        <v>306000</v>
      </c>
      <c r="FZ11" s="48">
        <f t="shared" si="69"/>
        <v>0</v>
      </c>
      <c r="GA11" s="71">
        <f t="shared" si="70"/>
        <v>0.28104575163398693</v>
      </c>
      <c r="GB11" s="68">
        <f t="shared" si="71"/>
        <v>0.55876270102552617</v>
      </c>
      <c r="GC11" s="51">
        <v>0</v>
      </c>
      <c r="GD11" s="51">
        <v>61000</v>
      </c>
      <c r="GE11" s="52">
        <v>84000</v>
      </c>
      <c r="GF11" s="48">
        <f t="shared" si="72"/>
        <v>0</v>
      </c>
      <c r="GG11" s="68">
        <f t="shared" si="73"/>
        <v>0</v>
      </c>
      <c r="GH11" s="71">
        <f t="shared" si="74"/>
        <v>0.72619047619047616</v>
      </c>
      <c r="GI11" s="68">
        <f t="shared" si="75"/>
        <v>1.0201148086015077</v>
      </c>
      <c r="GJ11" s="51">
        <v>0</v>
      </c>
      <c r="GK11" s="51">
        <v>195000</v>
      </c>
      <c r="GL11" s="52">
        <v>208000</v>
      </c>
      <c r="GM11" s="71">
        <f t="shared" si="76"/>
        <v>0</v>
      </c>
      <c r="GN11" s="68">
        <f t="shared" si="77"/>
        <v>0</v>
      </c>
      <c r="GO11" s="71">
        <f t="shared" si="78"/>
        <v>0.9375</v>
      </c>
      <c r="GP11" s="68">
        <f t="shared" si="79"/>
        <v>1.3181160716528182</v>
      </c>
      <c r="GQ11" s="51">
        <v>2000</v>
      </c>
      <c r="GR11" s="51">
        <v>268000</v>
      </c>
      <c r="GS11" s="52">
        <v>271000</v>
      </c>
      <c r="GT11" s="71">
        <f t="shared" si="80"/>
        <v>7.3800738007380072E-3</v>
      </c>
      <c r="GU11" s="68">
        <f t="shared" si="81"/>
        <v>8.6013375495283456E-2</v>
      </c>
      <c r="GV11" s="71">
        <f t="shared" si="82"/>
        <v>0.98892988929889303</v>
      </c>
      <c r="GW11" s="68">
        <f t="shared" si="83"/>
        <v>1.4653866369004895</v>
      </c>
      <c r="GX11" s="40">
        <v>2000</v>
      </c>
      <c r="GY11" s="40">
        <v>524000</v>
      </c>
      <c r="GZ11">
        <v>563000</v>
      </c>
      <c r="HA11" s="126">
        <f t="shared" si="84"/>
        <v>3.552397868561279E-3</v>
      </c>
      <c r="HB11" s="126">
        <f t="shared" si="85"/>
        <v>0.93072824156305511</v>
      </c>
      <c r="HC11" s="68">
        <f t="shared" si="86"/>
        <v>1.3044635523868429</v>
      </c>
    </row>
    <row r="12" spans="1:211" x14ac:dyDescent="0.2">
      <c r="A12">
        <v>1971</v>
      </c>
      <c r="B12" s="25">
        <v>92</v>
      </c>
      <c r="C12" s="1">
        <v>38</v>
      </c>
      <c r="D12" s="1">
        <v>114</v>
      </c>
      <c r="E12" s="1">
        <v>215</v>
      </c>
      <c r="F12" s="69">
        <f t="shared" si="87"/>
        <v>459</v>
      </c>
      <c r="G12" s="23">
        <f t="shared" si="7"/>
        <v>456.50000000000006</v>
      </c>
      <c r="H12" s="1">
        <v>85</v>
      </c>
      <c r="I12" s="1">
        <v>126</v>
      </c>
      <c r="J12" s="1">
        <v>97</v>
      </c>
      <c r="K12" s="1">
        <v>24</v>
      </c>
      <c r="L12" s="1">
        <v>20</v>
      </c>
      <c r="M12" s="1">
        <v>17</v>
      </c>
      <c r="N12" s="1">
        <v>24</v>
      </c>
      <c r="O12" s="1">
        <v>5</v>
      </c>
      <c r="P12" s="1">
        <v>165</v>
      </c>
      <c r="Q12" s="1">
        <v>66</v>
      </c>
      <c r="R12" s="1">
        <v>25</v>
      </c>
      <c r="S12" s="1">
        <v>43</v>
      </c>
      <c r="T12" s="69">
        <f t="shared" si="89"/>
        <v>299</v>
      </c>
      <c r="U12" s="1">
        <v>15</v>
      </c>
      <c r="V12" s="1">
        <v>8</v>
      </c>
      <c r="W12" s="1"/>
      <c r="X12" s="1">
        <v>25</v>
      </c>
      <c r="Y12" s="1"/>
      <c r="Z12" s="1">
        <v>35</v>
      </c>
      <c r="AA12" s="1">
        <v>48</v>
      </c>
      <c r="AB12" s="69"/>
      <c r="AC12" s="27">
        <v>603.20000000000005</v>
      </c>
      <c r="AD12" s="13">
        <v>919.5</v>
      </c>
      <c r="AE12" s="13">
        <v>849.4</v>
      </c>
      <c r="AF12" s="13">
        <v>1084.7</v>
      </c>
      <c r="AG12" s="41">
        <f t="shared" si="91"/>
        <v>3456.8</v>
      </c>
      <c r="AH12" s="27">
        <v>2195.4</v>
      </c>
      <c r="AI12" s="13">
        <v>956</v>
      </c>
      <c r="AJ12" s="13">
        <v>2359.3000000000002</v>
      </c>
      <c r="AK12" s="13">
        <v>1896.7</v>
      </c>
      <c r="AL12" s="41">
        <f t="shared" si="92"/>
        <v>7407.4000000000005</v>
      </c>
      <c r="AM12" s="32">
        <v>1714</v>
      </c>
      <c r="AN12" s="31">
        <v>13194</v>
      </c>
      <c r="AO12" s="34">
        <f>421+70.9</f>
        <v>491.9</v>
      </c>
      <c r="AP12" s="34">
        <f>1756.2+370.5+4215.9+791.5+3558+39.1+1873.2</f>
        <v>12604.4</v>
      </c>
      <c r="AQ12" s="1">
        <v>34945</v>
      </c>
      <c r="AR12" s="30" t="e">
        <f>AZ12/#REF!</f>
        <v>#REF!</v>
      </c>
      <c r="AS12" s="74" t="e">
        <f>AY12/#REF!</f>
        <v>#REF!</v>
      </c>
      <c r="AY12">
        <f>603.2+919.5+849.4+1084.7</f>
        <v>3456.8</v>
      </c>
      <c r="AZ12">
        <f>2195.4+956+2359.3+1896.7</f>
        <v>7407.4000000000005</v>
      </c>
      <c r="BA12" s="49">
        <v>220000</v>
      </c>
      <c r="BB12" s="19">
        <v>158000</v>
      </c>
      <c r="BC12" s="50">
        <v>439000</v>
      </c>
      <c r="BD12" s="72">
        <f t="shared" si="8"/>
        <v>0.50113895216400917</v>
      </c>
      <c r="BE12" s="72">
        <f t="shared" si="9"/>
        <v>0.78653711654643477</v>
      </c>
      <c r="BF12" s="72">
        <f t="shared" si="10"/>
        <v>0.35990888382687924</v>
      </c>
      <c r="BG12" s="72">
        <f t="shared" si="11"/>
        <v>0.64340619348477968</v>
      </c>
      <c r="BH12" s="49">
        <v>297000</v>
      </c>
      <c r="BI12" s="51">
        <v>51000</v>
      </c>
      <c r="BJ12" s="52">
        <v>385000</v>
      </c>
      <c r="BK12" s="71">
        <f t="shared" si="12"/>
        <v>0.77142857142857146</v>
      </c>
      <c r="BL12" s="72">
        <f t="shared" si="13"/>
        <v>1.0723158896574636</v>
      </c>
      <c r="BM12" s="71">
        <f t="shared" si="14"/>
        <v>0.13246753246753246</v>
      </c>
      <c r="BN12" s="72">
        <f t="shared" si="15"/>
        <v>0.37251693794216212</v>
      </c>
      <c r="BO12" s="51">
        <v>0</v>
      </c>
      <c r="BP12" s="51">
        <v>96000</v>
      </c>
      <c r="BQ12" s="52">
        <v>126000</v>
      </c>
      <c r="BR12" s="48">
        <f t="shared" si="16"/>
        <v>0</v>
      </c>
      <c r="BS12" s="71">
        <f t="shared" si="17"/>
        <v>0.76190476190476186</v>
      </c>
      <c r="BT12" s="72">
        <f t="shared" si="18"/>
        <v>1.0610566479633896</v>
      </c>
      <c r="BU12" s="51">
        <v>0</v>
      </c>
      <c r="BV12" s="51">
        <v>11000</v>
      </c>
      <c r="BW12" s="52">
        <v>55000</v>
      </c>
      <c r="BX12" s="48">
        <f t="shared" si="19"/>
        <v>0</v>
      </c>
      <c r="BY12" s="71">
        <f t="shared" si="20"/>
        <v>0.2</v>
      </c>
      <c r="BZ12" s="72">
        <f t="shared" si="21"/>
        <v>0.46364760900080609</v>
      </c>
      <c r="CA12" s="51">
        <v>0</v>
      </c>
      <c r="CB12" s="51">
        <v>5000</v>
      </c>
      <c r="CC12" s="52">
        <v>14000</v>
      </c>
      <c r="CD12" s="48">
        <f t="shared" si="22"/>
        <v>0</v>
      </c>
      <c r="CE12" s="71">
        <f t="shared" si="23"/>
        <v>0.35714285714285715</v>
      </c>
      <c r="CF12" s="72">
        <f t="shared" si="24"/>
        <v>0.6405223126794245</v>
      </c>
      <c r="CG12" s="53">
        <v>0</v>
      </c>
      <c r="CH12" s="53">
        <v>0</v>
      </c>
      <c r="CI12" s="52">
        <v>17000</v>
      </c>
      <c r="CJ12" s="48">
        <f t="shared" si="25"/>
        <v>0</v>
      </c>
      <c r="CK12" s="71">
        <f t="shared" si="26"/>
        <v>0</v>
      </c>
      <c r="CL12" s="72">
        <f t="shared" si="27"/>
        <v>0</v>
      </c>
      <c r="CM12" s="53">
        <v>0</v>
      </c>
      <c r="CN12" s="53">
        <v>238000</v>
      </c>
      <c r="CO12" s="52">
        <v>255000</v>
      </c>
      <c r="CP12" s="48">
        <f t="shared" si="28"/>
        <v>0</v>
      </c>
      <c r="CQ12" s="71">
        <f t="shared" si="29"/>
        <v>0.93333333333333335</v>
      </c>
      <c r="CR12" s="72">
        <f t="shared" si="30"/>
        <v>1.3096389158918722</v>
      </c>
      <c r="CS12" s="47">
        <v>0</v>
      </c>
      <c r="CT12" s="47">
        <v>71000</v>
      </c>
      <c r="CU12" s="48">
        <v>75000</v>
      </c>
      <c r="CV12" s="48">
        <f t="shared" si="31"/>
        <v>0</v>
      </c>
      <c r="CW12" s="72">
        <f t="shared" si="32"/>
        <v>0.94666666666666666</v>
      </c>
      <c r="CX12" s="72">
        <f t="shared" si="33"/>
        <v>1.3377525278054809</v>
      </c>
      <c r="CY12" s="53">
        <v>0</v>
      </c>
      <c r="CZ12" s="53">
        <v>12000</v>
      </c>
      <c r="DA12" s="52">
        <v>89000</v>
      </c>
      <c r="DB12" s="48">
        <f t="shared" si="34"/>
        <v>0</v>
      </c>
      <c r="DC12" s="71">
        <f t="shared" si="35"/>
        <v>0.1348314606741573</v>
      </c>
      <c r="DD12" s="72">
        <f t="shared" si="36"/>
        <v>0.3759905212392905</v>
      </c>
      <c r="DE12" s="47">
        <v>0</v>
      </c>
      <c r="DF12" s="47">
        <v>16000</v>
      </c>
      <c r="DG12" s="48">
        <v>36000</v>
      </c>
      <c r="DH12" s="48">
        <f t="shared" si="37"/>
        <v>0</v>
      </c>
      <c r="DI12" s="71">
        <f t="shared" si="38"/>
        <v>0.44444444444444442</v>
      </c>
      <c r="DJ12" s="72">
        <f t="shared" si="39"/>
        <v>0.72972765622696634</v>
      </c>
      <c r="DK12" s="47">
        <v>0</v>
      </c>
      <c r="DL12" s="47">
        <v>93000</v>
      </c>
      <c r="DM12" s="48">
        <v>106000</v>
      </c>
      <c r="DN12" s="48">
        <f t="shared" si="40"/>
        <v>0</v>
      </c>
      <c r="DO12" s="71">
        <f t="shared" si="41"/>
        <v>0.87735849056603776</v>
      </c>
      <c r="DP12" s="72">
        <f t="shared" si="42"/>
        <v>1.2130094706020831</v>
      </c>
      <c r="DQ12" s="51">
        <v>0</v>
      </c>
      <c r="DR12" s="51">
        <v>156000</v>
      </c>
      <c r="DS12" s="52">
        <v>181000</v>
      </c>
      <c r="DT12" s="71">
        <f t="shared" si="43"/>
        <v>0</v>
      </c>
      <c r="DU12" s="72">
        <f t="shared" si="44"/>
        <v>0</v>
      </c>
      <c r="DV12" s="71">
        <f t="shared" si="45"/>
        <v>0.86187845303867405</v>
      </c>
      <c r="DW12" s="72">
        <f t="shared" si="46"/>
        <v>1.1900137866538851</v>
      </c>
      <c r="DX12" s="51">
        <v>0</v>
      </c>
      <c r="DY12" s="51">
        <v>56000</v>
      </c>
      <c r="DZ12" s="52">
        <v>90000</v>
      </c>
      <c r="EA12" s="71">
        <f t="shared" si="47"/>
        <v>0</v>
      </c>
      <c r="EB12" s="72">
        <f t="shared" si="48"/>
        <v>0</v>
      </c>
      <c r="EC12" s="71">
        <f t="shared" si="49"/>
        <v>0.62222222222222223</v>
      </c>
      <c r="ED12" s="72">
        <f t="shared" si="50"/>
        <v>0.90887152067766486</v>
      </c>
      <c r="EE12" s="51">
        <v>0</v>
      </c>
      <c r="EF12" s="51">
        <v>176000</v>
      </c>
      <c r="EG12" s="52">
        <v>185000</v>
      </c>
      <c r="EH12" s="48">
        <f t="shared" si="51"/>
        <v>0</v>
      </c>
      <c r="EI12" s="71">
        <f t="shared" si="52"/>
        <v>0.9513513513513514</v>
      </c>
      <c r="EJ12" s="72">
        <f t="shared" si="53"/>
        <v>1.348403257057452</v>
      </c>
      <c r="EK12" s="51">
        <v>0</v>
      </c>
      <c r="EL12" s="51">
        <v>39000</v>
      </c>
      <c r="EM12" s="52">
        <v>44000</v>
      </c>
      <c r="EN12" s="48">
        <f t="shared" si="54"/>
        <v>0</v>
      </c>
      <c r="EO12" s="71">
        <f t="shared" si="55"/>
        <v>0.88636363636363635</v>
      </c>
      <c r="EP12" s="72">
        <f t="shared" si="56"/>
        <v>1.2269615008393358</v>
      </c>
      <c r="EQ12" s="49">
        <v>76000</v>
      </c>
      <c r="ER12" s="51">
        <v>459000</v>
      </c>
      <c r="ES12" s="52">
        <v>550000</v>
      </c>
      <c r="ET12" s="68">
        <f t="shared" si="57"/>
        <v>0.13818181818181818</v>
      </c>
      <c r="EU12" s="68">
        <f t="shared" si="0"/>
        <v>0</v>
      </c>
      <c r="EV12" s="68">
        <f t="shared" si="58"/>
        <v>0.83454545454545459</v>
      </c>
      <c r="EW12" s="51">
        <v>35000</v>
      </c>
      <c r="EX12" s="51">
        <v>199000</v>
      </c>
      <c r="EY12" s="52">
        <v>270000</v>
      </c>
      <c r="EZ12" s="68">
        <f t="shared" si="59"/>
        <v>0.12962962962962962</v>
      </c>
      <c r="FA12" s="68">
        <f t="shared" si="60"/>
        <v>0.36831200100956424</v>
      </c>
      <c r="FB12" s="68">
        <f t="shared" si="61"/>
        <v>0.73703703703703705</v>
      </c>
      <c r="FC12" s="51">
        <v>1000</v>
      </c>
      <c r="FD12" s="51">
        <v>88000</v>
      </c>
      <c r="FE12" s="52">
        <v>95000</v>
      </c>
      <c r="FF12" s="68">
        <f t="shared" si="62"/>
        <v>1.1363636363636364E-2</v>
      </c>
      <c r="FG12" s="68">
        <f t="shared" si="63"/>
        <v>0.10680329224901837</v>
      </c>
      <c r="FH12" s="68">
        <f t="shared" si="1"/>
        <v>0.9263157894736842</v>
      </c>
      <c r="FI12" s="51">
        <v>40000</v>
      </c>
      <c r="FJ12" s="51">
        <v>211000</v>
      </c>
      <c r="FK12" s="52">
        <v>256000</v>
      </c>
      <c r="FL12" s="68">
        <f t="shared" si="88"/>
        <v>0.15625</v>
      </c>
      <c r="FM12" s="68">
        <f t="shared" si="64"/>
        <v>0.40637778068433039</v>
      </c>
      <c r="FN12" s="68">
        <f t="shared" si="65"/>
        <v>0.82421875</v>
      </c>
      <c r="FO12" s="46">
        <f t="shared" si="3"/>
        <v>152000</v>
      </c>
      <c r="FP12" s="46">
        <f t="shared" si="4"/>
        <v>957000</v>
      </c>
      <c r="FQ12" s="48">
        <f t="shared" si="5"/>
        <v>1171000</v>
      </c>
      <c r="FR12" s="48">
        <v>1181000</v>
      </c>
      <c r="FS12" s="68">
        <f t="shared" si="66"/>
        <v>0.12980358667805295</v>
      </c>
      <c r="FT12" s="68">
        <f t="shared" si="67"/>
        <v>0.36857087231703994</v>
      </c>
      <c r="FU12" s="68">
        <f t="shared" si="6"/>
        <v>0.8172502134927413</v>
      </c>
      <c r="FV12" s="68">
        <f t="shared" si="68"/>
        <v>1.1290791661371617</v>
      </c>
      <c r="FW12" s="51">
        <v>0</v>
      </c>
      <c r="FX12" s="51">
        <v>99000</v>
      </c>
      <c r="FY12" s="52">
        <v>298000</v>
      </c>
      <c r="FZ12" s="48">
        <f t="shared" si="69"/>
        <v>0</v>
      </c>
      <c r="GA12" s="71">
        <f t="shared" si="70"/>
        <v>0.33221476510067116</v>
      </c>
      <c r="GB12" s="68">
        <f t="shared" si="71"/>
        <v>0.61429278870348514</v>
      </c>
      <c r="GC12" s="51">
        <v>0</v>
      </c>
      <c r="GD12" s="51">
        <v>56000</v>
      </c>
      <c r="GE12" s="52">
        <v>80000</v>
      </c>
      <c r="GF12" s="48">
        <f t="shared" si="72"/>
        <v>0</v>
      </c>
      <c r="GG12" s="68">
        <f t="shared" si="73"/>
        <v>0</v>
      </c>
      <c r="GH12" s="71">
        <f t="shared" si="74"/>
        <v>0.7</v>
      </c>
      <c r="GI12" s="68">
        <f t="shared" si="75"/>
        <v>0.99115658643119231</v>
      </c>
      <c r="GJ12" s="51">
        <v>0</v>
      </c>
      <c r="GK12" s="51">
        <v>268000</v>
      </c>
      <c r="GL12" s="52">
        <v>290000</v>
      </c>
      <c r="GM12" s="71">
        <f t="shared" si="76"/>
        <v>0</v>
      </c>
      <c r="GN12" s="68">
        <f t="shared" si="77"/>
        <v>0</v>
      </c>
      <c r="GO12" s="71">
        <f t="shared" si="78"/>
        <v>0.92413793103448272</v>
      </c>
      <c r="GP12" s="68">
        <f t="shared" si="79"/>
        <v>1.2917586266836856</v>
      </c>
      <c r="GQ12" s="51">
        <v>3000</v>
      </c>
      <c r="GR12" s="51">
        <v>317000</v>
      </c>
      <c r="GS12" s="52">
        <v>330000</v>
      </c>
      <c r="GT12" s="71">
        <f t="shared" si="80"/>
        <v>9.0909090909090905E-3</v>
      </c>
      <c r="GU12" s="68">
        <f t="shared" si="81"/>
        <v>9.5491317160353514E-2</v>
      </c>
      <c r="GV12" s="71">
        <f t="shared" si="82"/>
        <v>0.96060606060606057</v>
      </c>
      <c r="GW12" s="68">
        <f t="shared" si="83"/>
        <v>1.3709904581706462</v>
      </c>
      <c r="GX12" s="40">
        <v>3000</v>
      </c>
      <c r="GY12" s="40">
        <v>641000</v>
      </c>
      <c r="GZ12">
        <v>700000</v>
      </c>
      <c r="HA12" s="126">
        <f t="shared" si="84"/>
        <v>4.2857142857142859E-3</v>
      </c>
      <c r="HB12" s="126">
        <f t="shared" si="85"/>
        <v>0.9157142857142857</v>
      </c>
      <c r="HC12" s="68">
        <f t="shared" si="86"/>
        <v>1.2762350817515917</v>
      </c>
    </row>
    <row r="13" spans="1:211" x14ac:dyDescent="0.2">
      <c r="A13">
        <v>1972</v>
      </c>
      <c r="B13" s="25">
        <v>273</v>
      </c>
      <c r="C13" s="1">
        <v>87</v>
      </c>
      <c r="D13" s="1">
        <v>196</v>
      </c>
      <c r="E13" s="1">
        <v>548</v>
      </c>
      <c r="F13" s="69">
        <f t="shared" si="87"/>
        <v>1104</v>
      </c>
      <c r="G13" s="23">
        <f t="shared" si="7"/>
        <v>1101.5</v>
      </c>
      <c r="H13" s="1">
        <v>62</v>
      </c>
      <c r="I13" s="1">
        <v>78</v>
      </c>
      <c r="J13" s="1">
        <v>43</v>
      </c>
      <c r="K13" s="1">
        <v>87</v>
      </c>
      <c r="L13" s="1">
        <v>16</v>
      </c>
      <c r="M13" s="1">
        <v>16</v>
      </c>
      <c r="N13" s="1">
        <v>19</v>
      </c>
      <c r="O13" s="1">
        <v>52</v>
      </c>
      <c r="P13" s="1">
        <v>47</v>
      </c>
      <c r="Q13" s="1">
        <v>40</v>
      </c>
      <c r="R13" s="1">
        <v>6</v>
      </c>
      <c r="S13" s="1">
        <v>19</v>
      </c>
      <c r="T13" s="69">
        <f t="shared" si="89"/>
        <v>112</v>
      </c>
      <c r="U13" s="1">
        <v>2</v>
      </c>
      <c r="V13" s="1">
        <v>2</v>
      </c>
      <c r="W13" s="1">
        <v>31</v>
      </c>
      <c r="X13" s="1">
        <v>7</v>
      </c>
      <c r="Y13" s="1">
        <v>16</v>
      </c>
      <c r="Z13" s="1">
        <v>22</v>
      </c>
      <c r="AA13" s="1">
        <v>48</v>
      </c>
      <c r="AB13" s="69">
        <f t="shared" si="90"/>
        <v>86</v>
      </c>
      <c r="AC13" s="27">
        <v>3592.6</v>
      </c>
      <c r="AD13" s="13">
        <v>1213</v>
      </c>
      <c r="AE13" s="13">
        <v>2281.8000000000002</v>
      </c>
      <c r="AF13" s="13">
        <v>2948.7</v>
      </c>
      <c r="AG13" s="41">
        <f t="shared" si="91"/>
        <v>10036.1</v>
      </c>
      <c r="AH13" s="27">
        <v>10809</v>
      </c>
      <c r="AI13" s="13">
        <v>4775.8999999999996</v>
      </c>
      <c r="AJ13" s="13">
        <v>7943.8</v>
      </c>
      <c r="AK13" s="13">
        <v>5339.9</v>
      </c>
      <c r="AL13" s="41">
        <f t="shared" si="92"/>
        <v>28868.6</v>
      </c>
      <c r="AM13" s="32">
        <v>2148</v>
      </c>
      <c r="AN13" s="31">
        <v>18048</v>
      </c>
      <c r="AO13" s="34">
        <f>1203.5+73.1</f>
        <v>1276.5999999999999</v>
      </c>
      <c r="AP13" s="34">
        <f>2218.7+1225.2+1955+89.7+8402.1+65+2444.7</f>
        <v>16400.400000000001</v>
      </c>
      <c r="AQ13" s="1">
        <v>57283</v>
      </c>
      <c r="AR13" s="30" t="e">
        <f>AZ13/#REF!</f>
        <v>#REF!</v>
      </c>
      <c r="AS13" s="74" t="e">
        <f>AY13/#REF!</f>
        <v>#REF!</v>
      </c>
      <c r="AY13">
        <f>3592.6+1213+2281.8+2948.7</f>
        <v>10036.1</v>
      </c>
      <c r="AZ13">
        <f>10809+4775.9+7943.8+5339.9</f>
        <v>28868.6</v>
      </c>
      <c r="BA13" s="49">
        <v>228000</v>
      </c>
      <c r="BB13" s="19">
        <v>199000</v>
      </c>
      <c r="BC13" s="50">
        <v>495000</v>
      </c>
      <c r="BD13" s="72">
        <f t="shared" si="8"/>
        <v>0.46060606060606063</v>
      </c>
      <c r="BE13" s="72">
        <f t="shared" si="9"/>
        <v>0.74596335322322027</v>
      </c>
      <c r="BF13" s="72">
        <f t="shared" si="10"/>
        <v>0.402020202020202</v>
      </c>
      <c r="BG13" s="72">
        <f t="shared" si="11"/>
        <v>0.68678020183127908</v>
      </c>
      <c r="BH13" s="49">
        <v>317000</v>
      </c>
      <c r="BI13" s="51">
        <v>37000</v>
      </c>
      <c r="BJ13" s="52">
        <v>393000</v>
      </c>
      <c r="BK13" s="71">
        <f t="shared" si="12"/>
        <v>0.80661577608142498</v>
      </c>
      <c r="BL13" s="72">
        <f t="shared" si="13"/>
        <v>1.115470763258817</v>
      </c>
      <c r="BM13" s="71">
        <f t="shared" si="14"/>
        <v>9.4147582697201013E-2</v>
      </c>
      <c r="BN13" s="72">
        <f t="shared" si="15"/>
        <v>0.31186560287170889</v>
      </c>
      <c r="BO13" s="51">
        <v>0</v>
      </c>
      <c r="BP13" s="51">
        <v>106000</v>
      </c>
      <c r="BQ13" s="52">
        <v>136000</v>
      </c>
      <c r="BR13" s="48">
        <f t="shared" si="16"/>
        <v>0</v>
      </c>
      <c r="BS13" s="71">
        <f t="shared" si="17"/>
        <v>0.77941176470588236</v>
      </c>
      <c r="BT13" s="72">
        <f t="shared" si="18"/>
        <v>1.0818813968835579</v>
      </c>
      <c r="BU13" s="51">
        <v>0</v>
      </c>
      <c r="BV13" s="51">
        <v>15000</v>
      </c>
      <c r="BW13" s="52">
        <v>68000</v>
      </c>
      <c r="BX13" s="48">
        <f t="shared" si="19"/>
        <v>0</v>
      </c>
      <c r="BY13" s="71">
        <f t="shared" si="20"/>
        <v>0.22058823529411764</v>
      </c>
      <c r="BZ13" s="72">
        <f t="shared" si="21"/>
        <v>0.48891492991133878</v>
      </c>
      <c r="CA13" s="51">
        <v>0</v>
      </c>
      <c r="CB13" s="51">
        <v>3000</v>
      </c>
      <c r="CC13" s="52">
        <v>17000</v>
      </c>
      <c r="CD13" s="48">
        <f t="shared" si="22"/>
        <v>0</v>
      </c>
      <c r="CE13" s="71">
        <f t="shared" si="23"/>
        <v>0.17647058823529413</v>
      </c>
      <c r="CF13" s="72">
        <f t="shared" si="24"/>
        <v>0.43353790935583658</v>
      </c>
      <c r="CG13" s="53">
        <v>0</v>
      </c>
      <c r="CH13" s="53">
        <v>0</v>
      </c>
      <c r="CI13" s="52">
        <v>19000</v>
      </c>
      <c r="CJ13" s="48">
        <f t="shared" si="25"/>
        <v>0</v>
      </c>
      <c r="CK13" s="71">
        <f t="shared" si="26"/>
        <v>0</v>
      </c>
      <c r="CL13" s="72">
        <f t="shared" si="27"/>
        <v>0</v>
      </c>
      <c r="CM13" s="53">
        <v>0</v>
      </c>
      <c r="CN13" s="53">
        <v>261000</v>
      </c>
      <c r="CO13" s="52">
        <v>274000</v>
      </c>
      <c r="CP13" s="48">
        <f t="shared" si="28"/>
        <v>0</v>
      </c>
      <c r="CQ13" s="71">
        <f t="shared" si="29"/>
        <v>0.95255474452554745</v>
      </c>
      <c r="CR13" s="72">
        <f t="shared" si="30"/>
        <v>1.3512167453468082</v>
      </c>
      <c r="CS13" s="47">
        <v>0</v>
      </c>
      <c r="CT13" s="47">
        <v>55000</v>
      </c>
      <c r="CU13" s="48">
        <v>57000</v>
      </c>
      <c r="CV13" s="48">
        <f t="shared" si="31"/>
        <v>0</v>
      </c>
      <c r="CW13" s="72">
        <f t="shared" si="32"/>
        <v>0.96491228070175439</v>
      </c>
      <c r="CX13" s="72">
        <f t="shared" si="33"/>
        <v>1.3823660762453527</v>
      </c>
      <c r="CY13" s="53">
        <v>0</v>
      </c>
      <c r="CZ13" s="53">
        <v>12000</v>
      </c>
      <c r="DA13" s="52">
        <v>93000</v>
      </c>
      <c r="DB13" s="48">
        <f t="shared" si="34"/>
        <v>0</v>
      </c>
      <c r="DC13" s="71">
        <f t="shared" si="35"/>
        <v>0.12903225806451613</v>
      </c>
      <c r="DD13" s="72">
        <f t="shared" si="36"/>
        <v>0.36742190461980168</v>
      </c>
      <c r="DE13" s="47">
        <v>0</v>
      </c>
      <c r="DF13" s="47">
        <v>16000</v>
      </c>
      <c r="DG13" s="48">
        <v>32000</v>
      </c>
      <c r="DH13" s="48">
        <f t="shared" si="37"/>
        <v>0</v>
      </c>
      <c r="DI13" s="71">
        <f t="shared" si="38"/>
        <v>0.5</v>
      </c>
      <c r="DJ13" s="72">
        <f t="shared" si="39"/>
        <v>0.78539816339744839</v>
      </c>
      <c r="DK13" s="47">
        <v>0</v>
      </c>
      <c r="DL13" s="47">
        <v>93000</v>
      </c>
      <c r="DM13" s="48">
        <v>106000</v>
      </c>
      <c r="DN13" s="48">
        <f t="shared" si="40"/>
        <v>0</v>
      </c>
      <c r="DO13" s="71">
        <f t="shared" si="41"/>
        <v>0.87735849056603776</v>
      </c>
      <c r="DP13" s="72">
        <f t="shared" si="42"/>
        <v>1.2130094706020831</v>
      </c>
      <c r="DQ13" s="51">
        <v>0</v>
      </c>
      <c r="DR13" s="51">
        <v>117000</v>
      </c>
      <c r="DS13" s="52">
        <v>135000</v>
      </c>
      <c r="DT13" s="71">
        <f t="shared" si="43"/>
        <v>0</v>
      </c>
      <c r="DU13" s="72">
        <f t="shared" si="44"/>
        <v>0</v>
      </c>
      <c r="DV13" s="71">
        <f t="shared" si="45"/>
        <v>0.8666666666666667</v>
      </c>
      <c r="DW13" s="72">
        <f t="shared" si="46"/>
        <v>1.1970041519603862</v>
      </c>
      <c r="DX13" s="51">
        <v>0</v>
      </c>
      <c r="DY13" s="51">
        <v>70000</v>
      </c>
      <c r="DZ13" s="52">
        <v>108000</v>
      </c>
      <c r="EA13" s="71">
        <f t="shared" si="47"/>
        <v>0</v>
      </c>
      <c r="EB13" s="72">
        <f t="shared" si="48"/>
        <v>0</v>
      </c>
      <c r="EC13" s="71">
        <f t="shared" si="49"/>
        <v>0.64814814814814814</v>
      </c>
      <c r="ED13" s="72">
        <f t="shared" si="50"/>
        <v>0.93580440102575879</v>
      </c>
      <c r="EE13" s="51">
        <v>0</v>
      </c>
      <c r="EF13" s="51">
        <v>164000</v>
      </c>
      <c r="EG13" s="52">
        <v>171000</v>
      </c>
      <c r="EH13" s="48">
        <f t="shared" si="51"/>
        <v>0</v>
      </c>
      <c r="EI13" s="71">
        <f t="shared" si="52"/>
        <v>0.95906432748538006</v>
      </c>
      <c r="EJ13" s="72">
        <f t="shared" si="53"/>
        <v>1.3670642121267558</v>
      </c>
      <c r="EK13" s="51">
        <v>0</v>
      </c>
      <c r="EL13" s="51">
        <v>56000</v>
      </c>
      <c r="EM13" s="52">
        <v>58000</v>
      </c>
      <c r="EN13" s="48">
        <f t="shared" si="54"/>
        <v>0</v>
      </c>
      <c r="EO13" s="71">
        <f t="shared" si="55"/>
        <v>0.96551724137931039</v>
      </c>
      <c r="EP13" s="72">
        <f t="shared" si="56"/>
        <v>1.384016865713303</v>
      </c>
      <c r="EQ13" s="49">
        <v>5000</v>
      </c>
      <c r="ER13" s="51">
        <v>499000</v>
      </c>
      <c r="ES13" s="52">
        <v>504000</v>
      </c>
      <c r="ET13" s="68">
        <f t="shared" si="57"/>
        <v>9.9206349206349201E-3</v>
      </c>
      <c r="EU13" s="68">
        <f t="shared" si="0"/>
        <v>0</v>
      </c>
      <c r="EV13" s="68">
        <f t="shared" si="58"/>
        <v>0.99007936507936511</v>
      </c>
      <c r="EW13" s="51">
        <v>36000</v>
      </c>
      <c r="EX13" s="51">
        <v>260000</v>
      </c>
      <c r="EY13" s="52">
        <v>328000</v>
      </c>
      <c r="EZ13" s="68">
        <f t="shared" si="59"/>
        <v>0.10975609756097561</v>
      </c>
      <c r="FA13" s="68">
        <f t="shared" si="60"/>
        <v>0.33767530741977192</v>
      </c>
      <c r="FB13" s="68">
        <f t="shared" si="61"/>
        <v>0.79268292682926833</v>
      </c>
      <c r="FC13" s="51">
        <v>0</v>
      </c>
      <c r="FD13" s="51">
        <v>86000</v>
      </c>
      <c r="FE13" s="52">
        <v>91000</v>
      </c>
      <c r="FF13" s="68">
        <f t="shared" si="62"/>
        <v>0</v>
      </c>
      <c r="FG13" s="68">
        <f t="shared" si="63"/>
        <v>0</v>
      </c>
      <c r="FH13" s="68">
        <f t="shared" si="1"/>
        <v>0.94505494505494503</v>
      </c>
      <c r="FI13" s="51">
        <v>36000</v>
      </c>
      <c r="FJ13" s="51">
        <v>301000</v>
      </c>
      <c r="FK13" s="52">
        <v>342000</v>
      </c>
      <c r="FL13" s="68">
        <f t="shared" si="88"/>
        <v>0.10526315789473684</v>
      </c>
      <c r="FM13" s="68">
        <f t="shared" si="64"/>
        <v>0.3304226479114834</v>
      </c>
      <c r="FN13" s="68">
        <f t="shared" si="65"/>
        <v>0.88011695906432752</v>
      </c>
      <c r="FO13" s="46">
        <f t="shared" si="3"/>
        <v>77000</v>
      </c>
      <c r="FP13" s="46">
        <f t="shared" si="4"/>
        <v>1146000</v>
      </c>
      <c r="FQ13" s="48">
        <f t="shared" si="5"/>
        <v>1265000</v>
      </c>
      <c r="FR13" s="48">
        <v>1171000</v>
      </c>
      <c r="FS13" s="68">
        <f t="shared" si="66"/>
        <v>6.0869565217391307E-2</v>
      </c>
      <c r="FT13" s="68">
        <f t="shared" si="67"/>
        <v>0.24929166420744189</v>
      </c>
      <c r="FU13" s="68">
        <f t="shared" si="6"/>
        <v>0.9059288537549407</v>
      </c>
      <c r="FV13" s="68">
        <f t="shared" si="68"/>
        <v>1.2590616168648525</v>
      </c>
      <c r="FW13" s="51">
        <v>0</v>
      </c>
      <c r="FX13" s="51">
        <v>112000</v>
      </c>
      <c r="FY13" s="52">
        <v>321000</v>
      </c>
      <c r="FZ13" s="48">
        <f t="shared" si="69"/>
        <v>0</v>
      </c>
      <c r="GA13" s="71">
        <f t="shared" si="70"/>
        <v>0.34890965732087226</v>
      </c>
      <c r="GB13" s="68">
        <f t="shared" si="71"/>
        <v>0.63190843454786083</v>
      </c>
      <c r="GC13" s="51">
        <v>0</v>
      </c>
      <c r="GD13" s="51">
        <v>70000</v>
      </c>
      <c r="GE13" s="52">
        <v>94000</v>
      </c>
      <c r="GF13" s="48">
        <f t="shared" si="72"/>
        <v>0</v>
      </c>
      <c r="GG13" s="68">
        <f t="shared" si="73"/>
        <v>0</v>
      </c>
      <c r="GH13" s="71">
        <f t="shared" si="74"/>
        <v>0.74468085106382975</v>
      </c>
      <c r="GI13" s="68">
        <f t="shared" si="75"/>
        <v>1.0410770021205598</v>
      </c>
      <c r="GJ13" s="51">
        <v>0</v>
      </c>
      <c r="GK13" s="51">
        <v>215000</v>
      </c>
      <c r="GL13" s="52">
        <v>250000</v>
      </c>
      <c r="GM13" s="71">
        <f t="shared" si="76"/>
        <v>0</v>
      </c>
      <c r="GN13" s="68">
        <f t="shared" si="77"/>
        <v>0</v>
      </c>
      <c r="GO13" s="71">
        <f t="shared" si="78"/>
        <v>0.86</v>
      </c>
      <c r="GP13" s="68">
        <f t="shared" si="79"/>
        <v>1.1872993228639632</v>
      </c>
      <c r="GQ13" s="51">
        <v>9000</v>
      </c>
      <c r="GR13" s="51">
        <v>346000</v>
      </c>
      <c r="GS13" s="52">
        <v>359000</v>
      </c>
      <c r="GT13" s="71">
        <f t="shared" si="80"/>
        <v>2.5069637883008356E-2</v>
      </c>
      <c r="GU13" s="68">
        <f t="shared" si="81"/>
        <v>0.15900308324696324</v>
      </c>
      <c r="GV13" s="71">
        <f t="shared" si="82"/>
        <v>0.96378830083565459</v>
      </c>
      <c r="GW13" s="68">
        <f t="shared" si="83"/>
        <v>1.379335003843583</v>
      </c>
      <c r="GX13" s="40">
        <v>9000</v>
      </c>
      <c r="GY13" s="40">
        <v>631000</v>
      </c>
      <c r="GZ13">
        <v>703000</v>
      </c>
      <c r="HA13" s="126">
        <f t="shared" si="84"/>
        <v>1.2802275960170697E-2</v>
      </c>
      <c r="HB13" s="126">
        <f t="shared" si="85"/>
        <v>0.89758179231863444</v>
      </c>
      <c r="HC13" s="68">
        <f t="shared" si="86"/>
        <v>1.245036812209672</v>
      </c>
    </row>
    <row r="14" spans="1:211" x14ac:dyDescent="0.2">
      <c r="A14">
        <v>1973</v>
      </c>
      <c r="B14" s="25">
        <v>385</v>
      </c>
      <c r="C14" s="1">
        <v>172</v>
      </c>
      <c r="D14" s="1">
        <v>227</v>
      </c>
      <c r="E14" s="1">
        <v>665</v>
      </c>
      <c r="F14" s="69">
        <f t="shared" si="87"/>
        <v>1449</v>
      </c>
      <c r="G14" s="23">
        <f t="shared" si="7"/>
        <v>1446.5</v>
      </c>
      <c r="H14" s="1">
        <v>58</v>
      </c>
      <c r="I14" s="1">
        <v>212</v>
      </c>
      <c r="J14" s="1">
        <v>119</v>
      </c>
      <c r="K14" s="1">
        <v>72</v>
      </c>
      <c r="L14" s="1">
        <v>36</v>
      </c>
      <c r="M14" s="1">
        <v>8</v>
      </c>
      <c r="N14" s="1">
        <v>26</v>
      </c>
      <c r="O14" s="1">
        <v>62</v>
      </c>
      <c r="P14" s="1">
        <v>387</v>
      </c>
      <c r="Q14" s="1">
        <v>182</v>
      </c>
      <c r="R14" s="1">
        <v>53</v>
      </c>
      <c r="S14" s="1">
        <v>90</v>
      </c>
      <c r="T14" s="69">
        <f t="shared" si="89"/>
        <v>712</v>
      </c>
      <c r="U14" s="1">
        <v>14</v>
      </c>
      <c r="V14" s="1">
        <v>33</v>
      </c>
      <c r="W14" s="1">
        <v>140</v>
      </c>
      <c r="X14" s="1">
        <v>17</v>
      </c>
      <c r="Y14" s="1">
        <v>30</v>
      </c>
      <c r="Z14" s="1">
        <v>36</v>
      </c>
      <c r="AA14" s="1">
        <v>36</v>
      </c>
      <c r="AB14" s="69">
        <f t="shared" si="90"/>
        <v>102</v>
      </c>
      <c r="AC14" s="27">
        <v>4935.5</v>
      </c>
      <c r="AD14" s="13">
        <v>2051.1999999999998</v>
      </c>
      <c r="AE14" s="13">
        <v>2542.1999999999998</v>
      </c>
      <c r="AF14" s="13">
        <v>4397.7</v>
      </c>
      <c r="AG14" s="41">
        <f t="shared" si="91"/>
        <v>13926.599999999999</v>
      </c>
      <c r="AH14" s="27">
        <v>10696.4</v>
      </c>
      <c r="AI14" s="13">
        <v>5680.1</v>
      </c>
      <c r="AJ14" s="13">
        <v>6562.4</v>
      </c>
      <c r="AK14" s="13">
        <v>8653.5</v>
      </c>
      <c r="AL14" s="41">
        <f t="shared" si="92"/>
        <v>31592.400000000001</v>
      </c>
      <c r="AM14" s="32">
        <v>3765</v>
      </c>
      <c r="AN14" s="31">
        <v>40559</v>
      </c>
      <c r="AO14" s="34">
        <f>1151.9+439.6+0.5</f>
        <v>1592</v>
      </c>
      <c r="AP14" s="34">
        <f>2963.3+3.5+2074+11879.7+932.1+13342.6+109+3554.3</f>
        <v>34858.5</v>
      </c>
      <c r="AQ14" s="1">
        <v>95257</v>
      </c>
      <c r="AR14" s="30" t="e">
        <f>AZ14/#REF!</f>
        <v>#REF!</v>
      </c>
      <c r="AS14" s="74" t="e">
        <f>AY14/#REF!</f>
        <v>#REF!</v>
      </c>
      <c r="AY14">
        <f>4935.5+2051.2+2542.2+4397.7</f>
        <v>13926.599999999999</v>
      </c>
      <c r="AZ14">
        <f>10696.4+5680.1+6562.4+8653.5</f>
        <v>31592.400000000001</v>
      </c>
      <c r="BA14" s="49">
        <v>232000</v>
      </c>
      <c r="BB14" s="19">
        <v>237000</v>
      </c>
      <c r="BC14" s="50">
        <v>537000</v>
      </c>
      <c r="BD14" s="72">
        <f t="shared" si="8"/>
        <v>0.43202979515828677</v>
      </c>
      <c r="BE14" s="72">
        <f t="shared" si="9"/>
        <v>0.71721685235218502</v>
      </c>
      <c r="BF14" s="72">
        <f t="shared" si="10"/>
        <v>0.44134078212290501</v>
      </c>
      <c r="BG14" s="72">
        <f t="shared" si="11"/>
        <v>0.7266035447249789</v>
      </c>
      <c r="BH14" s="49">
        <v>326000</v>
      </c>
      <c r="BI14" s="51">
        <v>20000</v>
      </c>
      <c r="BJ14" s="52">
        <v>369000</v>
      </c>
      <c r="BK14" s="71">
        <f t="shared" si="12"/>
        <v>0.88346883468834692</v>
      </c>
      <c r="BL14" s="72">
        <f t="shared" si="13"/>
        <v>1.2224258595877882</v>
      </c>
      <c r="BM14" s="71">
        <f t="shared" si="14"/>
        <v>5.4200542005420058E-2</v>
      </c>
      <c r="BN14" s="72">
        <f t="shared" si="15"/>
        <v>0.23496618374862618</v>
      </c>
      <c r="BO14" s="51">
        <v>0</v>
      </c>
      <c r="BP14" s="51">
        <v>89000</v>
      </c>
      <c r="BQ14" s="52">
        <v>139000</v>
      </c>
      <c r="BR14" s="48">
        <f t="shared" si="16"/>
        <v>0</v>
      </c>
      <c r="BS14" s="71">
        <f t="shared" si="17"/>
        <v>0.64028776978417268</v>
      </c>
      <c r="BT14" s="72">
        <f t="shared" si="18"/>
        <v>0.92759500442405673</v>
      </c>
      <c r="BU14" s="51">
        <v>0</v>
      </c>
      <c r="BV14" s="51">
        <v>20000</v>
      </c>
      <c r="BW14" s="52">
        <v>87000</v>
      </c>
      <c r="BX14" s="48">
        <f t="shared" si="19"/>
        <v>0</v>
      </c>
      <c r="BY14" s="71">
        <f t="shared" si="20"/>
        <v>0.22988505747126436</v>
      </c>
      <c r="BZ14" s="72">
        <f t="shared" si="21"/>
        <v>0.50004303107958448</v>
      </c>
      <c r="CA14" s="51">
        <v>0</v>
      </c>
      <c r="CB14" s="51">
        <v>5000</v>
      </c>
      <c r="CC14" s="52">
        <v>25000</v>
      </c>
      <c r="CD14" s="48">
        <f t="shared" si="22"/>
        <v>0</v>
      </c>
      <c r="CE14" s="71">
        <f t="shared" si="23"/>
        <v>0.2</v>
      </c>
      <c r="CF14" s="72">
        <f t="shared" si="24"/>
        <v>0.46364760900080609</v>
      </c>
      <c r="CG14" s="53">
        <v>0</v>
      </c>
      <c r="CH14" s="53">
        <v>2000</v>
      </c>
      <c r="CI14" s="52">
        <v>26000</v>
      </c>
      <c r="CJ14" s="48">
        <f t="shared" si="25"/>
        <v>0</v>
      </c>
      <c r="CK14" s="71">
        <f t="shared" si="26"/>
        <v>7.6923076923076927E-2</v>
      </c>
      <c r="CL14" s="72">
        <f t="shared" si="27"/>
        <v>0.28103490150281357</v>
      </c>
      <c r="CM14" s="53">
        <v>0</v>
      </c>
      <c r="CN14" s="53">
        <v>240000</v>
      </c>
      <c r="CO14" s="52">
        <v>256000</v>
      </c>
      <c r="CP14" s="48">
        <f t="shared" si="28"/>
        <v>0</v>
      </c>
      <c r="CQ14" s="71">
        <f t="shared" si="29"/>
        <v>0.9375</v>
      </c>
      <c r="CR14" s="72">
        <f t="shared" si="30"/>
        <v>1.3181160716528182</v>
      </c>
      <c r="CS14" s="47">
        <v>0</v>
      </c>
      <c r="CT14" s="47">
        <v>59000</v>
      </c>
      <c r="CU14" s="48">
        <v>67000</v>
      </c>
      <c r="CV14" s="48">
        <f t="shared" si="31"/>
        <v>0</v>
      </c>
      <c r="CW14" s="72">
        <f t="shared" si="32"/>
        <v>0.88059701492537312</v>
      </c>
      <c r="CX14" s="72">
        <f t="shared" si="33"/>
        <v>1.2179743034957788</v>
      </c>
      <c r="CY14" s="53">
        <v>0</v>
      </c>
      <c r="CZ14" s="53">
        <v>10000</v>
      </c>
      <c r="DA14" s="52">
        <v>104000</v>
      </c>
      <c r="DB14" s="48">
        <f t="shared" si="34"/>
        <v>0</v>
      </c>
      <c r="DC14" s="71">
        <f t="shared" si="35"/>
        <v>9.6153846153846159E-2</v>
      </c>
      <c r="DD14" s="72">
        <f t="shared" si="36"/>
        <v>0.31528436979977648</v>
      </c>
      <c r="DE14" s="47">
        <v>0</v>
      </c>
      <c r="DF14" s="47">
        <v>25000</v>
      </c>
      <c r="DG14" s="48">
        <v>43000</v>
      </c>
      <c r="DH14" s="48">
        <f t="shared" si="37"/>
        <v>0</v>
      </c>
      <c r="DI14" s="71">
        <f t="shared" si="38"/>
        <v>0.58139534883720934</v>
      </c>
      <c r="DJ14" s="72">
        <f t="shared" si="39"/>
        <v>0.86715737549016148</v>
      </c>
      <c r="DK14" s="47">
        <v>0</v>
      </c>
      <c r="DL14" s="47">
        <v>108000</v>
      </c>
      <c r="DM14" s="48">
        <v>120000</v>
      </c>
      <c r="DN14" s="48">
        <f t="shared" si="40"/>
        <v>0</v>
      </c>
      <c r="DO14" s="71">
        <f t="shared" si="41"/>
        <v>0.9</v>
      </c>
      <c r="DP14" s="72">
        <f t="shared" si="42"/>
        <v>1.2490457723982542</v>
      </c>
      <c r="DQ14" s="51">
        <v>0</v>
      </c>
      <c r="DR14" s="51">
        <v>157000</v>
      </c>
      <c r="DS14" s="52">
        <v>174000</v>
      </c>
      <c r="DT14" s="71">
        <f t="shared" si="43"/>
        <v>0</v>
      </c>
      <c r="DU14" s="72">
        <f t="shared" si="44"/>
        <v>0</v>
      </c>
      <c r="DV14" s="71">
        <f t="shared" si="45"/>
        <v>0.9022988505747126</v>
      </c>
      <c r="DW14" s="72">
        <f t="shared" si="46"/>
        <v>1.2528970039854803</v>
      </c>
      <c r="DX14" s="51">
        <v>0</v>
      </c>
      <c r="DY14" s="51">
        <v>59000</v>
      </c>
      <c r="DZ14" s="52">
        <v>117000</v>
      </c>
      <c r="EA14" s="71">
        <f t="shared" si="47"/>
        <v>0</v>
      </c>
      <c r="EB14" s="72">
        <f t="shared" si="48"/>
        <v>0</v>
      </c>
      <c r="EC14" s="71">
        <f t="shared" si="49"/>
        <v>0.50427350427350426</v>
      </c>
      <c r="ED14" s="72">
        <f t="shared" si="50"/>
        <v>0.78967171970354266</v>
      </c>
      <c r="EE14" s="51">
        <v>0</v>
      </c>
      <c r="EF14" s="51">
        <v>156000</v>
      </c>
      <c r="EG14" s="52">
        <v>165000</v>
      </c>
      <c r="EH14" s="48">
        <f t="shared" si="51"/>
        <v>0</v>
      </c>
      <c r="EI14" s="71">
        <f t="shared" si="52"/>
        <v>0.94545454545454544</v>
      </c>
      <c r="EJ14" s="72">
        <f t="shared" si="53"/>
        <v>1.3350695927454996</v>
      </c>
      <c r="EK14" s="51">
        <v>0</v>
      </c>
      <c r="EL14" s="51">
        <v>64000</v>
      </c>
      <c r="EM14" s="52">
        <v>66000</v>
      </c>
      <c r="EN14" s="48">
        <f t="shared" si="54"/>
        <v>0</v>
      </c>
      <c r="EO14" s="71">
        <f t="shared" si="55"/>
        <v>0.96969696969696972</v>
      </c>
      <c r="EP14" s="72">
        <f t="shared" si="56"/>
        <v>1.3958272811292081</v>
      </c>
      <c r="EQ14" s="49">
        <v>98000</v>
      </c>
      <c r="ER14" s="51">
        <v>591000</v>
      </c>
      <c r="ES14" s="52">
        <v>705000</v>
      </c>
      <c r="ET14" s="68">
        <f t="shared" si="57"/>
        <v>0.13900709219858157</v>
      </c>
      <c r="EU14" s="68">
        <f t="shared" si="0"/>
        <v>0</v>
      </c>
      <c r="EV14" s="68">
        <f t="shared" si="58"/>
        <v>0.83829787234042552</v>
      </c>
      <c r="EW14" s="51">
        <v>51000</v>
      </c>
      <c r="EX14" s="51">
        <v>251000</v>
      </c>
      <c r="EY14" s="52">
        <v>390000</v>
      </c>
      <c r="EZ14" s="68">
        <f t="shared" si="59"/>
        <v>0.13076923076923078</v>
      </c>
      <c r="FA14" s="68">
        <f t="shared" si="60"/>
        <v>0.3700052056605978</v>
      </c>
      <c r="FB14" s="68">
        <f t="shared" si="61"/>
        <v>0.64358974358974363</v>
      </c>
      <c r="FC14" s="51">
        <v>0</v>
      </c>
      <c r="FD14" s="51">
        <v>92000</v>
      </c>
      <c r="FE14" s="52">
        <v>98000</v>
      </c>
      <c r="FF14" s="68">
        <f t="shared" si="62"/>
        <v>0</v>
      </c>
      <c r="FG14" s="68">
        <f t="shared" si="63"/>
        <v>0</v>
      </c>
      <c r="FH14" s="68">
        <f t="shared" si="1"/>
        <v>0.93877551020408168</v>
      </c>
      <c r="FI14" s="51">
        <v>48000</v>
      </c>
      <c r="FJ14" s="51">
        <v>262000</v>
      </c>
      <c r="FK14" s="52">
        <v>319000</v>
      </c>
      <c r="FL14" s="68">
        <f t="shared" si="88"/>
        <v>0.15047021943573669</v>
      </c>
      <c r="FM14" s="68">
        <f t="shared" si="64"/>
        <v>0.39835742978449867</v>
      </c>
      <c r="FN14" s="68">
        <f t="shared" si="65"/>
        <v>0.82131661442006265</v>
      </c>
      <c r="FO14" s="46">
        <f t="shared" si="3"/>
        <v>197000</v>
      </c>
      <c r="FP14" s="46">
        <f t="shared" si="4"/>
        <v>1196000</v>
      </c>
      <c r="FQ14" s="48">
        <f t="shared" si="5"/>
        <v>1512000</v>
      </c>
      <c r="FR14" s="48">
        <v>1265000</v>
      </c>
      <c r="FS14" s="68">
        <f t="shared" si="66"/>
        <v>0.13029100529100529</v>
      </c>
      <c r="FT14" s="68">
        <f t="shared" si="67"/>
        <v>0.36929543140036419</v>
      </c>
      <c r="FU14" s="68">
        <f t="shared" si="6"/>
        <v>0.79100529100529104</v>
      </c>
      <c r="FV14" s="68">
        <f t="shared" si="68"/>
        <v>1.0959976628353743</v>
      </c>
      <c r="FW14" s="51">
        <v>0</v>
      </c>
      <c r="FX14" s="51">
        <v>92000</v>
      </c>
      <c r="FY14" s="52">
        <v>269000</v>
      </c>
      <c r="FZ14" s="48">
        <f t="shared" si="69"/>
        <v>0</v>
      </c>
      <c r="GA14" s="71">
        <f t="shared" si="70"/>
        <v>0.34200743494423791</v>
      </c>
      <c r="GB14" s="68">
        <f t="shared" si="71"/>
        <v>0.6246507611003459</v>
      </c>
      <c r="GC14" s="51">
        <v>0</v>
      </c>
      <c r="GD14" s="51">
        <v>90000</v>
      </c>
      <c r="GE14" s="52">
        <v>113000</v>
      </c>
      <c r="GF14" s="48">
        <f t="shared" si="72"/>
        <v>0</v>
      </c>
      <c r="GG14" s="68">
        <f t="shared" si="73"/>
        <v>0</v>
      </c>
      <c r="GH14" s="71">
        <f t="shared" si="74"/>
        <v>0.79646017699115046</v>
      </c>
      <c r="GI14" s="68">
        <f t="shared" si="75"/>
        <v>1.1027384694693141</v>
      </c>
      <c r="GJ14" s="51">
        <v>0</v>
      </c>
      <c r="GK14" s="51">
        <v>241000</v>
      </c>
      <c r="GL14" s="52">
        <v>268000</v>
      </c>
      <c r="GM14" s="71">
        <f t="shared" si="76"/>
        <v>0</v>
      </c>
      <c r="GN14" s="68">
        <f t="shared" si="77"/>
        <v>0</v>
      </c>
      <c r="GO14" s="71">
        <f t="shared" si="78"/>
        <v>0.89925373134328357</v>
      </c>
      <c r="GP14" s="68">
        <f t="shared" si="79"/>
        <v>1.2478040458726241</v>
      </c>
      <c r="GQ14" s="51">
        <v>9000</v>
      </c>
      <c r="GR14" s="51">
        <v>424000</v>
      </c>
      <c r="GS14" s="52">
        <v>437000</v>
      </c>
      <c r="GT14" s="71">
        <f t="shared" si="80"/>
        <v>2.0594965675057208E-2</v>
      </c>
      <c r="GU14" s="68">
        <f t="shared" si="81"/>
        <v>0.14400667938257433</v>
      </c>
      <c r="GV14" s="71">
        <f t="shared" si="82"/>
        <v>0.97025171624713957</v>
      </c>
      <c r="GW14" s="68">
        <f t="shared" si="83"/>
        <v>1.397452615700673</v>
      </c>
      <c r="GX14" s="40">
        <v>9000</v>
      </c>
      <c r="GY14" s="40">
        <v>755000</v>
      </c>
      <c r="GZ14">
        <v>818000</v>
      </c>
      <c r="HA14" s="126">
        <f t="shared" si="84"/>
        <v>1.1002444987775062E-2</v>
      </c>
      <c r="HB14" s="126">
        <f t="shared" si="85"/>
        <v>0.92298288508557458</v>
      </c>
      <c r="HC14" s="68">
        <f t="shared" si="86"/>
        <v>1.2895850229008099</v>
      </c>
    </row>
    <row r="15" spans="1:211" x14ac:dyDescent="0.2">
      <c r="A15">
        <v>1974</v>
      </c>
      <c r="B15" s="25">
        <v>387</v>
      </c>
      <c r="C15" s="1">
        <v>193</v>
      </c>
      <c r="D15" s="1">
        <v>369</v>
      </c>
      <c r="E15" s="1">
        <v>465</v>
      </c>
      <c r="F15" s="69">
        <f t="shared" si="87"/>
        <v>1414</v>
      </c>
      <c r="G15" s="23">
        <f t="shared" si="7"/>
        <v>1411.5</v>
      </c>
      <c r="H15" s="1">
        <v>194</v>
      </c>
      <c r="I15" s="1">
        <v>77</v>
      </c>
      <c r="J15" s="1">
        <v>99</v>
      </c>
      <c r="K15" s="1">
        <v>234</v>
      </c>
      <c r="L15" s="1">
        <v>44</v>
      </c>
      <c r="M15" s="1">
        <v>31</v>
      </c>
      <c r="N15" s="1">
        <v>28</v>
      </c>
      <c r="O15" s="1">
        <v>104</v>
      </c>
      <c r="P15" s="1">
        <v>181</v>
      </c>
      <c r="Q15" s="1">
        <v>72</v>
      </c>
      <c r="R15" s="1">
        <v>12</v>
      </c>
      <c r="S15" s="1">
        <v>84</v>
      </c>
      <c r="T15" s="69">
        <f t="shared" si="89"/>
        <v>349</v>
      </c>
      <c r="U15" s="1">
        <v>13</v>
      </c>
      <c r="V15" s="1">
        <v>30</v>
      </c>
      <c r="W15" s="1">
        <v>86</v>
      </c>
      <c r="X15" s="1">
        <v>13</v>
      </c>
      <c r="Y15" s="1">
        <v>26</v>
      </c>
      <c r="Z15" s="1">
        <v>29</v>
      </c>
      <c r="AA15" s="1">
        <v>55</v>
      </c>
      <c r="AB15" s="69">
        <f t="shared" si="90"/>
        <v>110</v>
      </c>
      <c r="AC15" s="27">
        <v>3758.8</v>
      </c>
      <c r="AD15" s="13">
        <v>5947.7</v>
      </c>
      <c r="AE15" s="13">
        <v>7496.5</v>
      </c>
      <c r="AF15" s="13">
        <v>2771.7</v>
      </c>
      <c r="AG15" s="41">
        <f t="shared" si="91"/>
        <v>19974.7</v>
      </c>
      <c r="AH15" s="27">
        <v>6588.5</v>
      </c>
      <c r="AI15" s="13">
        <v>13076.7</v>
      </c>
      <c r="AJ15" s="13">
        <v>17480.2</v>
      </c>
      <c r="AK15" s="13">
        <v>4924.5</v>
      </c>
      <c r="AL15" s="41">
        <f t="shared" si="92"/>
        <v>42069.9</v>
      </c>
      <c r="AM15" s="32">
        <v>3980</v>
      </c>
      <c r="AN15" s="31">
        <v>58789</v>
      </c>
      <c r="AO15" s="34">
        <f>1153+286+1288.7</f>
        <v>2727.7</v>
      </c>
      <c r="AP15" s="34">
        <f>9045.1+4+4047.2+15211.4+770.6+21963.8+93.4+2950</f>
        <v>54085.499999999993</v>
      </c>
      <c r="AQ15" s="1">
        <v>140211</v>
      </c>
      <c r="AR15" s="30" t="e">
        <f>AZ15/#REF!</f>
        <v>#REF!</v>
      </c>
      <c r="AS15" s="74" t="e">
        <f>AY15/#REF!</f>
        <v>#REF!</v>
      </c>
      <c r="AY15" s="9">
        <v>46198.2</v>
      </c>
      <c r="AZ15" s="9">
        <v>75817.8</v>
      </c>
      <c r="BA15" s="49">
        <v>362000</v>
      </c>
      <c r="BB15" s="51">
        <v>317000</v>
      </c>
      <c r="BC15" s="52">
        <v>762000</v>
      </c>
      <c r="BD15" s="72">
        <f t="shared" si="8"/>
        <v>0.47506561679790027</v>
      </c>
      <c r="BE15" s="72">
        <f t="shared" si="9"/>
        <v>0.76045343375167385</v>
      </c>
      <c r="BF15" s="72">
        <f t="shared" si="10"/>
        <v>0.41601049868766404</v>
      </c>
      <c r="BG15" s="72">
        <f t="shared" si="11"/>
        <v>0.70100857292639007</v>
      </c>
      <c r="BH15" s="49">
        <v>381000</v>
      </c>
      <c r="BI15" s="51">
        <v>56000</v>
      </c>
      <c r="BJ15" s="52">
        <v>467000</v>
      </c>
      <c r="BK15" s="71">
        <f t="shared" si="12"/>
        <v>0.81584582441113496</v>
      </c>
      <c r="BL15" s="72">
        <f t="shared" si="13"/>
        <v>1.1272648786831272</v>
      </c>
      <c r="BM15" s="71">
        <f t="shared" si="14"/>
        <v>0.11991434689507495</v>
      </c>
      <c r="BN15" s="72">
        <f t="shared" si="15"/>
        <v>0.35360979596679082</v>
      </c>
      <c r="BO15" s="51">
        <v>0</v>
      </c>
      <c r="BP15" s="51">
        <v>103000</v>
      </c>
      <c r="BQ15" s="52">
        <v>152000</v>
      </c>
      <c r="BR15" s="48">
        <f t="shared" si="16"/>
        <v>0</v>
      </c>
      <c r="BS15" s="71">
        <f t="shared" si="17"/>
        <v>0.67763157894736847</v>
      </c>
      <c r="BT15" s="72">
        <f t="shared" si="18"/>
        <v>0.96699595083068268</v>
      </c>
      <c r="BU15" s="51">
        <v>0</v>
      </c>
      <c r="BV15" s="51">
        <v>20000</v>
      </c>
      <c r="BW15" s="52">
        <v>92000</v>
      </c>
      <c r="BX15" s="48">
        <f t="shared" si="19"/>
        <v>0</v>
      </c>
      <c r="BY15" s="71">
        <f t="shared" si="20"/>
        <v>0.21739130434782608</v>
      </c>
      <c r="BZ15" s="72">
        <f t="shared" si="21"/>
        <v>0.48504978692948297</v>
      </c>
      <c r="CA15" s="51">
        <v>0</v>
      </c>
      <c r="CB15" s="51">
        <v>6000</v>
      </c>
      <c r="CC15" s="52">
        <v>26000</v>
      </c>
      <c r="CD15" s="48">
        <f t="shared" si="22"/>
        <v>0</v>
      </c>
      <c r="CE15" s="71">
        <f t="shared" si="23"/>
        <v>0.23076923076923078</v>
      </c>
      <c r="CF15" s="72">
        <f t="shared" si="24"/>
        <v>0.50109301326535727</v>
      </c>
      <c r="CG15" s="53">
        <v>0</v>
      </c>
      <c r="CH15" s="53">
        <v>3000</v>
      </c>
      <c r="CI15" s="52">
        <v>31000</v>
      </c>
      <c r="CJ15" s="48">
        <f t="shared" si="25"/>
        <v>0</v>
      </c>
      <c r="CK15" s="71">
        <f t="shared" si="26"/>
        <v>9.6774193548387094E-2</v>
      </c>
      <c r="CL15" s="72">
        <f t="shared" si="27"/>
        <v>0.31633500050926605</v>
      </c>
      <c r="CM15" s="53">
        <v>0</v>
      </c>
      <c r="CN15" s="53">
        <v>235000</v>
      </c>
      <c r="CO15" s="52">
        <v>245000</v>
      </c>
      <c r="CP15" s="48">
        <f t="shared" si="28"/>
        <v>0</v>
      </c>
      <c r="CQ15" s="71">
        <f t="shared" si="29"/>
        <v>0.95918367346938771</v>
      </c>
      <c r="CR15" s="72">
        <f t="shared" si="30"/>
        <v>1.3673655865238132</v>
      </c>
      <c r="CS15" s="47">
        <v>0</v>
      </c>
      <c r="CT15" s="47">
        <v>61000</v>
      </c>
      <c r="CU15" s="48">
        <v>69000</v>
      </c>
      <c r="CV15" s="48">
        <f t="shared" si="31"/>
        <v>0</v>
      </c>
      <c r="CW15" s="72">
        <f t="shared" si="32"/>
        <v>0.88405797101449279</v>
      </c>
      <c r="CX15" s="72">
        <f t="shared" si="33"/>
        <v>1.2233449255459068</v>
      </c>
      <c r="CY15" s="53">
        <v>0</v>
      </c>
      <c r="CZ15" s="53">
        <v>10000</v>
      </c>
      <c r="DA15" s="52">
        <v>105000</v>
      </c>
      <c r="DB15" s="48">
        <f t="shared" si="34"/>
        <v>0</v>
      </c>
      <c r="DC15" s="71">
        <f t="shared" si="35"/>
        <v>9.5238095238095233E-2</v>
      </c>
      <c r="DD15" s="72">
        <f t="shared" si="36"/>
        <v>0.31372788646159538</v>
      </c>
      <c r="DE15" s="47">
        <v>0</v>
      </c>
      <c r="DF15" s="47">
        <v>30000</v>
      </c>
      <c r="DG15" s="48">
        <v>51000</v>
      </c>
      <c r="DH15" s="48">
        <f t="shared" si="37"/>
        <v>0</v>
      </c>
      <c r="DI15" s="71">
        <f t="shared" si="38"/>
        <v>0.58823529411764708</v>
      </c>
      <c r="DJ15" s="72">
        <f t="shared" si="39"/>
        <v>0.87409796561763342</v>
      </c>
      <c r="DK15" s="47">
        <v>0</v>
      </c>
      <c r="DL15" s="47">
        <v>117000</v>
      </c>
      <c r="DM15" s="48">
        <v>134000</v>
      </c>
      <c r="DN15" s="48">
        <f t="shared" si="40"/>
        <v>0</v>
      </c>
      <c r="DO15" s="71">
        <f t="shared" si="41"/>
        <v>0.87313432835820892</v>
      </c>
      <c r="DP15" s="72">
        <f t="shared" si="42"/>
        <v>1.2066175217027593</v>
      </c>
      <c r="DQ15" s="51">
        <v>0</v>
      </c>
      <c r="DR15" s="51">
        <v>196000</v>
      </c>
      <c r="DS15" s="52">
        <v>213000</v>
      </c>
      <c r="DT15" s="71">
        <f t="shared" si="43"/>
        <v>0</v>
      </c>
      <c r="DU15" s="72">
        <f t="shared" si="44"/>
        <v>0</v>
      </c>
      <c r="DV15" s="71">
        <f t="shared" si="45"/>
        <v>0.92018779342723001</v>
      </c>
      <c r="DW15" s="72">
        <f t="shared" si="46"/>
        <v>1.2843860681411421</v>
      </c>
      <c r="DX15" s="51">
        <v>0</v>
      </c>
      <c r="DY15" s="51">
        <v>78000</v>
      </c>
      <c r="DZ15" s="52">
        <v>117000</v>
      </c>
      <c r="EA15" s="71">
        <f t="shared" si="47"/>
        <v>0</v>
      </c>
      <c r="EB15" s="72">
        <f t="shared" si="48"/>
        <v>0</v>
      </c>
      <c r="EC15" s="71">
        <f t="shared" si="49"/>
        <v>0.66666666666666663</v>
      </c>
      <c r="ED15" s="72">
        <f t="shared" si="50"/>
        <v>0.9553166181245093</v>
      </c>
      <c r="EE15" s="51">
        <v>0</v>
      </c>
      <c r="EF15" s="51">
        <v>167000</v>
      </c>
      <c r="EG15" s="52">
        <v>172000</v>
      </c>
      <c r="EH15" s="48">
        <f t="shared" si="51"/>
        <v>0</v>
      </c>
      <c r="EI15" s="71">
        <f t="shared" si="52"/>
        <v>0.97093023255813948</v>
      </c>
      <c r="EJ15" s="72">
        <f t="shared" si="53"/>
        <v>1.3994606861260981</v>
      </c>
      <c r="EK15" s="51">
        <v>0</v>
      </c>
      <c r="EL15" s="51">
        <v>89000</v>
      </c>
      <c r="EM15" s="52">
        <v>91000</v>
      </c>
      <c r="EN15" s="48">
        <f t="shared" si="54"/>
        <v>0</v>
      </c>
      <c r="EO15" s="71">
        <f t="shared" si="55"/>
        <v>0.97802197802197799</v>
      </c>
      <c r="EP15" s="72">
        <f t="shared" si="56"/>
        <v>1.42199798161818</v>
      </c>
      <c r="EQ15" s="49">
        <v>209000</v>
      </c>
      <c r="ER15" s="51">
        <v>570000</v>
      </c>
      <c r="ES15" s="52">
        <v>800000</v>
      </c>
      <c r="ET15" s="68">
        <f t="shared" si="57"/>
        <v>0.26124999999999998</v>
      </c>
      <c r="EU15" s="68">
        <f t="shared" si="0"/>
        <v>0</v>
      </c>
      <c r="EV15" s="68">
        <f t="shared" si="58"/>
        <v>0.71250000000000002</v>
      </c>
      <c r="EW15" s="51">
        <v>67000</v>
      </c>
      <c r="EX15" s="51">
        <v>314000</v>
      </c>
      <c r="EY15" s="52">
        <v>428000</v>
      </c>
      <c r="EZ15" s="68">
        <f t="shared" si="59"/>
        <v>0.15654205607476634</v>
      </c>
      <c r="FA15" s="68">
        <f t="shared" si="60"/>
        <v>0.4067798066686345</v>
      </c>
      <c r="FB15" s="68">
        <f t="shared" si="61"/>
        <v>0.73364485981308414</v>
      </c>
      <c r="FC15" s="51">
        <v>1000</v>
      </c>
      <c r="FD15" s="51">
        <v>117000</v>
      </c>
      <c r="FE15" s="52">
        <v>123000</v>
      </c>
      <c r="FF15" s="68">
        <f t="shared" si="62"/>
        <v>8.5470085470085479E-3</v>
      </c>
      <c r="FG15" s="68">
        <f t="shared" si="63"/>
        <v>9.2582237019507171E-2</v>
      </c>
      <c r="FH15" s="68">
        <f t="shared" si="1"/>
        <v>0.95121951219512191</v>
      </c>
      <c r="FI15" s="51">
        <v>100000</v>
      </c>
      <c r="FJ15" s="51">
        <v>291000</v>
      </c>
      <c r="FK15" s="52">
        <v>395000</v>
      </c>
      <c r="FL15" s="68">
        <f t="shared" si="88"/>
        <v>0.25316455696202533</v>
      </c>
      <c r="FM15" s="68">
        <f t="shared" si="64"/>
        <v>0.52724524670110795</v>
      </c>
      <c r="FN15" s="68">
        <f t="shared" si="65"/>
        <v>0.73670886075949371</v>
      </c>
      <c r="FO15" s="46">
        <f t="shared" si="3"/>
        <v>377000</v>
      </c>
      <c r="FP15" s="46">
        <f t="shared" si="4"/>
        <v>1292000</v>
      </c>
      <c r="FQ15" s="48">
        <f t="shared" si="5"/>
        <v>1746000</v>
      </c>
      <c r="FR15" s="48">
        <v>1512000</v>
      </c>
      <c r="FS15" s="68">
        <f t="shared" si="66"/>
        <v>0.215922107674685</v>
      </c>
      <c r="FT15" s="68">
        <f t="shared" si="67"/>
        <v>0.48326663493191918</v>
      </c>
      <c r="FU15" s="68">
        <f t="shared" si="6"/>
        <v>0.73997709049255445</v>
      </c>
      <c r="FV15" s="68">
        <f t="shared" si="68"/>
        <v>1.0356994053822222</v>
      </c>
      <c r="FW15" s="51">
        <v>0</v>
      </c>
      <c r="FX15" s="51">
        <v>89000</v>
      </c>
      <c r="FY15" s="52">
        <v>238000</v>
      </c>
      <c r="FZ15" s="48">
        <f t="shared" si="69"/>
        <v>0</v>
      </c>
      <c r="GA15" s="71">
        <f t="shared" si="70"/>
        <v>0.37394957983193278</v>
      </c>
      <c r="GB15" s="68">
        <f t="shared" si="71"/>
        <v>0.65797286163414603</v>
      </c>
      <c r="GC15" s="51">
        <v>0</v>
      </c>
      <c r="GD15" s="51">
        <v>91000</v>
      </c>
      <c r="GE15" s="52">
        <v>119000</v>
      </c>
      <c r="GF15" s="48">
        <f t="shared" si="72"/>
        <v>0</v>
      </c>
      <c r="GG15" s="68">
        <f t="shared" si="73"/>
        <v>0</v>
      </c>
      <c r="GH15" s="71">
        <f t="shared" si="74"/>
        <v>0.76470588235294112</v>
      </c>
      <c r="GI15" s="68">
        <f t="shared" si="75"/>
        <v>1.064351683381396</v>
      </c>
      <c r="GJ15" s="51">
        <v>0</v>
      </c>
      <c r="GK15" s="51">
        <v>374000</v>
      </c>
      <c r="GL15" s="52">
        <v>399000</v>
      </c>
      <c r="GM15" s="71">
        <f t="shared" si="76"/>
        <v>0</v>
      </c>
      <c r="GN15" s="68">
        <f t="shared" si="77"/>
        <v>0</v>
      </c>
      <c r="GO15" s="71">
        <f t="shared" si="78"/>
        <v>0.93734335839598992</v>
      </c>
      <c r="GP15" s="68">
        <f t="shared" si="79"/>
        <v>1.3177927031182812</v>
      </c>
      <c r="GQ15" s="51">
        <v>11000</v>
      </c>
      <c r="GR15" s="51">
        <v>623000</v>
      </c>
      <c r="GS15" s="52">
        <v>636000</v>
      </c>
      <c r="GT15" s="71">
        <f t="shared" si="80"/>
        <v>1.7295597484276729E-2</v>
      </c>
      <c r="GU15" s="68">
        <f t="shared" si="81"/>
        <v>0.1318948072631152</v>
      </c>
      <c r="GV15" s="71">
        <f t="shared" si="82"/>
        <v>0.97955974842767291</v>
      </c>
      <c r="GW15" s="68">
        <f t="shared" si="83"/>
        <v>1.427335328599592</v>
      </c>
      <c r="GX15" s="40">
        <v>11000</v>
      </c>
      <c r="GY15" s="40">
        <v>1088000</v>
      </c>
      <c r="GZ15">
        <v>1154000</v>
      </c>
      <c r="HA15" s="126">
        <f t="shared" si="84"/>
        <v>9.5320623916811086E-3</v>
      </c>
      <c r="HB15" s="126">
        <f t="shared" si="85"/>
        <v>0.94280762564991338</v>
      </c>
      <c r="HC15" s="68">
        <f t="shared" si="86"/>
        <v>1.3293067217594363</v>
      </c>
    </row>
    <row r="16" spans="1:211" x14ac:dyDescent="0.2">
      <c r="A16">
        <v>1975</v>
      </c>
      <c r="B16" s="25">
        <v>420</v>
      </c>
      <c r="C16" s="1">
        <v>199</v>
      </c>
      <c r="D16" s="1">
        <v>283</v>
      </c>
      <c r="E16" s="1">
        <v>1021</v>
      </c>
      <c r="F16" s="69">
        <f t="shared" si="87"/>
        <v>1923</v>
      </c>
      <c r="G16" s="23">
        <f t="shared" si="7"/>
        <v>1920.5</v>
      </c>
      <c r="H16" s="1">
        <v>139</v>
      </c>
      <c r="I16" s="1">
        <v>155</v>
      </c>
      <c r="J16" s="1">
        <v>22</v>
      </c>
      <c r="K16" s="1">
        <v>97</v>
      </c>
      <c r="L16" s="1">
        <v>37</v>
      </c>
      <c r="M16" s="1">
        <v>5</v>
      </c>
      <c r="N16" s="1">
        <v>20</v>
      </c>
      <c r="O16" s="1">
        <v>21</v>
      </c>
      <c r="P16" s="1">
        <v>201</v>
      </c>
      <c r="Q16" s="1">
        <v>84</v>
      </c>
      <c r="R16" s="1">
        <v>25</v>
      </c>
      <c r="S16" s="1">
        <v>80</v>
      </c>
      <c r="T16" s="69">
        <f t="shared" si="89"/>
        <v>390</v>
      </c>
      <c r="U16" s="1">
        <v>18</v>
      </c>
      <c r="V16" s="1">
        <v>24</v>
      </c>
      <c r="W16" s="1">
        <v>78</v>
      </c>
      <c r="X16" s="1">
        <v>17</v>
      </c>
      <c r="Y16" s="1">
        <v>23</v>
      </c>
      <c r="Z16" s="1">
        <v>56</v>
      </c>
      <c r="AA16" s="1">
        <v>91</v>
      </c>
      <c r="AB16" s="69">
        <f t="shared" si="90"/>
        <v>170</v>
      </c>
      <c r="AC16" s="27">
        <v>6820.6</v>
      </c>
      <c r="AD16" s="13">
        <v>6801.3</v>
      </c>
      <c r="AE16" s="13">
        <v>13725</v>
      </c>
      <c r="AF16" s="13">
        <v>18861.3</v>
      </c>
      <c r="AG16" s="41">
        <f t="shared" si="91"/>
        <v>46208.2</v>
      </c>
      <c r="AH16" s="27">
        <v>9734.7000000000007</v>
      </c>
      <c r="AI16" s="13">
        <v>15026.8</v>
      </c>
      <c r="AJ16" s="13">
        <v>19929</v>
      </c>
      <c r="AK16" s="13">
        <v>31127.3</v>
      </c>
      <c r="AL16" s="41">
        <f t="shared" si="92"/>
        <v>75817.8</v>
      </c>
      <c r="AM16" s="32">
        <v>4242</v>
      </c>
      <c r="AN16" s="1">
        <v>111090.7</v>
      </c>
      <c r="AO16" s="35">
        <f>3612.8+2544.1+38.2</f>
        <v>6195.0999999999995</v>
      </c>
      <c r="AP16" s="35">
        <f>9070.1+7.1+959.1+9905.6+841.1+64195.8+5319+10400.9+4</f>
        <v>100702.7</v>
      </c>
      <c r="AQ16" s="1">
        <v>187314</v>
      </c>
      <c r="AR16" s="30" t="e">
        <f>AZ16/#REF!</f>
        <v>#REF!</v>
      </c>
      <c r="AS16" s="74" t="e">
        <f>AY16/#REF!</f>
        <v>#REF!</v>
      </c>
      <c r="AY16">
        <f>6820.6+6081.3+13725+18851.3</f>
        <v>45478.2</v>
      </c>
      <c r="AZ16">
        <f>9734.7+15026.8+19929+31127.3</f>
        <v>75817.8</v>
      </c>
      <c r="BA16" s="49">
        <v>261000</v>
      </c>
      <c r="BB16" s="19">
        <v>193000</v>
      </c>
      <c r="BC16" s="50">
        <v>511000</v>
      </c>
      <c r="BD16" s="72">
        <f t="shared" si="8"/>
        <v>0.51076320939334641</v>
      </c>
      <c r="BE16" s="72">
        <f t="shared" si="9"/>
        <v>0.79616220421886985</v>
      </c>
      <c r="BF16" s="72">
        <f t="shared" si="10"/>
        <v>0.37769080234833657</v>
      </c>
      <c r="BG16" s="72">
        <f t="shared" si="11"/>
        <v>0.66183510756233255</v>
      </c>
      <c r="BH16" s="49">
        <v>331000</v>
      </c>
      <c r="BI16" s="51">
        <v>12000</v>
      </c>
      <c r="BJ16" s="52">
        <v>360000</v>
      </c>
      <c r="BK16" s="71">
        <f t="shared" si="12"/>
        <v>0.9194444444444444</v>
      </c>
      <c r="BL16" s="72">
        <f t="shared" si="13"/>
        <v>1.2830174893081232</v>
      </c>
      <c r="BM16" s="71">
        <f t="shared" si="14"/>
        <v>3.3333333333333333E-2</v>
      </c>
      <c r="BN16" s="72">
        <f t="shared" si="15"/>
        <v>0.18360401027891857</v>
      </c>
      <c r="BO16" s="51">
        <v>0</v>
      </c>
      <c r="BP16" s="51">
        <v>85000</v>
      </c>
      <c r="BQ16" s="52">
        <v>125000</v>
      </c>
      <c r="BR16" s="48">
        <f t="shared" si="16"/>
        <v>0</v>
      </c>
      <c r="BS16" s="71">
        <f t="shared" si="17"/>
        <v>0.68</v>
      </c>
      <c r="BT16" s="72">
        <f t="shared" si="18"/>
        <v>0.96953211011576834</v>
      </c>
      <c r="BU16" s="51">
        <v>0</v>
      </c>
      <c r="BV16" s="51">
        <v>27000</v>
      </c>
      <c r="BW16" s="52">
        <v>92000</v>
      </c>
      <c r="BX16" s="48">
        <f t="shared" si="19"/>
        <v>0</v>
      </c>
      <c r="BY16" s="71">
        <f t="shared" si="20"/>
        <v>0.29347826086956524</v>
      </c>
      <c r="BZ16" s="72">
        <f t="shared" si="21"/>
        <v>0.57250145887509174</v>
      </c>
      <c r="CA16" s="51">
        <v>0</v>
      </c>
      <c r="CB16" s="51">
        <v>3000</v>
      </c>
      <c r="CC16" s="52">
        <v>26000</v>
      </c>
      <c r="CD16" s="48">
        <f t="shared" si="22"/>
        <v>0</v>
      </c>
      <c r="CE16" s="71">
        <f t="shared" si="23"/>
        <v>0.11538461538461539</v>
      </c>
      <c r="CF16" s="72">
        <f t="shared" si="24"/>
        <v>0.34657995378837692</v>
      </c>
      <c r="CG16" s="53">
        <v>0</v>
      </c>
      <c r="CH16" s="53">
        <v>1000</v>
      </c>
      <c r="CI16" s="52">
        <v>17000</v>
      </c>
      <c r="CJ16" s="48">
        <f t="shared" si="25"/>
        <v>0</v>
      </c>
      <c r="CK16" s="71">
        <f t="shared" si="26"/>
        <v>5.8823529411764705E-2</v>
      </c>
      <c r="CL16" s="72">
        <f t="shared" si="27"/>
        <v>0.24497866312686412</v>
      </c>
      <c r="CM16" s="53">
        <v>0</v>
      </c>
      <c r="CN16" s="53">
        <v>158000</v>
      </c>
      <c r="CO16" s="52">
        <v>166000</v>
      </c>
      <c r="CP16" s="48">
        <f t="shared" si="28"/>
        <v>0</v>
      </c>
      <c r="CQ16" s="71">
        <f t="shared" si="29"/>
        <v>0.95180722891566261</v>
      </c>
      <c r="CR16" s="72">
        <f t="shared" si="30"/>
        <v>1.34946515143674</v>
      </c>
      <c r="CS16" s="47">
        <v>0</v>
      </c>
      <c r="CT16" s="47">
        <v>59000</v>
      </c>
      <c r="CU16" s="48">
        <v>71000</v>
      </c>
      <c r="CV16" s="48">
        <f t="shared" si="31"/>
        <v>0</v>
      </c>
      <c r="CW16" s="72">
        <f t="shared" si="32"/>
        <v>0.83098591549295775</v>
      </c>
      <c r="CX16" s="72">
        <f t="shared" si="33"/>
        <v>1.1471214013230238</v>
      </c>
      <c r="CY16" s="53">
        <v>0</v>
      </c>
      <c r="CZ16" s="53">
        <v>14000</v>
      </c>
      <c r="DA16" s="52">
        <v>67000</v>
      </c>
      <c r="DB16" s="48">
        <f t="shared" si="34"/>
        <v>0</v>
      </c>
      <c r="DC16" s="71">
        <f t="shared" si="35"/>
        <v>0.20895522388059701</v>
      </c>
      <c r="DD16" s="72">
        <f t="shared" si="36"/>
        <v>0.47475010591866029</v>
      </c>
      <c r="DE16" s="47">
        <v>0</v>
      </c>
      <c r="DF16" s="47">
        <v>27000</v>
      </c>
      <c r="DG16" s="48">
        <v>46000</v>
      </c>
      <c r="DH16" s="48">
        <f t="shared" si="37"/>
        <v>0</v>
      </c>
      <c r="DI16" s="71">
        <f t="shared" si="38"/>
        <v>0.58695652173913049</v>
      </c>
      <c r="DJ16" s="72">
        <f t="shared" si="39"/>
        <v>0.87279910508429537</v>
      </c>
      <c r="DK16" s="47">
        <v>0</v>
      </c>
      <c r="DL16" s="47">
        <v>74000</v>
      </c>
      <c r="DM16" s="48">
        <v>84000</v>
      </c>
      <c r="DN16" s="48">
        <f t="shared" si="40"/>
        <v>0</v>
      </c>
      <c r="DO16" s="71">
        <f t="shared" si="41"/>
        <v>0.88095238095238093</v>
      </c>
      <c r="DP16" s="72">
        <f t="shared" si="42"/>
        <v>1.218522617568474</v>
      </c>
      <c r="DQ16" s="51">
        <v>0</v>
      </c>
      <c r="DR16" s="51">
        <v>112000</v>
      </c>
      <c r="DS16" s="52">
        <v>123000</v>
      </c>
      <c r="DT16" s="71">
        <f t="shared" si="43"/>
        <v>0</v>
      </c>
      <c r="DU16" s="72">
        <f t="shared" si="44"/>
        <v>0</v>
      </c>
      <c r="DV16" s="71">
        <f t="shared" si="45"/>
        <v>0.91056910569105687</v>
      </c>
      <c r="DW16" s="72">
        <f t="shared" si="46"/>
        <v>1.2670994019928419</v>
      </c>
      <c r="DX16" s="51">
        <v>0</v>
      </c>
      <c r="DY16" s="51">
        <v>87000</v>
      </c>
      <c r="DZ16" s="52">
        <v>129000</v>
      </c>
      <c r="EA16" s="71">
        <f t="shared" si="47"/>
        <v>0</v>
      </c>
      <c r="EB16" s="72">
        <f t="shared" si="48"/>
        <v>0</v>
      </c>
      <c r="EC16" s="71">
        <f t="shared" si="49"/>
        <v>0.67441860465116277</v>
      </c>
      <c r="ED16" s="72">
        <f t="shared" si="50"/>
        <v>0.96356320716173494</v>
      </c>
      <c r="EE16" s="51">
        <v>0</v>
      </c>
      <c r="EF16" s="51">
        <v>170000</v>
      </c>
      <c r="EG16" s="52">
        <v>181000</v>
      </c>
      <c r="EH16" s="48">
        <f t="shared" si="51"/>
        <v>0</v>
      </c>
      <c r="EI16" s="71">
        <f t="shared" si="52"/>
        <v>0.93922651933701662</v>
      </c>
      <c r="EJ16" s="72">
        <f t="shared" si="53"/>
        <v>1.3217056740883806</v>
      </c>
      <c r="EK16" s="51">
        <v>0</v>
      </c>
      <c r="EL16" s="51">
        <v>50000</v>
      </c>
      <c r="EM16" s="52">
        <v>51000</v>
      </c>
      <c r="EN16" s="48">
        <f t="shared" si="54"/>
        <v>0</v>
      </c>
      <c r="EO16" s="71">
        <f t="shared" si="55"/>
        <v>0.98039215686274506</v>
      </c>
      <c r="EP16" s="72">
        <f t="shared" si="56"/>
        <v>1.4303066250413761</v>
      </c>
      <c r="EQ16" s="49">
        <v>124000</v>
      </c>
      <c r="ER16" s="51">
        <v>476000</v>
      </c>
      <c r="ES16" s="52">
        <v>615000</v>
      </c>
      <c r="ET16" s="68">
        <f t="shared" si="57"/>
        <v>0.2016260162601626</v>
      </c>
      <c r="EU16" s="68">
        <f t="shared" si="0"/>
        <v>0</v>
      </c>
      <c r="EV16" s="68">
        <f t="shared" si="58"/>
        <v>0.77398373983739832</v>
      </c>
      <c r="EW16" s="51">
        <v>53000</v>
      </c>
      <c r="EX16" s="51">
        <v>299000</v>
      </c>
      <c r="EY16" s="52">
        <v>389000</v>
      </c>
      <c r="EZ16" s="68">
        <f t="shared" si="59"/>
        <v>0.13624678663239073</v>
      </c>
      <c r="FA16" s="68">
        <f t="shared" si="60"/>
        <v>0.37805791323212684</v>
      </c>
      <c r="FB16" s="68">
        <f t="shared" si="61"/>
        <v>0.76863753213367614</v>
      </c>
      <c r="FC16" s="51">
        <v>0</v>
      </c>
      <c r="FD16" s="51">
        <v>179000</v>
      </c>
      <c r="FE16" s="52">
        <v>183000</v>
      </c>
      <c r="FF16" s="68">
        <f t="shared" si="62"/>
        <v>0</v>
      </c>
      <c r="FG16" s="68">
        <f t="shared" si="63"/>
        <v>0</v>
      </c>
      <c r="FH16" s="68">
        <f t="shared" si="1"/>
        <v>0.97814207650273222</v>
      </c>
      <c r="FI16" s="51">
        <v>75000</v>
      </c>
      <c r="FJ16" s="51">
        <v>263000</v>
      </c>
      <c r="FK16" s="52">
        <v>343000</v>
      </c>
      <c r="FL16" s="68">
        <f t="shared" si="88"/>
        <v>0.21865889212827988</v>
      </c>
      <c r="FM16" s="68">
        <f t="shared" si="64"/>
        <v>0.48658475308764543</v>
      </c>
      <c r="FN16" s="68">
        <f t="shared" si="65"/>
        <v>0.76676384839650147</v>
      </c>
      <c r="FO16" s="46">
        <f t="shared" si="3"/>
        <v>252000</v>
      </c>
      <c r="FP16" s="46">
        <f t="shared" si="4"/>
        <v>1217000</v>
      </c>
      <c r="FQ16" s="48">
        <f t="shared" si="5"/>
        <v>1530000</v>
      </c>
      <c r="FR16" s="48">
        <v>1746000</v>
      </c>
      <c r="FS16" s="68">
        <f t="shared" si="66"/>
        <v>0.16470588235294117</v>
      </c>
      <c r="FT16" s="68">
        <f t="shared" si="67"/>
        <v>0.417897435699844</v>
      </c>
      <c r="FU16" s="68">
        <f t="shared" si="6"/>
        <v>0.79542483660130714</v>
      </c>
      <c r="FV16" s="68">
        <f t="shared" si="68"/>
        <v>1.1014539628376143</v>
      </c>
      <c r="FW16" s="51">
        <v>0</v>
      </c>
      <c r="FX16" s="51">
        <v>70000</v>
      </c>
      <c r="FY16" s="52">
        <v>169000</v>
      </c>
      <c r="FZ16" s="48">
        <f t="shared" si="69"/>
        <v>0</v>
      </c>
      <c r="GA16" s="71">
        <f t="shared" si="70"/>
        <v>0.41420118343195267</v>
      </c>
      <c r="GB16" s="68">
        <f t="shared" si="71"/>
        <v>0.69917259924746877</v>
      </c>
      <c r="GC16" s="51">
        <v>0</v>
      </c>
      <c r="GD16" s="51">
        <v>56000</v>
      </c>
      <c r="GE16" s="52">
        <v>74000</v>
      </c>
      <c r="GF16" s="48">
        <f t="shared" si="72"/>
        <v>0</v>
      </c>
      <c r="GG16" s="68">
        <f t="shared" si="73"/>
        <v>0</v>
      </c>
      <c r="GH16" s="71">
        <f t="shared" si="74"/>
        <v>0.7567567567567568</v>
      </c>
      <c r="GI16" s="68">
        <f t="shared" si="75"/>
        <v>1.0550353695565882</v>
      </c>
      <c r="GJ16" s="51">
        <v>0</v>
      </c>
      <c r="GK16" s="51">
        <v>241000</v>
      </c>
      <c r="GL16" s="52">
        <v>255000</v>
      </c>
      <c r="GM16" s="71">
        <f t="shared" si="76"/>
        <v>0</v>
      </c>
      <c r="GN16" s="68">
        <f t="shared" si="77"/>
        <v>0</v>
      </c>
      <c r="GO16" s="71">
        <f t="shared" si="78"/>
        <v>0.94509803921568625</v>
      </c>
      <c r="GP16" s="68">
        <f t="shared" si="79"/>
        <v>1.3342858553769459</v>
      </c>
      <c r="GQ16" s="51">
        <v>9000</v>
      </c>
      <c r="GR16" s="51">
        <v>305000</v>
      </c>
      <c r="GS16" s="52">
        <v>316000</v>
      </c>
      <c r="GT16" s="71">
        <f t="shared" si="80"/>
        <v>2.8481012658227847E-2</v>
      </c>
      <c r="GU16" s="68">
        <f t="shared" si="81"/>
        <v>0.1695747208607096</v>
      </c>
      <c r="GV16" s="71">
        <f t="shared" si="82"/>
        <v>0.96518987341772156</v>
      </c>
      <c r="GW16" s="68">
        <f t="shared" si="83"/>
        <v>1.3831218413907018</v>
      </c>
      <c r="GX16" s="40">
        <v>9000</v>
      </c>
      <c r="GY16" s="40">
        <v>602000</v>
      </c>
      <c r="GZ16">
        <v>645000</v>
      </c>
      <c r="HA16" s="126">
        <f t="shared" si="84"/>
        <v>1.3953488372093023E-2</v>
      </c>
      <c r="HB16" s="126">
        <f t="shared" si="85"/>
        <v>0.93333333333333335</v>
      </c>
      <c r="HC16" s="68">
        <f t="shared" si="86"/>
        <v>1.3096389158918722</v>
      </c>
    </row>
    <row r="17" spans="1:211" x14ac:dyDescent="0.2">
      <c r="A17">
        <v>1976</v>
      </c>
      <c r="B17" s="25">
        <v>537</v>
      </c>
      <c r="C17" s="1">
        <v>394</v>
      </c>
      <c r="D17" s="1">
        <v>310</v>
      </c>
      <c r="E17" s="1">
        <v>905</v>
      </c>
      <c r="F17" s="69">
        <f t="shared" si="87"/>
        <v>2146</v>
      </c>
      <c r="G17" s="23">
        <f t="shared" si="7"/>
        <v>2143.5</v>
      </c>
      <c r="H17" s="1">
        <v>280</v>
      </c>
      <c r="I17" s="1">
        <v>216</v>
      </c>
      <c r="J17" s="1">
        <v>120</v>
      </c>
      <c r="K17" s="1">
        <v>107</v>
      </c>
      <c r="L17" s="1">
        <v>30</v>
      </c>
      <c r="M17" s="1">
        <v>15</v>
      </c>
      <c r="N17" s="1">
        <v>31</v>
      </c>
      <c r="O17" s="1">
        <v>52</v>
      </c>
      <c r="P17" s="1">
        <v>202</v>
      </c>
      <c r="Q17" s="1">
        <v>78</v>
      </c>
      <c r="R17" s="1">
        <v>65</v>
      </c>
      <c r="S17" s="1">
        <v>86</v>
      </c>
      <c r="T17" s="69">
        <f t="shared" si="89"/>
        <v>431</v>
      </c>
      <c r="U17" s="1">
        <v>32</v>
      </c>
      <c r="V17" s="1">
        <v>35</v>
      </c>
      <c r="W17" s="1">
        <v>118</v>
      </c>
      <c r="X17" s="1">
        <v>25</v>
      </c>
      <c r="Y17" s="1">
        <v>20</v>
      </c>
      <c r="Z17" s="1">
        <v>33</v>
      </c>
      <c r="AA17" s="1">
        <v>74</v>
      </c>
      <c r="AB17" s="69">
        <f t="shared" si="90"/>
        <v>127</v>
      </c>
      <c r="AC17" s="27">
        <v>9244.2999999999993</v>
      </c>
      <c r="AD17" s="13">
        <v>10840.3</v>
      </c>
      <c r="AE17" s="13">
        <v>13116.4</v>
      </c>
      <c r="AF17" s="13">
        <v>14194.7</v>
      </c>
      <c r="AG17" s="41">
        <f t="shared" si="91"/>
        <v>47395.7</v>
      </c>
      <c r="AH17" s="27">
        <v>12210</v>
      </c>
      <c r="AI17" s="13">
        <v>24428.1</v>
      </c>
      <c r="AJ17" s="13">
        <v>21003.7</v>
      </c>
      <c r="AK17" s="13">
        <v>22203.9</v>
      </c>
      <c r="AL17" s="41">
        <f t="shared" si="92"/>
        <v>79845.700000000012</v>
      </c>
      <c r="AM17" s="32">
        <v>4596</v>
      </c>
      <c r="AN17" s="85">
        <v>79853</v>
      </c>
      <c r="AO17" s="35">
        <f>2797.9+135.5+18</f>
        <v>2951.4</v>
      </c>
      <c r="AP17" s="35">
        <f>13283.7+8+742.2+11571.8+393.4+38419.3+29+9710.1</f>
        <v>74157.500000000015</v>
      </c>
      <c r="AQ17" s="1">
        <f>AN17+82477</f>
        <v>162330</v>
      </c>
      <c r="AR17" s="30" t="e">
        <f>AZ17/#REF!</f>
        <v>#REF!</v>
      </c>
      <c r="AS17" s="74" t="e">
        <f>AY17/#REF!</f>
        <v>#REF!</v>
      </c>
      <c r="AY17">
        <f>2934.2+10840.3+13116.4+14194.7</f>
        <v>41085.600000000006</v>
      </c>
      <c r="AZ17">
        <f>12210+24428.1+21003.7+22203.9</f>
        <v>79845.700000000012</v>
      </c>
      <c r="BA17" s="49">
        <v>205000</v>
      </c>
      <c r="BB17" s="19">
        <v>187000</v>
      </c>
      <c r="BC17" s="50">
        <v>462000</v>
      </c>
      <c r="BD17" s="72">
        <f t="shared" si="8"/>
        <v>0.44372294372294374</v>
      </c>
      <c r="BE17" s="72">
        <f t="shared" si="9"/>
        <v>0.72900160093735866</v>
      </c>
      <c r="BF17" s="72">
        <f t="shared" si="10"/>
        <v>0.40476190476190477</v>
      </c>
      <c r="BG17" s="72">
        <f t="shared" si="11"/>
        <v>0.6895745659097402</v>
      </c>
      <c r="BH17" s="49">
        <v>126000</v>
      </c>
      <c r="BI17" s="51">
        <v>43000</v>
      </c>
      <c r="BJ17" s="52">
        <v>188000</v>
      </c>
      <c r="BK17" s="71">
        <f t="shared" si="12"/>
        <v>0.67021276595744683</v>
      </c>
      <c r="BL17" s="72">
        <f t="shared" si="13"/>
        <v>0.95908287504472856</v>
      </c>
      <c r="BM17" s="71">
        <f t="shared" si="14"/>
        <v>0.22872340425531915</v>
      </c>
      <c r="BN17" s="72">
        <f t="shared" si="15"/>
        <v>0.49866137710060277</v>
      </c>
      <c r="BO17" s="51">
        <v>0</v>
      </c>
      <c r="BP17" s="51">
        <v>97000</v>
      </c>
      <c r="BQ17" s="52">
        <v>135000</v>
      </c>
      <c r="BR17" s="48">
        <f t="shared" si="16"/>
        <v>0</v>
      </c>
      <c r="BS17" s="71">
        <f t="shared" si="17"/>
        <v>0.71851851851851856</v>
      </c>
      <c r="BT17" s="72">
        <f t="shared" si="18"/>
        <v>1.0115490677894134</v>
      </c>
      <c r="BU17" s="51">
        <v>0</v>
      </c>
      <c r="BV17" s="51">
        <v>11000</v>
      </c>
      <c r="BW17" s="52">
        <v>80000</v>
      </c>
      <c r="BX17" s="48">
        <f t="shared" si="19"/>
        <v>0</v>
      </c>
      <c r="BY17" s="71">
        <f t="shared" si="20"/>
        <v>0.13750000000000001</v>
      </c>
      <c r="BZ17" s="72">
        <f t="shared" si="21"/>
        <v>0.37988096625365758</v>
      </c>
      <c r="CA17" s="51">
        <v>0</v>
      </c>
      <c r="CB17" s="51">
        <v>5000</v>
      </c>
      <c r="CC17" s="52">
        <v>29000</v>
      </c>
      <c r="CD17" s="48">
        <f t="shared" si="22"/>
        <v>0</v>
      </c>
      <c r="CE17" s="71">
        <f t="shared" si="23"/>
        <v>0.17241379310344829</v>
      </c>
      <c r="CF17" s="72">
        <f t="shared" si="24"/>
        <v>0.42819275558194081</v>
      </c>
      <c r="CG17" s="53">
        <v>0</v>
      </c>
      <c r="CH17" s="53">
        <v>1000</v>
      </c>
      <c r="CI17" s="52">
        <v>25000</v>
      </c>
      <c r="CJ17" s="48">
        <f t="shared" si="25"/>
        <v>0</v>
      </c>
      <c r="CK17" s="71">
        <f t="shared" si="26"/>
        <v>0.04</v>
      </c>
      <c r="CL17" s="72">
        <f t="shared" si="27"/>
        <v>0.20135792079033082</v>
      </c>
      <c r="CM17" s="53">
        <v>0</v>
      </c>
      <c r="CN17" s="53">
        <v>137000</v>
      </c>
      <c r="CO17" s="52">
        <v>151000</v>
      </c>
      <c r="CP17" s="48">
        <f t="shared" si="28"/>
        <v>0</v>
      </c>
      <c r="CQ17" s="71">
        <f t="shared" si="29"/>
        <v>0.9072847682119205</v>
      </c>
      <c r="CR17" s="72">
        <f t="shared" si="30"/>
        <v>1.2613915201780639</v>
      </c>
      <c r="CS17" s="47">
        <v>0</v>
      </c>
      <c r="CT17" s="47">
        <v>66000</v>
      </c>
      <c r="CU17" s="48">
        <v>74000</v>
      </c>
      <c r="CV17" s="48">
        <f t="shared" si="31"/>
        <v>0</v>
      </c>
      <c r="CW17" s="72">
        <f t="shared" si="32"/>
        <v>0.89189189189189189</v>
      </c>
      <c r="CX17" s="72">
        <f t="shared" si="33"/>
        <v>1.2357658263975111</v>
      </c>
      <c r="CY17" s="53">
        <v>0</v>
      </c>
      <c r="CZ17" s="53">
        <v>20000</v>
      </c>
      <c r="DA17" s="52">
        <v>68000</v>
      </c>
      <c r="DB17" s="48">
        <f t="shared" si="34"/>
        <v>0</v>
      </c>
      <c r="DC17" s="71">
        <f t="shared" si="35"/>
        <v>0.29411764705882354</v>
      </c>
      <c r="DD17" s="72">
        <f t="shared" si="36"/>
        <v>0.57320330910085504</v>
      </c>
      <c r="DE17" s="47">
        <v>0</v>
      </c>
      <c r="DF17" s="47">
        <v>8000</v>
      </c>
      <c r="DG17" s="48">
        <v>20000</v>
      </c>
      <c r="DH17" s="48">
        <f t="shared" si="37"/>
        <v>0</v>
      </c>
      <c r="DI17" s="71">
        <f t="shared" si="38"/>
        <v>0.4</v>
      </c>
      <c r="DJ17" s="72">
        <f t="shared" si="39"/>
        <v>0.68471920300228295</v>
      </c>
      <c r="DK17" s="47">
        <v>0</v>
      </c>
      <c r="DL17" s="47">
        <v>61000</v>
      </c>
      <c r="DM17" s="48">
        <v>69000</v>
      </c>
      <c r="DN17" s="48">
        <f t="shared" si="40"/>
        <v>0</v>
      </c>
      <c r="DO17" s="71">
        <f t="shared" si="41"/>
        <v>0.88405797101449279</v>
      </c>
      <c r="DP17" s="72">
        <f t="shared" si="42"/>
        <v>1.2233449255459068</v>
      </c>
      <c r="DQ17" s="51">
        <v>0</v>
      </c>
      <c r="DR17" s="51">
        <v>147000</v>
      </c>
      <c r="DS17" s="52">
        <v>161000</v>
      </c>
      <c r="DT17" s="71">
        <f t="shared" si="43"/>
        <v>0</v>
      </c>
      <c r="DU17" s="72">
        <f t="shared" si="44"/>
        <v>0</v>
      </c>
      <c r="DV17" s="71">
        <f t="shared" si="45"/>
        <v>0.91304347826086951</v>
      </c>
      <c r="DW17" s="72">
        <f t="shared" si="46"/>
        <v>1.2714623003771253</v>
      </c>
      <c r="DX17" s="51">
        <v>0</v>
      </c>
      <c r="DY17" s="51">
        <v>84000</v>
      </c>
      <c r="DZ17" s="52">
        <v>147000</v>
      </c>
      <c r="EA17" s="71">
        <f t="shared" si="47"/>
        <v>0</v>
      </c>
      <c r="EB17" s="72">
        <f t="shared" si="48"/>
        <v>0</v>
      </c>
      <c r="EC17" s="71">
        <f t="shared" si="49"/>
        <v>0.5714285714285714</v>
      </c>
      <c r="ED17" s="72">
        <f t="shared" si="50"/>
        <v>0.85707194785013086</v>
      </c>
      <c r="EE17" s="51">
        <v>0</v>
      </c>
      <c r="EF17" s="51">
        <v>186000</v>
      </c>
      <c r="EG17" s="52">
        <v>195000</v>
      </c>
      <c r="EH17" s="48">
        <f t="shared" si="51"/>
        <v>0</v>
      </c>
      <c r="EI17" s="71">
        <f t="shared" si="52"/>
        <v>0.9538461538461539</v>
      </c>
      <c r="EJ17" s="72">
        <f t="shared" si="53"/>
        <v>1.3542739955391907</v>
      </c>
      <c r="EK17" s="51">
        <v>0</v>
      </c>
      <c r="EL17" s="51">
        <v>100000</v>
      </c>
      <c r="EM17" s="52">
        <v>101000</v>
      </c>
      <c r="EN17" s="48">
        <f t="shared" si="54"/>
        <v>0</v>
      </c>
      <c r="EO17" s="71">
        <f t="shared" si="55"/>
        <v>0.99009900990099009</v>
      </c>
      <c r="EP17" s="72">
        <f t="shared" si="56"/>
        <v>1.4711276743037347</v>
      </c>
      <c r="EQ17" s="49">
        <v>145000</v>
      </c>
      <c r="ER17" s="51">
        <v>631000</v>
      </c>
      <c r="ES17" s="52">
        <v>792000</v>
      </c>
      <c r="ET17" s="68">
        <f t="shared" si="57"/>
        <v>0.18308080808080809</v>
      </c>
      <c r="EU17" s="68">
        <f t="shared" si="0"/>
        <v>0</v>
      </c>
      <c r="EV17" s="68">
        <f t="shared" si="58"/>
        <v>0.79671717171717171</v>
      </c>
      <c r="EW17" s="51">
        <v>57000</v>
      </c>
      <c r="EX17" s="51">
        <v>367000</v>
      </c>
      <c r="EY17" s="52">
        <v>461000</v>
      </c>
      <c r="EZ17" s="68">
        <f t="shared" si="59"/>
        <v>0.12364425162689804</v>
      </c>
      <c r="FA17" s="68">
        <f t="shared" si="60"/>
        <v>0.35931263316747114</v>
      </c>
      <c r="FB17" s="68">
        <f t="shared" si="61"/>
        <v>0.79609544468546634</v>
      </c>
      <c r="FC17" s="51">
        <v>0</v>
      </c>
      <c r="FD17" s="51">
        <v>151000</v>
      </c>
      <c r="FE17" s="52">
        <v>162000</v>
      </c>
      <c r="FF17" s="68">
        <f t="shared" si="62"/>
        <v>0</v>
      </c>
      <c r="FG17" s="68">
        <f t="shared" si="63"/>
        <v>0</v>
      </c>
      <c r="FH17" s="68">
        <f t="shared" si="1"/>
        <v>0.9320987654320988</v>
      </c>
      <c r="FI17" s="51">
        <v>75000</v>
      </c>
      <c r="FJ17" s="51">
        <v>366000</v>
      </c>
      <c r="FK17" s="52">
        <v>444000</v>
      </c>
      <c r="FL17" s="68">
        <f t="shared" si="88"/>
        <v>0.16891891891891891</v>
      </c>
      <c r="FM17" s="68">
        <f t="shared" si="64"/>
        <v>0.42354794399532708</v>
      </c>
      <c r="FN17" s="68">
        <f t="shared" si="65"/>
        <v>0.82432432432432434</v>
      </c>
      <c r="FO17" s="46">
        <f t="shared" si="3"/>
        <v>277000</v>
      </c>
      <c r="FP17" s="46">
        <f t="shared" si="4"/>
        <v>1515000</v>
      </c>
      <c r="FQ17" s="48">
        <f t="shared" si="5"/>
        <v>1859000</v>
      </c>
      <c r="FR17" s="48">
        <v>1530000</v>
      </c>
      <c r="FS17" s="68">
        <f t="shared" si="66"/>
        <v>0.14900484131253361</v>
      </c>
      <c r="FT17" s="68">
        <f t="shared" si="67"/>
        <v>0.3963040037803654</v>
      </c>
      <c r="FU17" s="68">
        <f t="shared" si="6"/>
        <v>0.81495427649273799</v>
      </c>
      <c r="FV17" s="68">
        <f t="shared" si="68"/>
        <v>1.1261158950993628</v>
      </c>
      <c r="FW17" s="51">
        <v>0</v>
      </c>
      <c r="FX17" s="51">
        <v>72000</v>
      </c>
      <c r="FY17" s="52">
        <v>257000</v>
      </c>
      <c r="FZ17" s="48">
        <f t="shared" si="69"/>
        <v>0</v>
      </c>
      <c r="GA17" s="71">
        <f t="shared" si="70"/>
        <v>0.28015564202334631</v>
      </c>
      <c r="GB17" s="68">
        <f t="shared" si="71"/>
        <v>0.55777213315498231</v>
      </c>
      <c r="GC17" s="51">
        <v>0</v>
      </c>
      <c r="GD17" s="51">
        <v>71000</v>
      </c>
      <c r="GE17" s="52">
        <v>93000</v>
      </c>
      <c r="GF17" s="48">
        <f t="shared" si="72"/>
        <v>0</v>
      </c>
      <c r="GG17" s="68">
        <f t="shared" si="73"/>
        <v>0</v>
      </c>
      <c r="GH17" s="71">
        <f t="shared" si="74"/>
        <v>0.76344086021505375</v>
      </c>
      <c r="GI17" s="68">
        <f t="shared" si="75"/>
        <v>1.0628619365717948</v>
      </c>
      <c r="GJ17" s="51">
        <v>0</v>
      </c>
      <c r="GK17" s="51">
        <v>249000</v>
      </c>
      <c r="GL17" s="52">
        <v>274000</v>
      </c>
      <c r="GM17" s="71">
        <f t="shared" si="76"/>
        <v>0</v>
      </c>
      <c r="GN17" s="68">
        <f t="shared" si="77"/>
        <v>0</v>
      </c>
      <c r="GO17" s="71">
        <f t="shared" si="78"/>
        <v>0.90875912408759119</v>
      </c>
      <c r="GP17" s="68">
        <f t="shared" si="79"/>
        <v>1.2639423726152335</v>
      </c>
      <c r="GQ17" s="51">
        <v>2000</v>
      </c>
      <c r="GR17" s="51">
        <v>436000</v>
      </c>
      <c r="GS17" s="52">
        <v>439000</v>
      </c>
      <c r="GT17" s="71">
        <f t="shared" si="80"/>
        <v>4.5558086560364463E-3</v>
      </c>
      <c r="GU17" s="68">
        <f t="shared" si="81"/>
        <v>6.7548086426180876E-2</v>
      </c>
      <c r="GV17" s="71">
        <f t="shared" si="82"/>
        <v>0.99316628701594534</v>
      </c>
      <c r="GW17" s="68">
        <f t="shared" si="83"/>
        <v>1.488035608374539</v>
      </c>
      <c r="GX17" s="40">
        <v>2000</v>
      </c>
      <c r="GY17" s="40">
        <v>756000</v>
      </c>
      <c r="GZ17">
        <v>806000</v>
      </c>
      <c r="HA17" s="126">
        <f t="shared" si="84"/>
        <v>2.4813895781637717E-3</v>
      </c>
      <c r="HB17" s="126">
        <f t="shared" si="85"/>
        <v>0.93796526054590568</v>
      </c>
      <c r="HC17" s="68">
        <f t="shared" si="86"/>
        <v>1.3190787854215984</v>
      </c>
    </row>
    <row r="18" spans="1:211" x14ac:dyDescent="0.2">
      <c r="A18">
        <v>1977</v>
      </c>
      <c r="B18" s="25">
        <v>80</v>
      </c>
      <c r="C18" s="1">
        <v>47</v>
      </c>
      <c r="D18" s="1">
        <v>89</v>
      </c>
      <c r="E18" s="1">
        <v>186</v>
      </c>
      <c r="F18" s="69">
        <f t="shared" si="87"/>
        <v>402</v>
      </c>
      <c r="G18" s="23">
        <f t="shared" si="7"/>
        <v>399.5</v>
      </c>
      <c r="H18" s="1">
        <v>140</v>
      </c>
      <c r="I18" s="1">
        <v>158</v>
      </c>
      <c r="J18" s="1">
        <v>76</v>
      </c>
      <c r="K18" s="1">
        <v>55</v>
      </c>
      <c r="L18" s="1">
        <v>21</v>
      </c>
      <c r="M18" s="1">
        <v>1</v>
      </c>
      <c r="N18" s="1">
        <v>29</v>
      </c>
      <c r="O18" s="1">
        <v>55</v>
      </c>
      <c r="P18" s="1">
        <v>62</v>
      </c>
      <c r="Q18" s="1">
        <v>11</v>
      </c>
      <c r="R18" s="1">
        <v>17</v>
      </c>
      <c r="S18" s="1">
        <v>63</v>
      </c>
      <c r="T18" s="69">
        <f t="shared" si="89"/>
        <v>153</v>
      </c>
      <c r="U18" s="1">
        <v>6</v>
      </c>
      <c r="V18" s="1">
        <v>13</v>
      </c>
      <c r="W18" s="1">
        <v>42</v>
      </c>
      <c r="X18" s="1">
        <v>11</v>
      </c>
      <c r="Y18" s="1">
        <v>31</v>
      </c>
      <c r="Z18" s="1">
        <v>32</v>
      </c>
      <c r="AA18" s="1">
        <v>83</v>
      </c>
      <c r="AB18" s="69">
        <f t="shared" si="90"/>
        <v>146</v>
      </c>
      <c r="AC18" s="27">
        <v>568.29999999999995</v>
      </c>
      <c r="AD18" s="13">
        <v>299.7</v>
      </c>
      <c r="AE18" s="13">
        <v>803</v>
      </c>
      <c r="AF18" s="13">
        <v>624.5</v>
      </c>
      <c r="AG18" s="41">
        <f t="shared" si="91"/>
        <v>2295.5</v>
      </c>
      <c r="AH18" s="27">
        <v>902</v>
      </c>
      <c r="AI18" s="13">
        <v>975.2</v>
      </c>
      <c r="AJ18" s="13">
        <v>1305.2</v>
      </c>
      <c r="AK18" s="13">
        <v>730.7</v>
      </c>
      <c r="AL18" s="41">
        <f t="shared" si="92"/>
        <v>3913.1000000000004</v>
      </c>
      <c r="AM18" s="32">
        <v>2148</v>
      </c>
      <c r="AN18" s="31">
        <v>26454</v>
      </c>
      <c r="AO18" s="35">
        <f>2511.5+111.8</f>
        <v>2623.3</v>
      </c>
      <c r="AP18" s="35">
        <f>997.1+1176+5699.7+559.5+7540.2+201+3763.3</f>
        <v>19936.8</v>
      </c>
      <c r="AQ18" s="1">
        <v>67541</v>
      </c>
      <c r="AR18" s="30" t="e">
        <f>AZ18/#REF!</f>
        <v>#REF!</v>
      </c>
      <c r="AS18" s="74" t="e">
        <f>AY18/#REF!</f>
        <v>#REF!</v>
      </c>
      <c r="AY18">
        <f>2295.5</f>
        <v>2295.5</v>
      </c>
      <c r="AZ18">
        <v>3913.1</v>
      </c>
      <c r="BA18" s="49"/>
      <c r="BB18" s="19"/>
      <c r="BC18" s="50"/>
      <c r="BD18" s="72"/>
      <c r="BE18" s="72"/>
      <c r="BF18" s="72"/>
      <c r="BG18" s="72"/>
      <c r="BH18" s="49"/>
      <c r="BI18" s="19"/>
      <c r="BJ18" s="50"/>
      <c r="BK18" s="71"/>
      <c r="BL18" s="72"/>
      <c r="BM18" s="71"/>
      <c r="BN18" s="72"/>
      <c r="BO18" s="19"/>
      <c r="BP18" s="19"/>
      <c r="BQ18" s="50"/>
      <c r="BR18" s="48"/>
      <c r="BS18" s="71"/>
      <c r="BT18" s="72"/>
      <c r="BU18" s="19"/>
      <c r="BV18" s="19"/>
      <c r="BW18" s="50"/>
      <c r="BX18" s="48"/>
      <c r="BY18" s="71"/>
      <c r="BZ18" s="72"/>
      <c r="CA18" s="19"/>
      <c r="CB18" s="19"/>
      <c r="CC18" s="50"/>
      <c r="CD18" s="48"/>
      <c r="CE18" s="71"/>
      <c r="CF18" s="72"/>
      <c r="CG18" s="54"/>
      <c r="CH18" s="54"/>
      <c r="CI18" s="50"/>
      <c r="CJ18" s="48"/>
      <c r="CK18" s="71"/>
      <c r="CL18" s="72"/>
      <c r="CM18" s="54"/>
      <c r="CN18" s="54"/>
      <c r="CO18" s="50"/>
      <c r="CP18" s="48"/>
      <c r="CQ18" s="71"/>
      <c r="CR18" s="72"/>
      <c r="CS18" s="47"/>
      <c r="CT18" s="47"/>
      <c r="CU18" s="48"/>
      <c r="CV18" s="48"/>
      <c r="CW18" s="72"/>
      <c r="CX18" s="72"/>
      <c r="CY18" s="54"/>
      <c r="CZ18" s="54"/>
      <c r="DA18" s="50"/>
      <c r="DB18" s="48"/>
      <c r="DC18" s="71"/>
      <c r="DD18" s="72"/>
      <c r="DE18" s="47"/>
      <c r="DF18" s="47"/>
      <c r="DG18" s="48"/>
      <c r="DH18" s="48"/>
      <c r="DI18" s="71"/>
      <c r="DJ18" s="72"/>
      <c r="DK18" s="47"/>
      <c r="DL18" s="47"/>
      <c r="DM18" s="48"/>
      <c r="DN18" s="48"/>
      <c r="DO18" s="71"/>
      <c r="DP18" s="72"/>
      <c r="DQ18" s="19"/>
      <c r="DR18" s="19"/>
      <c r="DS18" s="50"/>
      <c r="DT18" s="71"/>
      <c r="DU18" s="72"/>
      <c r="DV18" s="71"/>
      <c r="DW18" s="72"/>
      <c r="DX18" s="19"/>
      <c r="DY18" s="19"/>
      <c r="DZ18" s="50"/>
      <c r="EA18" s="71"/>
      <c r="EB18" s="72"/>
      <c r="EC18" s="71"/>
      <c r="ED18" s="72"/>
      <c r="EE18" s="19"/>
      <c r="EF18" s="19"/>
      <c r="EG18" s="50"/>
      <c r="EH18" s="48"/>
      <c r="EI18" s="71"/>
      <c r="EJ18" s="72"/>
      <c r="EK18" s="19"/>
      <c r="EL18" s="19"/>
      <c r="EM18" s="50"/>
      <c r="EN18" s="48"/>
      <c r="EO18" s="71"/>
      <c r="EP18" s="72"/>
      <c r="EQ18" s="49"/>
      <c r="ER18" s="55"/>
      <c r="ES18" s="50"/>
      <c r="ET18" s="68"/>
      <c r="EU18" s="68"/>
      <c r="EV18" s="68"/>
      <c r="EW18" s="19"/>
      <c r="EX18" s="19"/>
      <c r="EY18" s="50"/>
      <c r="EZ18" s="68"/>
      <c r="FA18" s="68"/>
      <c r="FB18" s="68"/>
      <c r="FC18" s="19"/>
      <c r="FD18" s="19"/>
      <c r="FE18" s="50"/>
      <c r="FF18" s="68"/>
      <c r="FG18" s="68"/>
      <c r="FH18" s="68"/>
      <c r="FI18" s="19"/>
      <c r="FJ18" s="19"/>
      <c r="FK18" s="50"/>
      <c r="FL18" s="68"/>
      <c r="FM18" s="68"/>
      <c r="FN18" s="68"/>
      <c r="FO18" s="46"/>
      <c r="FP18" s="46"/>
      <c r="FQ18" s="48"/>
      <c r="FR18" s="48">
        <v>1859000</v>
      </c>
      <c r="FS18" s="68"/>
      <c r="FT18" s="68"/>
      <c r="FU18" s="68"/>
      <c r="FV18" s="68"/>
      <c r="FW18" s="19"/>
      <c r="FX18" s="19"/>
      <c r="FY18" s="50"/>
      <c r="FZ18" s="48"/>
      <c r="GA18" s="71"/>
      <c r="GB18" s="68"/>
      <c r="GC18" s="19"/>
      <c r="GD18" s="19"/>
      <c r="GE18" s="50"/>
      <c r="GF18" s="48"/>
      <c r="GG18" s="68"/>
      <c r="GH18" s="71"/>
      <c r="GI18" s="68"/>
      <c r="GJ18" s="19"/>
      <c r="GK18" s="19"/>
      <c r="GL18" s="50"/>
      <c r="GM18" s="71"/>
      <c r="GN18" s="68"/>
      <c r="GO18" s="71"/>
      <c r="GP18" s="68"/>
      <c r="GQ18" s="19"/>
      <c r="GR18" s="19"/>
      <c r="GS18" s="50"/>
      <c r="GT18" s="71"/>
      <c r="GU18" s="68"/>
      <c r="GV18" s="71"/>
      <c r="GW18" s="68"/>
      <c r="HA18" s="126"/>
      <c r="HB18" s="126"/>
      <c r="HC18" s="68"/>
    </row>
    <row r="19" spans="1:211" x14ac:dyDescent="0.2">
      <c r="A19">
        <v>1978</v>
      </c>
      <c r="B19" s="25">
        <v>717</v>
      </c>
      <c r="C19" s="1">
        <v>768</v>
      </c>
      <c r="D19" s="1">
        <v>518</v>
      </c>
      <c r="E19" s="1">
        <v>1639</v>
      </c>
      <c r="F19" s="69">
        <f t="shared" si="87"/>
        <v>3642</v>
      </c>
      <c r="G19" s="23">
        <f t="shared" si="7"/>
        <v>3639.5000000000005</v>
      </c>
      <c r="H19" s="1">
        <v>516</v>
      </c>
      <c r="I19" s="1">
        <v>226</v>
      </c>
      <c r="J19" s="1">
        <v>191</v>
      </c>
      <c r="K19" s="1">
        <v>367</v>
      </c>
      <c r="L19" s="1">
        <v>188</v>
      </c>
      <c r="M19" s="1">
        <v>35</v>
      </c>
      <c r="N19" s="1">
        <v>87</v>
      </c>
      <c r="O19" s="1">
        <v>151</v>
      </c>
      <c r="P19" s="1">
        <v>319</v>
      </c>
      <c r="Q19" s="1">
        <v>144</v>
      </c>
      <c r="R19" s="1">
        <v>83</v>
      </c>
      <c r="S19" s="1">
        <v>181</v>
      </c>
      <c r="T19" s="69">
        <f t="shared" si="89"/>
        <v>727</v>
      </c>
      <c r="U19" s="1">
        <v>48</v>
      </c>
      <c r="V19" s="1">
        <v>41</v>
      </c>
      <c r="W19" s="1">
        <v>84</v>
      </c>
      <c r="X19" s="1">
        <v>43</v>
      </c>
      <c r="Y19" s="1">
        <v>64</v>
      </c>
      <c r="Z19" s="1">
        <v>33</v>
      </c>
      <c r="AA19" s="1">
        <v>121</v>
      </c>
      <c r="AB19" s="69">
        <f t="shared" si="90"/>
        <v>218</v>
      </c>
      <c r="AC19" s="27">
        <v>7086.7</v>
      </c>
      <c r="AD19" s="13">
        <v>16318.6</v>
      </c>
      <c r="AE19" s="13">
        <v>16392.900000000001</v>
      </c>
      <c r="AF19" s="13">
        <v>16582.2</v>
      </c>
      <c r="AG19" s="41">
        <f t="shared" si="91"/>
        <v>56380.399999999994</v>
      </c>
      <c r="AH19" s="27">
        <v>11463.9</v>
      </c>
      <c r="AI19" s="13">
        <v>38128.1</v>
      </c>
      <c r="AJ19" s="13">
        <v>37546.400000000001</v>
      </c>
      <c r="AK19" s="13">
        <v>32492.3</v>
      </c>
      <c r="AL19" s="41">
        <f t="shared" si="92"/>
        <v>119630.7</v>
      </c>
      <c r="AM19" s="32">
        <v>8324</v>
      </c>
      <c r="AN19" s="31">
        <v>159264</v>
      </c>
      <c r="AO19" s="35">
        <f>5961.4+125.3</f>
        <v>6086.7</v>
      </c>
      <c r="AP19" s="35">
        <f>31742.3+185.2+1457.1+50689.5+2721.9+45690.5+457.5+10629.6</f>
        <v>143573.6</v>
      </c>
      <c r="AQ19" s="1">
        <v>275603</v>
      </c>
      <c r="AR19" s="30" t="e">
        <f>AZ19/#REF!</f>
        <v>#REF!</v>
      </c>
      <c r="AS19" s="74" t="e">
        <f>AY19/#REF!</f>
        <v>#REF!</v>
      </c>
      <c r="AY19">
        <v>56380.4</v>
      </c>
      <c r="AZ19">
        <v>119633.7</v>
      </c>
      <c r="BA19" s="49">
        <v>291000</v>
      </c>
      <c r="BB19" s="51">
        <v>182000</v>
      </c>
      <c r="BC19" s="52">
        <v>541000</v>
      </c>
      <c r="BD19" s="72">
        <f t="shared" si="8"/>
        <v>0.53789279112754163</v>
      </c>
      <c r="BE19" s="72">
        <f t="shared" si="9"/>
        <v>0.82332732118203866</v>
      </c>
      <c r="BF19" s="72">
        <f t="shared" si="10"/>
        <v>0.33641404805914971</v>
      </c>
      <c r="BG19" s="72">
        <f t="shared" si="11"/>
        <v>0.61874355697297689</v>
      </c>
      <c r="BH19" s="49">
        <v>337000</v>
      </c>
      <c r="BI19" s="51">
        <v>60000</v>
      </c>
      <c r="BJ19" s="52">
        <v>417000</v>
      </c>
      <c r="BK19" s="71">
        <f t="shared" si="12"/>
        <v>0.80815347721822539</v>
      </c>
      <c r="BL19" s="72">
        <f t="shared" si="13"/>
        <v>1.1174204148345943</v>
      </c>
      <c r="BM19" s="71">
        <f t="shared" si="14"/>
        <v>0.14388489208633093</v>
      </c>
      <c r="BN19" s="72">
        <f t="shared" si="15"/>
        <v>0.38906301333819227</v>
      </c>
      <c r="BO19" s="51">
        <v>0</v>
      </c>
      <c r="BP19" s="51">
        <v>114000</v>
      </c>
      <c r="BQ19" s="52">
        <v>149000</v>
      </c>
      <c r="BR19" s="48">
        <f t="shared" si="16"/>
        <v>0</v>
      </c>
      <c r="BS19" s="71">
        <f t="shared" si="17"/>
        <v>0.7651006711409396</v>
      </c>
      <c r="BT19" s="72">
        <f t="shared" si="18"/>
        <v>1.064817171178039</v>
      </c>
      <c r="BU19" s="51">
        <v>0</v>
      </c>
      <c r="BV19" s="51">
        <v>20000</v>
      </c>
      <c r="BW19" s="52">
        <v>81000</v>
      </c>
      <c r="BX19" s="48">
        <f t="shared" si="19"/>
        <v>0</v>
      </c>
      <c r="BY19" s="71">
        <f t="shared" si="20"/>
        <v>0.24691358024691357</v>
      </c>
      <c r="BZ19" s="72">
        <f t="shared" si="21"/>
        <v>0.52002749114624336</v>
      </c>
      <c r="CA19" s="51">
        <v>0</v>
      </c>
      <c r="CB19" s="51">
        <v>4000</v>
      </c>
      <c r="CC19" s="52">
        <v>32000</v>
      </c>
      <c r="CD19" s="48">
        <f t="shared" si="22"/>
        <v>0</v>
      </c>
      <c r="CE19" s="71">
        <f t="shared" si="23"/>
        <v>0.125</v>
      </c>
      <c r="CF19" s="72">
        <f t="shared" si="24"/>
        <v>0.36136712390670783</v>
      </c>
      <c r="CG19" s="51">
        <v>0</v>
      </c>
      <c r="CH19" s="51">
        <v>1000</v>
      </c>
      <c r="CI19" s="52">
        <v>18000</v>
      </c>
      <c r="CJ19" s="48">
        <f t="shared" si="25"/>
        <v>0</v>
      </c>
      <c r="CK19" s="71">
        <f t="shared" si="26"/>
        <v>5.5555555555555552E-2</v>
      </c>
      <c r="CL19" s="72">
        <f t="shared" si="27"/>
        <v>0.23794112483020827</v>
      </c>
      <c r="CM19" s="51">
        <v>0</v>
      </c>
      <c r="CN19" s="51">
        <v>217000</v>
      </c>
      <c r="CO19" s="52">
        <v>233000</v>
      </c>
      <c r="CP19" s="48">
        <f t="shared" si="28"/>
        <v>0</v>
      </c>
      <c r="CQ19" s="71">
        <f t="shared" si="29"/>
        <v>0.93133047210300424</v>
      </c>
      <c r="CR19" s="72">
        <f t="shared" si="30"/>
        <v>1.3056518355497204</v>
      </c>
      <c r="CS19" s="47">
        <v>0</v>
      </c>
      <c r="CT19" s="47">
        <v>59000</v>
      </c>
      <c r="CU19" s="48">
        <v>73000</v>
      </c>
      <c r="CV19" s="48">
        <f t="shared" si="31"/>
        <v>0</v>
      </c>
      <c r="CW19" s="72">
        <f t="shared" si="32"/>
        <v>0.80821917808219179</v>
      </c>
      <c r="CX19" s="72">
        <f t="shared" si="33"/>
        <v>1.1175038493132774</v>
      </c>
      <c r="CY19" s="51">
        <v>0</v>
      </c>
      <c r="CZ19" s="51">
        <v>17000</v>
      </c>
      <c r="DA19" s="52">
        <v>88000</v>
      </c>
      <c r="DB19" s="48">
        <f t="shared" si="34"/>
        <v>0</v>
      </c>
      <c r="DC19" s="71">
        <f t="shared" si="35"/>
        <v>0.19318181818181818</v>
      </c>
      <c r="DD19" s="72">
        <f t="shared" si="36"/>
        <v>0.45506927133917074</v>
      </c>
      <c r="DE19" s="47">
        <v>0</v>
      </c>
      <c r="DF19" s="47">
        <v>9000</v>
      </c>
      <c r="DG19" s="48">
        <v>25000</v>
      </c>
      <c r="DH19" s="48">
        <f t="shared" si="37"/>
        <v>0</v>
      </c>
      <c r="DI19" s="71">
        <f t="shared" si="38"/>
        <v>0.36</v>
      </c>
      <c r="DJ19" s="72">
        <f t="shared" si="39"/>
        <v>0.64350110879328437</v>
      </c>
      <c r="DK19" s="47">
        <v>0</v>
      </c>
      <c r="DL19" s="47">
        <v>89000</v>
      </c>
      <c r="DM19" s="48">
        <v>98000</v>
      </c>
      <c r="DN19" s="48">
        <f t="shared" si="40"/>
        <v>0</v>
      </c>
      <c r="DO19" s="71">
        <f t="shared" si="41"/>
        <v>0.90816326530612246</v>
      </c>
      <c r="DP19" s="72">
        <f t="shared" si="42"/>
        <v>1.262909235222905</v>
      </c>
      <c r="DQ19" s="51">
        <v>0</v>
      </c>
      <c r="DR19" s="51">
        <v>188000</v>
      </c>
      <c r="DS19" s="52">
        <v>211000</v>
      </c>
      <c r="DT19" s="71">
        <f t="shared" si="43"/>
        <v>0</v>
      </c>
      <c r="DU19" s="72">
        <f t="shared" si="44"/>
        <v>0</v>
      </c>
      <c r="DV19" s="71">
        <f t="shared" si="45"/>
        <v>0.89099526066350709</v>
      </c>
      <c r="DW19" s="72">
        <f t="shared" si="46"/>
        <v>1.234324673577915</v>
      </c>
      <c r="DX19" s="51">
        <v>0</v>
      </c>
      <c r="DY19" s="51">
        <v>66000</v>
      </c>
      <c r="DZ19" s="52">
        <v>118000</v>
      </c>
      <c r="EA19" s="71">
        <f t="shared" si="47"/>
        <v>0</v>
      </c>
      <c r="EB19" s="72">
        <f t="shared" si="48"/>
        <v>0</v>
      </c>
      <c r="EC19" s="71">
        <f t="shared" si="49"/>
        <v>0.55932203389830504</v>
      </c>
      <c r="ED19" s="72">
        <f t="shared" si="50"/>
        <v>0.84486025992608771</v>
      </c>
      <c r="EE19" s="51">
        <v>0</v>
      </c>
      <c r="EF19" s="51">
        <v>173000</v>
      </c>
      <c r="EG19" s="52">
        <v>179000</v>
      </c>
      <c r="EH19" s="48">
        <f t="shared" si="51"/>
        <v>0</v>
      </c>
      <c r="EI19" s="71">
        <f t="shared" si="52"/>
        <v>0.96648044692737434</v>
      </c>
      <c r="EJ19" s="72">
        <f t="shared" si="53"/>
        <v>1.3866743119448393</v>
      </c>
      <c r="EK19" s="51">
        <v>0</v>
      </c>
      <c r="EL19" s="51">
        <v>55000</v>
      </c>
      <c r="EM19" s="52">
        <v>57000</v>
      </c>
      <c r="EN19" s="48">
        <f t="shared" si="54"/>
        <v>0</v>
      </c>
      <c r="EO19" s="71">
        <f t="shared" si="55"/>
        <v>0.96491228070175439</v>
      </c>
      <c r="EP19" s="72">
        <f t="shared" si="56"/>
        <v>1.3823660762453527</v>
      </c>
      <c r="EQ19" s="49">
        <v>174000</v>
      </c>
      <c r="ER19" s="51">
        <v>506000</v>
      </c>
      <c r="ES19" s="52">
        <v>697000</v>
      </c>
      <c r="ET19" s="68">
        <f t="shared" si="57"/>
        <v>0.24964131994261118</v>
      </c>
      <c r="EU19" s="68">
        <f t="shared" ref="EU19:EU27" si="93">ASIN(SQRT(CP19))</f>
        <v>0</v>
      </c>
      <c r="EV19" s="68">
        <f t="shared" si="58"/>
        <v>0.72596843615494977</v>
      </c>
      <c r="EW19" s="51">
        <v>73000</v>
      </c>
      <c r="EX19" s="51">
        <v>294000</v>
      </c>
      <c r="EY19" s="52">
        <v>403000</v>
      </c>
      <c r="EZ19" s="68">
        <f t="shared" si="59"/>
        <v>0.18114143920595532</v>
      </c>
      <c r="FA19" s="68">
        <f t="shared" si="60"/>
        <v>0.43963272299503375</v>
      </c>
      <c r="FB19" s="68">
        <f t="shared" si="61"/>
        <v>0.72952853598014888</v>
      </c>
      <c r="FC19" s="51">
        <v>1000</v>
      </c>
      <c r="FD19" s="51">
        <v>166000</v>
      </c>
      <c r="FE19" s="52">
        <v>176000</v>
      </c>
      <c r="FF19" s="68">
        <f t="shared" si="62"/>
        <v>6.024096385542169E-3</v>
      </c>
      <c r="FG19" s="68">
        <f t="shared" si="63"/>
        <v>7.7693191338085943E-2</v>
      </c>
      <c r="FH19" s="68">
        <f t="shared" ref="FH19:FH27" si="94">FD19/FE19</f>
        <v>0.94318181818181823</v>
      </c>
      <c r="FI19" s="51">
        <v>84000</v>
      </c>
      <c r="FJ19" s="51">
        <v>339000</v>
      </c>
      <c r="FK19" s="52">
        <v>427000</v>
      </c>
      <c r="FL19" s="68">
        <f t="shared" si="88"/>
        <v>0.19672131147540983</v>
      </c>
      <c r="FM19" s="68">
        <f t="shared" si="64"/>
        <v>0.45953652634524489</v>
      </c>
      <c r="FN19" s="68">
        <f t="shared" si="65"/>
        <v>0.79391100702576112</v>
      </c>
      <c r="FO19" s="46">
        <f t="shared" ref="FO19:FQ22" si="95">EQ19+EW19+FC19+FI19</f>
        <v>332000</v>
      </c>
      <c r="FP19" s="46">
        <f t="shared" si="95"/>
        <v>1305000</v>
      </c>
      <c r="FQ19" s="48">
        <f t="shared" si="95"/>
        <v>1703000</v>
      </c>
      <c r="FR19" s="48"/>
      <c r="FS19" s="68">
        <f t="shared" si="66"/>
        <v>0.19495008807985909</v>
      </c>
      <c r="FT19" s="68">
        <f t="shared" si="67"/>
        <v>0.4573048767037205</v>
      </c>
      <c r="FU19" s="68">
        <f t="shared" ref="FU19:FU27" si="96">FP19/FQ19</f>
        <v>0.76629477392836176</v>
      </c>
      <c r="FV19" s="68">
        <f t="shared" si="68"/>
        <v>1.0662267686019127</v>
      </c>
      <c r="FW19" s="51">
        <v>0</v>
      </c>
      <c r="FX19" s="51">
        <v>92000</v>
      </c>
      <c r="FY19" s="52">
        <v>265000</v>
      </c>
      <c r="FZ19" s="48">
        <f t="shared" si="69"/>
        <v>0</v>
      </c>
      <c r="GA19" s="71">
        <f t="shared" si="70"/>
        <v>0.3471698113207547</v>
      </c>
      <c r="GB19" s="68">
        <f t="shared" si="71"/>
        <v>0.63008220169913687</v>
      </c>
      <c r="GC19" s="51">
        <v>0</v>
      </c>
      <c r="GD19" s="51">
        <v>65000</v>
      </c>
      <c r="GE19" s="52">
        <v>90000</v>
      </c>
      <c r="GF19" s="48">
        <f t="shared" si="72"/>
        <v>0</v>
      </c>
      <c r="GG19" s="68">
        <f t="shared" si="73"/>
        <v>0</v>
      </c>
      <c r="GH19" s="71">
        <f t="shared" si="74"/>
        <v>0.72222222222222221</v>
      </c>
      <c r="GI19" s="68">
        <f t="shared" si="75"/>
        <v>1.0156751592381097</v>
      </c>
      <c r="GJ19" s="51">
        <v>0</v>
      </c>
      <c r="GK19" s="51">
        <v>224000</v>
      </c>
      <c r="GL19" s="52">
        <v>234000</v>
      </c>
      <c r="GM19" s="71">
        <f t="shared" si="76"/>
        <v>0</v>
      </c>
      <c r="GN19" s="68">
        <f t="shared" si="77"/>
        <v>0</v>
      </c>
      <c r="GO19" s="71">
        <f t="shared" si="78"/>
        <v>0.95726495726495731</v>
      </c>
      <c r="GP19" s="68">
        <f t="shared" si="79"/>
        <v>1.3625703147806325</v>
      </c>
      <c r="GQ19" s="51">
        <v>38000</v>
      </c>
      <c r="GR19" s="51">
        <v>423000</v>
      </c>
      <c r="GS19" s="52">
        <v>462000</v>
      </c>
      <c r="GT19" s="71">
        <f t="shared" si="80"/>
        <v>8.2251082251082255E-2</v>
      </c>
      <c r="GU19" s="68">
        <f t="shared" si="81"/>
        <v>0.29087908759189496</v>
      </c>
      <c r="GV19" s="71">
        <f t="shared" si="82"/>
        <v>0.91558441558441561</v>
      </c>
      <c r="GW19" s="68">
        <f t="shared" si="83"/>
        <v>1.2760014292158393</v>
      </c>
      <c r="GX19" s="40">
        <v>38000</v>
      </c>
      <c r="GY19" s="40">
        <v>712000</v>
      </c>
      <c r="GZ19">
        <v>786000</v>
      </c>
      <c r="HA19" s="126">
        <f t="shared" si="84"/>
        <v>4.8346055979643768E-2</v>
      </c>
      <c r="HB19" s="126">
        <f t="shared" si="85"/>
        <v>0.90585241730279897</v>
      </c>
      <c r="HC19" s="68">
        <f t="shared" si="86"/>
        <v>1.2589307239231877</v>
      </c>
    </row>
    <row r="20" spans="1:211" x14ac:dyDescent="0.2">
      <c r="A20">
        <v>1979</v>
      </c>
      <c r="B20" s="25">
        <v>640</v>
      </c>
      <c r="C20" s="1">
        <v>729</v>
      </c>
      <c r="D20" s="1">
        <v>641</v>
      </c>
      <c r="E20" s="1">
        <v>1496</v>
      </c>
      <c r="F20" s="69">
        <f t="shared" si="87"/>
        <v>3506</v>
      </c>
      <c r="G20" s="23">
        <f t="shared" si="7"/>
        <v>3503.5</v>
      </c>
      <c r="H20" s="1">
        <v>372</v>
      </c>
      <c r="I20" s="1">
        <v>123</v>
      </c>
      <c r="J20" s="1">
        <v>88</v>
      </c>
      <c r="K20" s="1">
        <v>205</v>
      </c>
      <c r="L20" s="1">
        <v>61</v>
      </c>
      <c r="M20" s="1">
        <v>13</v>
      </c>
      <c r="N20" s="1">
        <v>38</v>
      </c>
      <c r="O20" s="1">
        <v>189</v>
      </c>
      <c r="P20" s="1">
        <v>310</v>
      </c>
      <c r="Q20" s="1">
        <v>231</v>
      </c>
      <c r="R20" s="1">
        <v>45</v>
      </c>
      <c r="S20" s="1">
        <v>205</v>
      </c>
      <c r="T20" s="69">
        <f t="shared" si="89"/>
        <v>791</v>
      </c>
      <c r="U20" s="1">
        <v>30</v>
      </c>
      <c r="V20" s="1">
        <v>31</v>
      </c>
      <c r="W20" s="1"/>
      <c r="X20" s="1">
        <v>35</v>
      </c>
      <c r="Y20" s="1"/>
      <c r="Z20" s="1">
        <v>16</v>
      </c>
      <c r="AA20" s="1">
        <v>57</v>
      </c>
      <c r="AB20" s="69"/>
      <c r="AC20" s="27">
        <v>4876</v>
      </c>
      <c r="AD20" s="13">
        <v>10684</v>
      </c>
      <c r="AE20" s="13">
        <v>12270</v>
      </c>
      <c r="AF20" s="13">
        <v>7675</v>
      </c>
      <c r="AG20" s="41">
        <f t="shared" si="91"/>
        <v>35505</v>
      </c>
      <c r="AH20" s="27">
        <v>8230.1</v>
      </c>
      <c r="AI20" s="13">
        <v>34786.400000000001</v>
      </c>
      <c r="AJ20" s="13">
        <v>23903.8</v>
      </c>
      <c r="AK20" s="13">
        <v>13386.1</v>
      </c>
      <c r="AL20" s="41">
        <f t="shared" si="92"/>
        <v>80306.400000000009</v>
      </c>
      <c r="AM20" s="32">
        <v>7167</v>
      </c>
      <c r="AN20" s="31">
        <v>119579</v>
      </c>
      <c r="AO20" s="35">
        <f>3264.2+170.5+28</f>
        <v>3462.7</v>
      </c>
      <c r="AP20" s="35">
        <f>11499+2375.2+55245+1388.7+34386.3+325.8</f>
        <v>105220</v>
      </c>
      <c r="AQ20" s="1">
        <v>271718</v>
      </c>
      <c r="AR20" s="30" t="e">
        <f>AZ20/#REF!</f>
        <v>#REF!</v>
      </c>
      <c r="AS20" s="74" t="e">
        <f>AY20/#REF!</f>
        <v>#REF!</v>
      </c>
      <c r="AY20">
        <v>35506</v>
      </c>
      <c r="AZ20">
        <v>80306.399999999994</v>
      </c>
      <c r="BA20" s="49">
        <v>259000</v>
      </c>
      <c r="BB20" s="51">
        <v>180000</v>
      </c>
      <c r="BC20" s="52">
        <v>501000</v>
      </c>
      <c r="BD20" s="72">
        <f t="shared" si="8"/>
        <v>0.51696606786427146</v>
      </c>
      <c r="BE20" s="72">
        <f t="shared" si="9"/>
        <v>0.80236748870944874</v>
      </c>
      <c r="BF20" s="72">
        <f t="shared" si="10"/>
        <v>0.3592814371257485</v>
      </c>
      <c r="BG20" s="72">
        <f t="shared" si="11"/>
        <v>0.64275244203982707</v>
      </c>
      <c r="BH20" s="49">
        <v>388000</v>
      </c>
      <c r="BI20" s="51">
        <v>66000</v>
      </c>
      <c r="BJ20" s="52">
        <v>477000</v>
      </c>
      <c r="BK20" s="71">
        <f t="shared" si="12"/>
        <v>0.81341719077568131</v>
      </c>
      <c r="BL20" s="72">
        <f t="shared" si="13"/>
        <v>1.124139982841357</v>
      </c>
      <c r="BM20" s="71">
        <f t="shared" si="14"/>
        <v>0.13836477987421383</v>
      </c>
      <c r="BN20" s="72">
        <f t="shared" si="15"/>
        <v>0.38113489331130956</v>
      </c>
      <c r="BO20" s="51">
        <v>0</v>
      </c>
      <c r="BP20" s="51">
        <v>85000</v>
      </c>
      <c r="BQ20" s="52">
        <v>138000</v>
      </c>
      <c r="BR20" s="48">
        <f t="shared" si="16"/>
        <v>0</v>
      </c>
      <c r="BS20" s="71">
        <f t="shared" si="17"/>
        <v>0.61594202898550721</v>
      </c>
      <c r="BT20" s="72">
        <f t="shared" si="18"/>
        <v>0.90240520689724257</v>
      </c>
      <c r="BU20" s="51">
        <v>0</v>
      </c>
      <c r="BV20" s="51">
        <v>17000</v>
      </c>
      <c r="BW20" s="52">
        <v>71000</v>
      </c>
      <c r="BX20" s="48">
        <f t="shared" si="19"/>
        <v>0</v>
      </c>
      <c r="BY20" s="71">
        <f t="shared" si="20"/>
        <v>0.23943661971830985</v>
      </c>
      <c r="BZ20" s="72">
        <f t="shared" si="21"/>
        <v>0.5113128553345565</v>
      </c>
      <c r="CA20" s="51">
        <v>0</v>
      </c>
      <c r="CB20" s="51">
        <v>10000</v>
      </c>
      <c r="CC20" s="52">
        <v>51000</v>
      </c>
      <c r="CD20" s="48">
        <f t="shared" si="22"/>
        <v>0</v>
      </c>
      <c r="CE20" s="71">
        <f t="shared" si="23"/>
        <v>0.19607843137254902</v>
      </c>
      <c r="CF20" s="72">
        <f t="shared" si="24"/>
        <v>0.45872741270822359</v>
      </c>
      <c r="CG20" s="51">
        <v>0</v>
      </c>
      <c r="CH20" s="51">
        <v>0</v>
      </c>
      <c r="CI20" s="52">
        <v>15000</v>
      </c>
      <c r="CJ20" s="48">
        <f t="shared" si="25"/>
        <v>0</v>
      </c>
      <c r="CK20" s="71">
        <f t="shared" si="26"/>
        <v>0</v>
      </c>
      <c r="CL20" s="72">
        <f t="shared" si="27"/>
        <v>0</v>
      </c>
      <c r="CM20" s="51">
        <v>0</v>
      </c>
      <c r="CN20" s="51">
        <v>187000</v>
      </c>
      <c r="CO20" s="52">
        <v>206000</v>
      </c>
      <c r="CP20" s="48">
        <f t="shared" si="28"/>
        <v>0</v>
      </c>
      <c r="CQ20" s="71">
        <f t="shared" si="29"/>
        <v>0.90776699029126218</v>
      </c>
      <c r="CR20" s="72">
        <f t="shared" si="30"/>
        <v>1.2622238162194537</v>
      </c>
      <c r="CS20" s="47">
        <v>0</v>
      </c>
      <c r="CT20" s="47">
        <v>66000</v>
      </c>
      <c r="CU20" s="48">
        <v>79000</v>
      </c>
      <c r="CV20" s="48">
        <f t="shared" si="31"/>
        <v>0</v>
      </c>
      <c r="CW20" s="72">
        <f t="shared" si="32"/>
        <v>0.83544303797468356</v>
      </c>
      <c r="CX20" s="72">
        <f t="shared" si="33"/>
        <v>1.1530996748467028</v>
      </c>
      <c r="CY20" s="51">
        <v>0</v>
      </c>
      <c r="CZ20" s="51">
        <v>16000</v>
      </c>
      <c r="DA20" s="52">
        <v>85000</v>
      </c>
      <c r="DB20" s="48">
        <f t="shared" si="34"/>
        <v>0</v>
      </c>
      <c r="DC20" s="71">
        <f t="shared" si="35"/>
        <v>0.18823529411764706</v>
      </c>
      <c r="DD20" s="72">
        <f t="shared" si="36"/>
        <v>0.4487736185154107</v>
      </c>
      <c r="DE20" s="47">
        <v>0</v>
      </c>
      <c r="DF20" s="47">
        <v>8000</v>
      </c>
      <c r="DG20" s="48">
        <v>24000</v>
      </c>
      <c r="DH20" s="48">
        <f t="shared" si="37"/>
        <v>0</v>
      </c>
      <c r="DI20" s="71">
        <f t="shared" si="38"/>
        <v>0.33333333333333331</v>
      </c>
      <c r="DJ20" s="72">
        <f t="shared" si="39"/>
        <v>0.61547970867038726</v>
      </c>
      <c r="DK20" s="47">
        <v>0</v>
      </c>
      <c r="DL20" s="47">
        <v>106000</v>
      </c>
      <c r="DM20" s="48">
        <v>118000</v>
      </c>
      <c r="DN20" s="48">
        <f t="shared" si="40"/>
        <v>0</v>
      </c>
      <c r="DO20" s="71">
        <f t="shared" si="41"/>
        <v>0.89830508474576276</v>
      </c>
      <c r="DP20" s="72">
        <f t="shared" si="42"/>
        <v>1.2462314592312249</v>
      </c>
      <c r="DQ20" s="51">
        <v>0</v>
      </c>
      <c r="DR20" s="51">
        <v>165000</v>
      </c>
      <c r="DS20" s="52">
        <v>196000</v>
      </c>
      <c r="DT20" s="71">
        <f t="shared" si="43"/>
        <v>0</v>
      </c>
      <c r="DU20" s="72">
        <f t="shared" si="44"/>
        <v>0</v>
      </c>
      <c r="DV20" s="71">
        <f t="shared" si="45"/>
        <v>0.84183673469387754</v>
      </c>
      <c r="DW20" s="72">
        <f t="shared" si="46"/>
        <v>1.1617903906941616</v>
      </c>
      <c r="DX20" s="51">
        <v>0</v>
      </c>
      <c r="DY20" s="51">
        <v>67000</v>
      </c>
      <c r="DZ20" s="52">
        <v>117000</v>
      </c>
      <c r="EA20" s="71">
        <f t="shared" si="47"/>
        <v>0</v>
      </c>
      <c r="EB20" s="72">
        <f t="shared" si="48"/>
        <v>0</v>
      </c>
      <c r="EC20" s="71">
        <f t="shared" si="49"/>
        <v>0.57264957264957261</v>
      </c>
      <c r="ED20" s="72">
        <f t="shared" si="50"/>
        <v>0.85830582327022586</v>
      </c>
      <c r="EE20" s="51">
        <v>0</v>
      </c>
      <c r="EF20" s="51">
        <v>96000</v>
      </c>
      <c r="EG20" s="52">
        <v>101000</v>
      </c>
      <c r="EH20" s="48">
        <f t="shared" si="51"/>
        <v>0</v>
      </c>
      <c r="EI20" s="71">
        <f t="shared" si="52"/>
        <v>0.95049504950495045</v>
      </c>
      <c r="EJ20" s="72">
        <f t="shared" si="53"/>
        <v>1.346421319136978</v>
      </c>
      <c r="EK20" s="51">
        <v>0</v>
      </c>
      <c r="EL20" s="51">
        <v>49000</v>
      </c>
      <c r="EM20" s="52">
        <v>51000</v>
      </c>
      <c r="EN20" s="48">
        <f t="shared" si="54"/>
        <v>0</v>
      </c>
      <c r="EO20" s="71">
        <f t="shared" si="55"/>
        <v>0.96078431372549022</v>
      </c>
      <c r="EP20" s="72">
        <f t="shared" si="56"/>
        <v>1.3714491190942952</v>
      </c>
      <c r="EQ20" s="49">
        <v>190000</v>
      </c>
      <c r="ER20" s="51">
        <v>511000</v>
      </c>
      <c r="ES20" s="52">
        <v>714000</v>
      </c>
      <c r="ET20" s="68">
        <f t="shared" si="57"/>
        <v>0.26610644257703081</v>
      </c>
      <c r="EU20" s="68">
        <f t="shared" si="93"/>
        <v>0</v>
      </c>
      <c r="EV20" s="68">
        <f t="shared" si="58"/>
        <v>0.71568627450980393</v>
      </c>
      <c r="EW20" s="51">
        <v>107000</v>
      </c>
      <c r="EX20" s="51">
        <v>373000</v>
      </c>
      <c r="EY20" s="52">
        <v>501000</v>
      </c>
      <c r="EZ20" s="68">
        <f t="shared" si="59"/>
        <v>0.21357285429141717</v>
      </c>
      <c r="FA20" s="68">
        <f t="shared" si="60"/>
        <v>0.48040619648549021</v>
      </c>
      <c r="FB20" s="68">
        <f t="shared" si="61"/>
        <v>0.7445109780439122</v>
      </c>
      <c r="FC20" s="51">
        <v>0</v>
      </c>
      <c r="FD20" s="51">
        <v>175000</v>
      </c>
      <c r="FE20" s="52">
        <v>180000</v>
      </c>
      <c r="FF20" s="68">
        <f t="shared" si="62"/>
        <v>0</v>
      </c>
      <c r="FG20" s="68">
        <f t="shared" si="63"/>
        <v>0</v>
      </c>
      <c r="FH20" s="68">
        <f t="shared" si="94"/>
        <v>0.97222222222222221</v>
      </c>
      <c r="FI20" s="51">
        <v>90000</v>
      </c>
      <c r="FJ20" s="51">
        <v>343000</v>
      </c>
      <c r="FK20" s="52">
        <v>436000</v>
      </c>
      <c r="FL20" s="68">
        <f t="shared" si="88"/>
        <v>0.20642201834862386</v>
      </c>
      <c r="FM20" s="68">
        <f t="shared" si="64"/>
        <v>0.4716277102270468</v>
      </c>
      <c r="FN20" s="68">
        <f t="shared" si="65"/>
        <v>0.78669724770642202</v>
      </c>
      <c r="FO20" s="46">
        <f t="shared" si="95"/>
        <v>387000</v>
      </c>
      <c r="FP20" s="46">
        <f t="shared" si="95"/>
        <v>1402000</v>
      </c>
      <c r="FQ20" s="48">
        <f t="shared" si="95"/>
        <v>1831000</v>
      </c>
      <c r="FR20" s="48">
        <v>1703000</v>
      </c>
      <c r="FS20" s="68">
        <f t="shared" si="66"/>
        <v>0.2113599126160568</v>
      </c>
      <c r="FT20" s="68">
        <f t="shared" si="67"/>
        <v>0.47770123165133938</v>
      </c>
      <c r="FU20" s="68">
        <f t="shared" si="96"/>
        <v>0.76570180229382856</v>
      </c>
      <c r="FV20" s="68">
        <f t="shared" si="68"/>
        <v>1.0655264743140218</v>
      </c>
      <c r="FW20" s="51">
        <v>0</v>
      </c>
      <c r="FX20" s="51">
        <v>105000</v>
      </c>
      <c r="FY20" s="52">
        <v>285000</v>
      </c>
      <c r="FZ20" s="48">
        <f t="shared" si="69"/>
        <v>0</v>
      </c>
      <c r="GA20" s="71">
        <f t="shared" si="70"/>
        <v>0.36842105263157893</v>
      </c>
      <c r="GB20" s="68">
        <f t="shared" si="71"/>
        <v>0.65225115483835672</v>
      </c>
      <c r="GC20" s="51">
        <v>0</v>
      </c>
      <c r="GD20" s="51">
        <v>72000</v>
      </c>
      <c r="GE20" s="52">
        <v>89000</v>
      </c>
      <c r="GF20" s="48">
        <f t="shared" si="72"/>
        <v>0</v>
      </c>
      <c r="GG20" s="68">
        <f t="shared" si="73"/>
        <v>0</v>
      </c>
      <c r="GH20" s="71">
        <f t="shared" si="74"/>
        <v>0.8089887640449438</v>
      </c>
      <c r="GI20" s="68">
        <f t="shared" si="75"/>
        <v>1.1184819711228791</v>
      </c>
      <c r="GJ20" s="51">
        <v>0</v>
      </c>
      <c r="GK20" s="51">
        <v>235000</v>
      </c>
      <c r="GL20" s="52">
        <v>245000</v>
      </c>
      <c r="GM20" s="71">
        <f t="shared" si="76"/>
        <v>0</v>
      </c>
      <c r="GN20" s="68">
        <f t="shared" si="77"/>
        <v>0</v>
      </c>
      <c r="GO20" s="71">
        <f t="shared" si="78"/>
        <v>0.95918367346938771</v>
      </c>
      <c r="GP20" s="68">
        <f t="shared" si="79"/>
        <v>1.3673655865238132</v>
      </c>
      <c r="GQ20" s="51">
        <v>21000</v>
      </c>
      <c r="GR20" s="51">
        <v>345000</v>
      </c>
      <c r="GS20" s="52">
        <v>369000</v>
      </c>
      <c r="GT20" s="71">
        <f t="shared" si="80"/>
        <v>5.6910569105691054E-2</v>
      </c>
      <c r="GU20" s="68">
        <f t="shared" si="81"/>
        <v>0.24088211106081053</v>
      </c>
      <c r="GV20" s="71">
        <f t="shared" si="82"/>
        <v>0.93495934959349591</v>
      </c>
      <c r="GW20" s="68">
        <f t="shared" si="83"/>
        <v>1.3129168891261902</v>
      </c>
      <c r="GX20" s="40">
        <v>21000</v>
      </c>
      <c r="GY20" s="40">
        <v>652000</v>
      </c>
      <c r="GZ20">
        <v>703000</v>
      </c>
      <c r="HA20" s="126">
        <f t="shared" si="84"/>
        <v>2.9871977240398292E-2</v>
      </c>
      <c r="HB20" s="126">
        <f t="shared" si="85"/>
        <v>0.92745376955903269</v>
      </c>
      <c r="HC20" s="68">
        <f t="shared" si="86"/>
        <v>1.298084456394025</v>
      </c>
    </row>
    <row r="21" spans="1:211" x14ac:dyDescent="0.2">
      <c r="A21">
        <v>1980</v>
      </c>
      <c r="B21" s="25">
        <v>251</v>
      </c>
      <c r="C21" s="1">
        <v>527</v>
      </c>
      <c r="D21" s="1">
        <v>437</v>
      </c>
      <c r="E21" s="1">
        <v>759</v>
      </c>
      <c r="F21" s="69">
        <f t="shared" si="87"/>
        <v>1974</v>
      </c>
      <c r="G21" s="23">
        <f t="shared" si="7"/>
        <v>1971.5</v>
      </c>
      <c r="H21" s="1">
        <v>558</v>
      </c>
      <c r="I21" s="1">
        <v>233</v>
      </c>
      <c r="J21" s="1">
        <v>173</v>
      </c>
      <c r="K21" s="1">
        <v>277</v>
      </c>
      <c r="L21" s="1">
        <v>112</v>
      </c>
      <c r="M21" s="1">
        <v>23</v>
      </c>
      <c r="N21" s="1">
        <v>80</v>
      </c>
      <c r="O21" s="1">
        <v>252</v>
      </c>
      <c r="P21" s="1">
        <v>273</v>
      </c>
      <c r="Q21" s="1">
        <v>151</v>
      </c>
      <c r="R21" s="1">
        <v>48</v>
      </c>
      <c r="S21" s="1">
        <v>221</v>
      </c>
      <c r="T21" s="69">
        <f t="shared" si="89"/>
        <v>693</v>
      </c>
      <c r="U21" s="1">
        <v>51</v>
      </c>
      <c r="V21" s="1">
        <v>67</v>
      </c>
      <c r="W21" s="1"/>
      <c r="X21" s="1">
        <v>73</v>
      </c>
      <c r="Y21" s="1"/>
      <c r="Z21" s="1">
        <v>60</v>
      </c>
      <c r="AA21" s="1">
        <v>114</v>
      </c>
      <c r="AB21" s="69"/>
      <c r="AC21" s="27">
        <v>1284.7</v>
      </c>
      <c r="AD21" s="13">
        <v>2769.7</v>
      </c>
      <c r="AE21" s="13">
        <v>4121.5</v>
      </c>
      <c r="AF21" s="13">
        <v>2179.9</v>
      </c>
      <c r="AG21" s="41">
        <f t="shared" si="91"/>
        <v>10355.799999999999</v>
      </c>
      <c r="AH21" s="27">
        <v>1918.4</v>
      </c>
      <c r="AI21" s="13">
        <v>9810.4</v>
      </c>
      <c r="AJ21" s="13">
        <v>9201</v>
      </c>
      <c r="AK21" s="13">
        <v>3683.5</v>
      </c>
      <c r="AL21" s="41">
        <f t="shared" si="92"/>
        <v>24613.3</v>
      </c>
      <c r="AM21" s="32">
        <v>7193</v>
      </c>
      <c r="AN21" s="31">
        <v>92503</v>
      </c>
      <c r="AO21" s="35">
        <f>2381.4+118.9+2.5</f>
        <v>2502.8000000000002</v>
      </c>
      <c r="AP21" s="35">
        <f>10378.5+2.5+6926.2+29364.2+4457+26923.9+1104.5+5886.7</f>
        <v>85043.5</v>
      </c>
      <c r="AQ21" s="85">
        <v>265954</v>
      </c>
      <c r="AR21" s="30" t="e">
        <f>AZ21/#REF!</f>
        <v>#REF!</v>
      </c>
      <c r="AS21" s="74" t="e">
        <f>AY21/#REF!</f>
        <v>#REF!</v>
      </c>
      <c r="AY21">
        <v>10355.799999999999</v>
      </c>
      <c r="AZ21">
        <v>24613.3</v>
      </c>
      <c r="BA21" s="49">
        <v>254000</v>
      </c>
      <c r="BB21" s="51">
        <v>195000</v>
      </c>
      <c r="BC21" s="52">
        <v>510000</v>
      </c>
      <c r="BD21" s="72">
        <f t="shared" si="8"/>
        <v>0.49803921568627452</v>
      </c>
      <c r="BE21" s="72">
        <f t="shared" si="9"/>
        <v>0.78343737405796909</v>
      </c>
      <c r="BF21" s="72">
        <f t="shared" si="10"/>
        <v>0.38235294117647056</v>
      </c>
      <c r="BG21" s="72">
        <f t="shared" si="11"/>
        <v>0.66663757800672518</v>
      </c>
      <c r="BH21" s="49">
        <v>345000</v>
      </c>
      <c r="BI21" s="51">
        <v>44000</v>
      </c>
      <c r="BJ21" s="52">
        <v>413000</v>
      </c>
      <c r="BK21" s="71">
        <f t="shared" si="12"/>
        <v>0.83535108958837767</v>
      </c>
      <c r="BL21" s="72">
        <f t="shared" si="13"/>
        <v>1.1529756956384054</v>
      </c>
      <c r="BM21" s="71">
        <f t="shared" si="14"/>
        <v>0.10653753026634383</v>
      </c>
      <c r="BN21" s="72">
        <f t="shared" si="15"/>
        <v>0.33249339252337173</v>
      </c>
      <c r="BO21" s="51">
        <v>0</v>
      </c>
      <c r="BP21" s="51">
        <v>107000</v>
      </c>
      <c r="BQ21" s="52">
        <v>147000</v>
      </c>
      <c r="BR21" s="48">
        <f t="shared" si="16"/>
        <v>0</v>
      </c>
      <c r="BS21" s="71">
        <f t="shared" si="17"/>
        <v>0.72789115646258506</v>
      </c>
      <c r="BT21" s="72">
        <f t="shared" si="18"/>
        <v>1.0220236282451864</v>
      </c>
      <c r="BU21" s="51">
        <v>0</v>
      </c>
      <c r="BV21" s="51">
        <v>26000</v>
      </c>
      <c r="BW21" s="52">
        <v>85000</v>
      </c>
      <c r="BX21" s="48">
        <f t="shared" si="19"/>
        <v>0</v>
      </c>
      <c r="BY21" s="71">
        <f t="shared" si="20"/>
        <v>0.30588235294117649</v>
      </c>
      <c r="BZ21" s="72">
        <f t="shared" si="21"/>
        <v>0.5860402096186611</v>
      </c>
      <c r="CA21" s="51">
        <v>0</v>
      </c>
      <c r="CB21" s="51">
        <v>18000</v>
      </c>
      <c r="CC21" s="52">
        <v>37000</v>
      </c>
      <c r="CD21" s="48">
        <f t="shared" si="22"/>
        <v>0</v>
      </c>
      <c r="CE21" s="71">
        <f t="shared" si="23"/>
        <v>0.48648648648648651</v>
      </c>
      <c r="CF21" s="72">
        <f t="shared" si="24"/>
        <v>0.77188300416230915</v>
      </c>
      <c r="CG21" s="51">
        <v>0</v>
      </c>
      <c r="CH21" s="51">
        <v>1000</v>
      </c>
      <c r="CI21" s="52">
        <v>19000</v>
      </c>
      <c r="CJ21" s="48">
        <f t="shared" si="25"/>
        <v>0</v>
      </c>
      <c r="CK21" s="71">
        <f t="shared" si="26"/>
        <v>5.2631578947368418E-2</v>
      </c>
      <c r="CL21" s="72">
        <f t="shared" si="27"/>
        <v>0.23147736397017837</v>
      </c>
      <c r="CM21" s="51">
        <v>0</v>
      </c>
      <c r="CN21" s="51">
        <v>218000</v>
      </c>
      <c r="CO21" s="52">
        <v>229000</v>
      </c>
      <c r="CP21" s="48">
        <f t="shared" si="28"/>
        <v>0</v>
      </c>
      <c r="CQ21" s="71">
        <f t="shared" si="29"/>
        <v>0.95196506550218341</v>
      </c>
      <c r="CR21" s="72">
        <f t="shared" si="30"/>
        <v>1.3498339169123807</v>
      </c>
      <c r="CS21" s="47">
        <v>0</v>
      </c>
      <c r="CT21" s="47">
        <v>52000</v>
      </c>
      <c r="CU21" s="48">
        <v>59000</v>
      </c>
      <c r="CV21" s="48">
        <f t="shared" si="31"/>
        <v>0</v>
      </c>
      <c r="CW21" s="72">
        <f t="shared" si="32"/>
        <v>0.88135593220338981</v>
      </c>
      <c r="CX21" s="72">
        <f t="shared" si="33"/>
        <v>1.2191461383056463</v>
      </c>
      <c r="CY21" s="51">
        <v>0</v>
      </c>
      <c r="CZ21" s="51">
        <v>17000</v>
      </c>
      <c r="DA21" s="52">
        <v>77000</v>
      </c>
      <c r="DB21" s="48">
        <f t="shared" si="34"/>
        <v>0</v>
      </c>
      <c r="DC21" s="71">
        <f t="shared" si="35"/>
        <v>0.22077922077922077</v>
      </c>
      <c r="DD21" s="72">
        <f t="shared" si="36"/>
        <v>0.48914519513224652</v>
      </c>
      <c r="DE21" s="47">
        <v>0</v>
      </c>
      <c r="DF21" s="47">
        <v>18000</v>
      </c>
      <c r="DG21" s="48">
        <v>29000</v>
      </c>
      <c r="DH21" s="48">
        <f t="shared" si="37"/>
        <v>0</v>
      </c>
      <c r="DI21" s="71">
        <f t="shared" si="38"/>
        <v>0.62068965517241381</v>
      </c>
      <c r="DJ21" s="72">
        <f t="shared" si="39"/>
        <v>0.90729163263161616</v>
      </c>
      <c r="DK21" s="47">
        <v>0</v>
      </c>
      <c r="DL21" s="47">
        <v>88000</v>
      </c>
      <c r="DM21" s="48">
        <v>97000</v>
      </c>
      <c r="DN21" s="48">
        <f t="shared" si="40"/>
        <v>0</v>
      </c>
      <c r="DO21" s="71">
        <f t="shared" si="41"/>
        <v>0.90721649484536082</v>
      </c>
      <c r="DP21" s="72">
        <f t="shared" si="42"/>
        <v>1.2612738403000543</v>
      </c>
      <c r="DQ21" s="51">
        <v>0</v>
      </c>
      <c r="DR21" s="51">
        <v>146000</v>
      </c>
      <c r="DS21" s="52">
        <v>171000</v>
      </c>
      <c r="DT21" s="71">
        <f t="shared" si="43"/>
        <v>0</v>
      </c>
      <c r="DU21" s="72">
        <f t="shared" si="44"/>
        <v>0</v>
      </c>
      <c r="DV21" s="71">
        <f t="shared" si="45"/>
        <v>0.85380116959064323</v>
      </c>
      <c r="DW21" s="72">
        <f t="shared" si="46"/>
        <v>1.1784477804184454</v>
      </c>
      <c r="DX21" s="51">
        <v>0</v>
      </c>
      <c r="DY21" s="51">
        <v>71000</v>
      </c>
      <c r="DZ21" s="52">
        <v>120000</v>
      </c>
      <c r="EA21" s="71">
        <f t="shared" si="47"/>
        <v>0</v>
      </c>
      <c r="EB21" s="72">
        <f t="shared" si="48"/>
        <v>0</v>
      </c>
      <c r="EC21" s="71">
        <f t="shared" si="49"/>
        <v>0.59166666666666667</v>
      </c>
      <c r="ED21" s="72">
        <f t="shared" si="50"/>
        <v>0.87758625891543085</v>
      </c>
      <c r="EE21" s="51">
        <v>0</v>
      </c>
      <c r="EF21" s="51">
        <v>101000</v>
      </c>
      <c r="EG21" s="52">
        <v>107000</v>
      </c>
      <c r="EH21" s="48">
        <f t="shared" si="51"/>
        <v>0</v>
      </c>
      <c r="EI21" s="71">
        <f t="shared" si="52"/>
        <v>0.94392523364485981</v>
      </c>
      <c r="EJ21" s="72">
        <f t="shared" si="53"/>
        <v>1.3317243382958563</v>
      </c>
      <c r="EK21" s="51">
        <v>0</v>
      </c>
      <c r="EL21" s="51">
        <v>46000</v>
      </c>
      <c r="EM21" s="52">
        <v>48000</v>
      </c>
      <c r="EN21" s="48">
        <f t="shared" si="54"/>
        <v>0</v>
      </c>
      <c r="EO21" s="71">
        <f t="shared" si="55"/>
        <v>0.95833333333333337</v>
      </c>
      <c r="EP21" s="72">
        <f t="shared" si="56"/>
        <v>1.3652273956337226</v>
      </c>
      <c r="EQ21" s="49">
        <v>237000</v>
      </c>
      <c r="ER21" s="51">
        <v>486000</v>
      </c>
      <c r="ES21" s="52">
        <v>735000</v>
      </c>
      <c r="ET21" s="68">
        <f t="shared" si="57"/>
        <v>0.32244897959183672</v>
      </c>
      <c r="EU21" s="68">
        <f t="shared" si="93"/>
        <v>0</v>
      </c>
      <c r="EV21" s="68">
        <f t="shared" si="58"/>
        <v>0.66122448979591841</v>
      </c>
      <c r="EW21" s="51">
        <v>120000</v>
      </c>
      <c r="EX21" s="51">
        <v>333000</v>
      </c>
      <c r="EY21" s="52">
        <v>479000</v>
      </c>
      <c r="EZ21" s="68">
        <f t="shared" si="59"/>
        <v>0.25052192066805845</v>
      </c>
      <c r="FA21" s="68">
        <f t="shared" si="60"/>
        <v>0.52420122827166371</v>
      </c>
      <c r="FB21" s="68">
        <f t="shared" si="61"/>
        <v>0.69519832985386221</v>
      </c>
      <c r="FC21" s="51">
        <v>1000</v>
      </c>
      <c r="FD21" s="51">
        <v>153000</v>
      </c>
      <c r="FE21" s="52">
        <v>163000</v>
      </c>
      <c r="FF21" s="68">
        <f t="shared" si="62"/>
        <v>6.5359477124183009E-3</v>
      </c>
      <c r="FG21" s="68">
        <f t="shared" si="63"/>
        <v>8.0933535053042155E-2</v>
      </c>
      <c r="FH21" s="68">
        <f t="shared" si="94"/>
        <v>0.93865030674846628</v>
      </c>
      <c r="FI21" s="51">
        <v>80000</v>
      </c>
      <c r="FJ21" s="51">
        <v>267000</v>
      </c>
      <c r="FK21" s="52">
        <v>349000</v>
      </c>
      <c r="FL21" s="68">
        <f t="shared" si="88"/>
        <v>0.22922636103151864</v>
      </c>
      <c r="FM21" s="68">
        <f t="shared" si="64"/>
        <v>0.49925988865735005</v>
      </c>
      <c r="FN21" s="68">
        <f t="shared" si="65"/>
        <v>0.76504297994269344</v>
      </c>
      <c r="FO21" s="46">
        <f t="shared" si="95"/>
        <v>438000</v>
      </c>
      <c r="FP21" s="46">
        <f t="shared" si="95"/>
        <v>1239000</v>
      </c>
      <c r="FQ21" s="48">
        <f t="shared" si="95"/>
        <v>1726000</v>
      </c>
      <c r="FR21" s="48">
        <v>1831000</v>
      </c>
      <c r="FS21" s="68">
        <f t="shared" si="66"/>
        <v>0.25376593279258403</v>
      </c>
      <c r="FT21" s="68">
        <f t="shared" si="67"/>
        <v>0.52793649140624899</v>
      </c>
      <c r="FU21" s="68">
        <f t="shared" si="96"/>
        <v>0.71784472769409036</v>
      </c>
      <c r="FV21" s="68">
        <f t="shared" si="68"/>
        <v>1.0108002203185242</v>
      </c>
      <c r="FW21" s="51">
        <v>0</v>
      </c>
      <c r="FX21" s="51">
        <v>94000</v>
      </c>
      <c r="FY21" s="52">
        <v>246000</v>
      </c>
      <c r="FZ21" s="48">
        <f t="shared" si="69"/>
        <v>0</v>
      </c>
      <c r="GA21" s="71">
        <f t="shared" si="70"/>
        <v>0.38211382113821141</v>
      </c>
      <c r="GB21" s="68">
        <f t="shared" si="71"/>
        <v>0.6663915358890945</v>
      </c>
      <c r="GC21" s="51">
        <v>0</v>
      </c>
      <c r="GD21" s="51">
        <v>76000</v>
      </c>
      <c r="GE21" s="52">
        <v>92000</v>
      </c>
      <c r="GF21" s="48">
        <f t="shared" si="72"/>
        <v>0</v>
      </c>
      <c r="GG21" s="68">
        <f t="shared" si="73"/>
        <v>0</v>
      </c>
      <c r="GH21" s="71">
        <f t="shared" si="74"/>
        <v>0.82608695652173914</v>
      </c>
      <c r="GI21" s="68">
        <f t="shared" si="75"/>
        <v>1.1406224676740584</v>
      </c>
      <c r="GJ21" s="51">
        <v>0</v>
      </c>
      <c r="GK21" s="51">
        <v>349000</v>
      </c>
      <c r="GL21" s="52">
        <v>361000</v>
      </c>
      <c r="GM21" s="71">
        <f t="shared" si="76"/>
        <v>0</v>
      </c>
      <c r="GN21" s="68">
        <f t="shared" si="77"/>
        <v>0</v>
      </c>
      <c r="GO21" s="71">
        <f t="shared" si="78"/>
        <v>0.96675900277008309</v>
      </c>
      <c r="GP21" s="68">
        <f t="shared" si="79"/>
        <v>1.3874496844885271</v>
      </c>
      <c r="GQ21" s="51">
        <v>4000</v>
      </c>
      <c r="GR21" s="51">
        <v>433000</v>
      </c>
      <c r="GS21" s="52">
        <v>439000</v>
      </c>
      <c r="GT21" s="71">
        <f t="shared" si="80"/>
        <v>9.1116173120728925E-3</v>
      </c>
      <c r="GU21" s="68">
        <f t="shared" si="81"/>
        <v>9.5600347507380806E-2</v>
      </c>
      <c r="GV21" s="71">
        <f t="shared" si="82"/>
        <v>0.98633257403189067</v>
      </c>
      <c r="GW21" s="68">
        <f t="shared" si="83"/>
        <v>1.4536206038437671</v>
      </c>
      <c r="GX21" s="40">
        <v>4000</v>
      </c>
      <c r="GY21" s="40">
        <v>858000</v>
      </c>
      <c r="GZ21">
        <v>892000</v>
      </c>
      <c r="HA21" s="126">
        <f t="shared" si="84"/>
        <v>4.4843049327354259E-3</v>
      </c>
      <c r="HB21" s="126">
        <f t="shared" si="85"/>
        <v>0.96188340807174888</v>
      </c>
      <c r="HC21" s="68">
        <f t="shared" si="86"/>
        <v>1.3742995672358107</v>
      </c>
    </row>
    <row r="22" spans="1:211" x14ac:dyDescent="0.2">
      <c r="A22">
        <v>1981</v>
      </c>
      <c r="B22" s="25">
        <v>1578</v>
      </c>
      <c r="C22" s="1">
        <v>776</v>
      </c>
      <c r="D22" s="1">
        <v>675</v>
      </c>
      <c r="E22" s="1">
        <v>2057</v>
      </c>
      <c r="F22" s="69">
        <f t="shared" si="87"/>
        <v>5086</v>
      </c>
      <c r="G22" s="23">
        <f t="shared" si="7"/>
        <v>5083.5</v>
      </c>
      <c r="H22" s="1">
        <v>541</v>
      </c>
      <c r="I22" s="1">
        <v>290</v>
      </c>
      <c r="J22" s="1">
        <v>201</v>
      </c>
      <c r="K22" s="1">
        <v>248</v>
      </c>
      <c r="L22" s="1">
        <v>76</v>
      </c>
      <c r="M22" s="1">
        <v>12</v>
      </c>
      <c r="N22" s="1">
        <v>64</v>
      </c>
      <c r="O22" s="1">
        <v>172</v>
      </c>
      <c r="P22" s="1">
        <v>263</v>
      </c>
      <c r="Q22" s="1">
        <v>140</v>
      </c>
      <c r="R22" s="1">
        <v>74</v>
      </c>
      <c r="S22" s="1">
        <v>147</v>
      </c>
      <c r="T22" s="69">
        <f t="shared" si="89"/>
        <v>624</v>
      </c>
      <c r="U22" s="1">
        <v>63</v>
      </c>
      <c r="V22" s="1">
        <v>98</v>
      </c>
      <c r="W22" s="1"/>
      <c r="X22" s="1">
        <v>111</v>
      </c>
      <c r="Y22" s="1"/>
      <c r="Z22" s="1">
        <v>50</v>
      </c>
      <c r="AA22" s="1">
        <v>171</v>
      </c>
      <c r="AB22" s="69"/>
      <c r="AC22" s="27">
        <v>19382.8</v>
      </c>
      <c r="AD22" s="13">
        <v>5178.7</v>
      </c>
      <c r="AE22" s="13">
        <v>12777.6</v>
      </c>
      <c r="AF22" s="13">
        <v>17280.8</v>
      </c>
      <c r="AG22" s="41">
        <f t="shared" si="91"/>
        <v>54619.899999999994</v>
      </c>
      <c r="AH22" s="27">
        <v>34707.4</v>
      </c>
      <c r="AI22" s="13">
        <v>25377.5</v>
      </c>
      <c r="AJ22" s="13">
        <v>25513.7</v>
      </c>
      <c r="AK22" s="13">
        <v>31839.5</v>
      </c>
      <c r="AL22" s="41">
        <f t="shared" si="92"/>
        <v>117438.1</v>
      </c>
      <c r="AM22" s="32">
        <v>10882</v>
      </c>
      <c r="AN22" s="31">
        <v>141667</v>
      </c>
      <c r="AO22" s="35">
        <f>23364.2+464.5+61</f>
        <v>23889.7</v>
      </c>
      <c r="AP22" s="35">
        <f>16917.8+52+2496.2+28591.5+4277.5+47836.6+3225.2</f>
        <v>103396.8</v>
      </c>
      <c r="AQ22" s="1">
        <v>298436</v>
      </c>
      <c r="AR22" s="30" t="e">
        <f>AZ22/#REF!</f>
        <v>#REF!</v>
      </c>
      <c r="AS22" s="74" t="e">
        <f>AY22/#REF!</f>
        <v>#REF!</v>
      </c>
      <c r="AY22">
        <v>54619.9</v>
      </c>
      <c r="AZ22">
        <v>117438.1</v>
      </c>
      <c r="BA22" s="49">
        <v>292000</v>
      </c>
      <c r="BB22" s="51">
        <v>405000</v>
      </c>
      <c r="BC22" s="52">
        <v>753000</v>
      </c>
      <c r="BD22" s="72">
        <f t="shared" si="8"/>
        <v>0.38778220451527223</v>
      </c>
      <c r="BE22" s="72">
        <f t="shared" si="9"/>
        <v>0.67221625696845999</v>
      </c>
      <c r="BF22" s="72">
        <f t="shared" si="10"/>
        <v>0.53784860557768921</v>
      </c>
      <c r="BG22" s="72">
        <f t="shared" si="11"/>
        <v>0.82328300834331047</v>
      </c>
      <c r="BH22" s="49">
        <v>462000</v>
      </c>
      <c r="BI22" s="51">
        <v>51000</v>
      </c>
      <c r="BJ22" s="52">
        <v>539000</v>
      </c>
      <c r="BK22" s="71">
        <f t="shared" si="12"/>
        <v>0.8571428571428571</v>
      </c>
      <c r="BL22" s="72">
        <f t="shared" si="13"/>
        <v>1.1831996401397158</v>
      </c>
      <c r="BM22" s="71">
        <f t="shared" si="14"/>
        <v>9.4619666048237475E-2</v>
      </c>
      <c r="BN22" s="72">
        <f t="shared" si="15"/>
        <v>0.31267296532723399</v>
      </c>
      <c r="BO22" s="51">
        <v>0</v>
      </c>
      <c r="BP22" s="51">
        <v>112000</v>
      </c>
      <c r="BQ22" s="52">
        <v>159000</v>
      </c>
      <c r="BR22" s="48">
        <f t="shared" si="16"/>
        <v>0</v>
      </c>
      <c r="BS22" s="71">
        <f t="shared" si="17"/>
        <v>0.70440251572327039</v>
      </c>
      <c r="BT22" s="72">
        <f t="shared" si="18"/>
        <v>0.99597031225016053</v>
      </c>
      <c r="BU22" s="51">
        <v>0</v>
      </c>
      <c r="BV22" s="51">
        <v>34000</v>
      </c>
      <c r="BW22" s="52">
        <v>88000</v>
      </c>
      <c r="BX22" s="48">
        <f t="shared" si="19"/>
        <v>0</v>
      </c>
      <c r="BY22" s="71">
        <f t="shared" si="20"/>
        <v>0.38636363636363635</v>
      </c>
      <c r="BZ22" s="72">
        <f t="shared" si="21"/>
        <v>0.67076006179045822</v>
      </c>
      <c r="CA22" s="51">
        <v>0</v>
      </c>
      <c r="CB22" s="51">
        <v>18000</v>
      </c>
      <c r="CC22" s="52">
        <v>39000</v>
      </c>
      <c r="CD22" s="48">
        <f t="shared" si="22"/>
        <v>0</v>
      </c>
      <c r="CE22" s="71">
        <f t="shared" si="23"/>
        <v>0.46153846153846156</v>
      </c>
      <c r="CF22" s="72">
        <f t="shared" si="24"/>
        <v>0.74689859306903661</v>
      </c>
      <c r="CG22" s="51">
        <v>0</v>
      </c>
      <c r="CH22" s="51">
        <v>13000</v>
      </c>
      <c r="CI22" s="52">
        <v>37000</v>
      </c>
      <c r="CJ22" s="48">
        <f t="shared" si="25"/>
        <v>0</v>
      </c>
      <c r="CK22" s="71">
        <f t="shared" si="26"/>
        <v>0.35135135135135137</v>
      </c>
      <c r="CL22" s="72">
        <f t="shared" si="27"/>
        <v>0.63446780887710064</v>
      </c>
      <c r="CM22" s="51">
        <v>0</v>
      </c>
      <c r="CN22" s="51">
        <v>239000</v>
      </c>
      <c r="CO22" s="52">
        <v>253000</v>
      </c>
      <c r="CP22" s="48">
        <f t="shared" si="28"/>
        <v>0</v>
      </c>
      <c r="CQ22" s="71">
        <f t="shared" si="29"/>
        <v>0.94466403162055335</v>
      </c>
      <c r="CR22" s="72">
        <f t="shared" si="30"/>
        <v>1.333334968061427</v>
      </c>
      <c r="CS22" s="47">
        <v>0</v>
      </c>
      <c r="CT22" s="47">
        <v>55000</v>
      </c>
      <c r="CU22" s="48">
        <v>66000</v>
      </c>
      <c r="CV22" s="48">
        <f t="shared" si="31"/>
        <v>0</v>
      </c>
      <c r="CW22" s="72">
        <f t="shared" si="32"/>
        <v>0.83333333333333337</v>
      </c>
      <c r="CX22" s="72">
        <f t="shared" si="33"/>
        <v>1.1502619915109316</v>
      </c>
      <c r="CY22" s="51">
        <v>0</v>
      </c>
      <c r="CZ22" s="51">
        <v>11000</v>
      </c>
      <c r="DA22" s="52">
        <v>69000</v>
      </c>
      <c r="DB22" s="48">
        <f t="shared" si="34"/>
        <v>0</v>
      </c>
      <c r="DC22" s="71">
        <f t="shared" si="35"/>
        <v>0.15942028985507245</v>
      </c>
      <c r="DD22" s="72">
        <f t="shared" si="36"/>
        <v>0.41072562060385126</v>
      </c>
      <c r="DE22" s="47">
        <v>0</v>
      </c>
      <c r="DF22" s="47">
        <v>18000</v>
      </c>
      <c r="DG22" s="48">
        <v>33000</v>
      </c>
      <c r="DH22" s="48">
        <f t="shared" si="37"/>
        <v>0</v>
      </c>
      <c r="DI22" s="71">
        <f t="shared" si="38"/>
        <v>0.54545454545454541</v>
      </c>
      <c r="DJ22" s="72">
        <f t="shared" si="39"/>
        <v>0.83091555241615589</v>
      </c>
      <c r="DK22" s="47">
        <v>0</v>
      </c>
      <c r="DL22" s="47">
        <v>100000</v>
      </c>
      <c r="DM22" s="48">
        <v>111000</v>
      </c>
      <c r="DN22" s="48">
        <f t="shared" si="40"/>
        <v>0</v>
      </c>
      <c r="DO22" s="71">
        <f t="shared" si="41"/>
        <v>0.90090090090090091</v>
      </c>
      <c r="DP22" s="72">
        <f t="shared" si="42"/>
        <v>1.2505502942826887</v>
      </c>
      <c r="DQ22" s="51">
        <v>0</v>
      </c>
      <c r="DR22" s="51">
        <v>135000</v>
      </c>
      <c r="DS22" s="52">
        <v>148000</v>
      </c>
      <c r="DT22" s="71">
        <f t="shared" si="43"/>
        <v>0</v>
      </c>
      <c r="DU22" s="72">
        <f t="shared" si="44"/>
        <v>0</v>
      </c>
      <c r="DV22" s="71">
        <f t="shared" si="45"/>
        <v>0.91216216216216217</v>
      </c>
      <c r="DW22" s="72">
        <f t="shared" si="46"/>
        <v>1.2699019813672292</v>
      </c>
      <c r="DX22" s="51">
        <v>0</v>
      </c>
      <c r="DY22" s="51">
        <v>74000</v>
      </c>
      <c r="DZ22" s="52">
        <v>126000</v>
      </c>
      <c r="EA22" s="71">
        <f t="shared" si="47"/>
        <v>0</v>
      </c>
      <c r="EB22" s="72">
        <f t="shared" si="48"/>
        <v>0</v>
      </c>
      <c r="EC22" s="71">
        <f t="shared" si="49"/>
        <v>0.58730158730158732</v>
      </c>
      <c r="ED22" s="72">
        <f t="shared" si="50"/>
        <v>0.87314953218530966</v>
      </c>
      <c r="EE22" s="51">
        <v>0</v>
      </c>
      <c r="EF22" s="51">
        <v>172000</v>
      </c>
      <c r="EG22" s="52">
        <v>176000</v>
      </c>
      <c r="EH22" s="48">
        <f t="shared" si="51"/>
        <v>0</v>
      </c>
      <c r="EI22" s="71">
        <f t="shared" si="52"/>
        <v>0.97727272727272729</v>
      </c>
      <c r="EJ22" s="72">
        <f t="shared" si="53"/>
        <v>1.4194636898176809</v>
      </c>
      <c r="EK22" s="51">
        <v>0</v>
      </c>
      <c r="EL22" s="51">
        <v>36000</v>
      </c>
      <c r="EM22" s="52">
        <v>37000</v>
      </c>
      <c r="EN22" s="48">
        <f t="shared" si="54"/>
        <v>0</v>
      </c>
      <c r="EO22" s="71">
        <f t="shared" si="55"/>
        <v>0.97297297297297303</v>
      </c>
      <c r="EP22" s="72">
        <f t="shared" si="56"/>
        <v>1.4056476493802699</v>
      </c>
      <c r="EQ22" s="49">
        <v>223000</v>
      </c>
      <c r="ER22" s="51">
        <v>458000</v>
      </c>
      <c r="ES22" s="52">
        <v>692000</v>
      </c>
      <c r="ET22" s="68">
        <f t="shared" si="57"/>
        <v>0.3222543352601156</v>
      </c>
      <c r="EU22" s="68">
        <f t="shared" si="93"/>
        <v>0</v>
      </c>
      <c r="EV22" s="68">
        <f t="shared" si="58"/>
        <v>0.66184971098265899</v>
      </c>
      <c r="EW22" s="51">
        <v>130000</v>
      </c>
      <c r="EX22" s="51">
        <v>380000</v>
      </c>
      <c r="EY22" s="52">
        <v>535000</v>
      </c>
      <c r="EZ22" s="68">
        <f t="shared" si="59"/>
        <v>0.24299065420560748</v>
      </c>
      <c r="FA22" s="68">
        <f t="shared" si="60"/>
        <v>0.51546654049309359</v>
      </c>
      <c r="FB22" s="68">
        <f t="shared" si="61"/>
        <v>0.71028037383177567</v>
      </c>
      <c r="FC22" s="51">
        <v>1000</v>
      </c>
      <c r="FD22" s="51">
        <v>173000</v>
      </c>
      <c r="FE22" s="52">
        <v>176000</v>
      </c>
      <c r="FF22" s="68">
        <f t="shared" si="62"/>
        <v>5.7803468208092483E-3</v>
      </c>
      <c r="FG22" s="68">
        <f t="shared" si="63"/>
        <v>7.6102028579269287E-2</v>
      </c>
      <c r="FH22" s="68">
        <f t="shared" si="94"/>
        <v>0.98295454545454541</v>
      </c>
      <c r="FI22" s="51">
        <v>91000</v>
      </c>
      <c r="FJ22" s="51">
        <v>322000</v>
      </c>
      <c r="FK22" s="52">
        <v>415000</v>
      </c>
      <c r="FL22" s="68">
        <f t="shared" si="88"/>
        <v>0.21927710843373494</v>
      </c>
      <c r="FM22" s="68">
        <f t="shared" si="64"/>
        <v>0.48733220940397221</v>
      </c>
      <c r="FN22" s="68">
        <f t="shared" si="65"/>
        <v>0.77590361445783129</v>
      </c>
      <c r="FO22" s="46">
        <f t="shared" si="95"/>
        <v>445000</v>
      </c>
      <c r="FP22" s="46">
        <f t="shared" si="95"/>
        <v>1333000</v>
      </c>
      <c r="FQ22" s="48">
        <f t="shared" si="95"/>
        <v>1818000</v>
      </c>
      <c r="FR22" s="48">
        <v>1726000</v>
      </c>
      <c r="FS22" s="68">
        <f t="shared" si="66"/>
        <v>0.24477447744774478</v>
      </c>
      <c r="FT22" s="68">
        <f t="shared" si="67"/>
        <v>0.5175435451215854</v>
      </c>
      <c r="FU22" s="68">
        <f t="shared" si="96"/>
        <v>0.7332233223322332</v>
      </c>
      <c r="FV22" s="68">
        <f t="shared" si="68"/>
        <v>1.0280328468383035</v>
      </c>
      <c r="FW22" s="51">
        <v>0</v>
      </c>
      <c r="FX22" s="51">
        <v>112000</v>
      </c>
      <c r="FY22" s="52">
        <v>258000</v>
      </c>
      <c r="FZ22" s="48">
        <f t="shared" si="69"/>
        <v>0</v>
      </c>
      <c r="GA22" s="71">
        <f t="shared" si="70"/>
        <v>0.43410852713178294</v>
      </c>
      <c r="GB22" s="68">
        <f t="shared" si="71"/>
        <v>0.7193144643876086</v>
      </c>
      <c r="GC22" s="51">
        <v>0</v>
      </c>
      <c r="GD22" s="51">
        <v>47000</v>
      </c>
      <c r="GE22" s="52">
        <v>53000</v>
      </c>
      <c r="GF22" s="48">
        <f t="shared" si="72"/>
        <v>0</v>
      </c>
      <c r="GG22" s="68">
        <f t="shared" si="73"/>
        <v>0</v>
      </c>
      <c r="GH22" s="71">
        <f t="shared" si="74"/>
        <v>0.8867924528301887</v>
      </c>
      <c r="GI22" s="68">
        <f t="shared" si="75"/>
        <v>1.2276376376608162</v>
      </c>
      <c r="GJ22" s="51">
        <v>0</v>
      </c>
      <c r="GK22" s="51">
        <v>377000</v>
      </c>
      <c r="GL22" s="52">
        <v>386000</v>
      </c>
      <c r="GM22" s="71">
        <f t="shared" si="76"/>
        <v>0</v>
      </c>
      <c r="GN22" s="68">
        <f t="shared" si="77"/>
        <v>0</v>
      </c>
      <c r="GO22" s="71">
        <f t="shared" si="78"/>
        <v>0.97668393782383423</v>
      </c>
      <c r="GP22" s="68">
        <f t="shared" si="79"/>
        <v>1.4175006554079304</v>
      </c>
      <c r="GQ22" s="51">
        <v>13000</v>
      </c>
      <c r="GR22" s="51">
        <v>391000</v>
      </c>
      <c r="GS22" s="52">
        <v>408000</v>
      </c>
      <c r="GT22" s="71">
        <f t="shared" si="80"/>
        <v>3.1862745098039214E-2</v>
      </c>
      <c r="GU22" s="68">
        <f t="shared" si="81"/>
        <v>0.17946316591358011</v>
      </c>
      <c r="GV22" s="71">
        <f t="shared" si="82"/>
        <v>0.95833333333333337</v>
      </c>
      <c r="GW22" s="68">
        <f t="shared" si="83"/>
        <v>1.3652273956337226</v>
      </c>
      <c r="GX22" s="40">
        <v>13000</v>
      </c>
      <c r="GY22" s="40">
        <v>815000</v>
      </c>
      <c r="GZ22">
        <v>847000</v>
      </c>
      <c r="HA22" s="126">
        <f t="shared" si="84"/>
        <v>1.5348288075560802E-2</v>
      </c>
      <c r="HB22" s="126">
        <f t="shared" si="85"/>
        <v>0.96221959858323491</v>
      </c>
      <c r="HC22" s="68">
        <f t="shared" si="86"/>
        <v>1.3751793187961341</v>
      </c>
    </row>
    <row r="23" spans="1:211" x14ac:dyDescent="0.2">
      <c r="A23">
        <v>1982</v>
      </c>
      <c r="B23" s="25">
        <v>519</v>
      </c>
      <c r="C23" s="1">
        <v>459</v>
      </c>
      <c r="D23" s="1">
        <v>401</v>
      </c>
      <c r="E23" s="1">
        <v>1015</v>
      </c>
      <c r="F23" s="69">
        <f t="shared" si="87"/>
        <v>2394</v>
      </c>
      <c r="G23" s="23">
        <f t="shared" si="7"/>
        <v>2391.5</v>
      </c>
      <c r="H23" s="1">
        <v>363</v>
      </c>
      <c r="I23" s="1">
        <v>236</v>
      </c>
      <c r="J23" s="1">
        <v>115</v>
      </c>
      <c r="K23" s="1">
        <v>280</v>
      </c>
      <c r="L23" s="1">
        <v>81</v>
      </c>
      <c r="M23" s="1">
        <v>30</v>
      </c>
      <c r="N23" s="1">
        <v>48</v>
      </c>
      <c r="O23" s="1">
        <v>164</v>
      </c>
      <c r="P23" s="1">
        <v>184</v>
      </c>
      <c r="Q23" s="1">
        <v>108</v>
      </c>
      <c r="R23" s="1">
        <v>52</v>
      </c>
      <c r="S23" s="1">
        <v>149</v>
      </c>
      <c r="T23" s="69">
        <f t="shared" si="89"/>
        <v>493</v>
      </c>
      <c r="U23" s="1">
        <v>34</v>
      </c>
      <c r="V23" s="1">
        <v>43</v>
      </c>
      <c r="W23" s="1"/>
      <c r="X23" s="1">
        <v>64</v>
      </c>
      <c r="Y23" s="1">
        <v>105</v>
      </c>
      <c r="Z23" s="1">
        <v>85</v>
      </c>
      <c r="AA23" s="1">
        <v>129</v>
      </c>
      <c r="AB23" s="69">
        <f t="shared" si="90"/>
        <v>319</v>
      </c>
      <c r="AC23" s="27">
        <v>5004.3999999999996</v>
      </c>
      <c r="AD23" s="13">
        <v>3145.6</v>
      </c>
      <c r="AE23" s="13">
        <v>4441.8999999999996</v>
      </c>
      <c r="AF23" s="13">
        <v>3619.9</v>
      </c>
      <c r="AG23" s="41">
        <f t="shared" si="91"/>
        <v>16211.8</v>
      </c>
      <c r="AH23" s="27">
        <v>6778.2</v>
      </c>
      <c r="AI23" s="13">
        <v>7294.6</v>
      </c>
      <c r="AJ23" s="13">
        <v>8356.5</v>
      </c>
      <c r="AK23" s="13">
        <v>2628.6</v>
      </c>
      <c r="AL23" s="41">
        <f t="shared" si="92"/>
        <v>25057.899999999998</v>
      </c>
      <c r="AM23" s="32">
        <v>6443</v>
      </c>
      <c r="AN23" s="31">
        <v>63879</v>
      </c>
      <c r="AO23" s="35">
        <f>5093.2+19.2+33</f>
        <v>5145.3999999999996</v>
      </c>
      <c r="AP23" s="35">
        <f>6670.5+12.1+854.8+20853.9+1033.4+21113.6+34+4778.4</f>
        <v>55350.700000000004</v>
      </c>
      <c r="AQ23" s="1">
        <v>151644</v>
      </c>
      <c r="AR23" s="30" t="e">
        <f>AZ23/#REF!</f>
        <v>#REF!</v>
      </c>
      <c r="AS23" s="74" t="e">
        <f>AY23/#REF!</f>
        <v>#REF!</v>
      </c>
      <c r="AY23">
        <v>16211.8</v>
      </c>
      <c r="AZ23">
        <v>36265.300000000003</v>
      </c>
      <c r="BA23" s="49">
        <v>313000</v>
      </c>
      <c r="BB23" s="51">
        <v>268000</v>
      </c>
      <c r="BC23" s="52">
        <v>639000</v>
      </c>
      <c r="BD23" s="72">
        <f t="shared" si="8"/>
        <v>0.48982785602503914</v>
      </c>
      <c r="BE23" s="72">
        <f t="shared" si="9"/>
        <v>0.77522531760023139</v>
      </c>
      <c r="BF23" s="72">
        <f t="shared" si="10"/>
        <v>0.41940532081377152</v>
      </c>
      <c r="BG23" s="72">
        <f t="shared" si="11"/>
        <v>0.70445033751929964</v>
      </c>
      <c r="BH23" s="49">
        <v>361000</v>
      </c>
      <c r="BI23" s="51">
        <v>40000</v>
      </c>
      <c r="BJ23" s="52">
        <v>429000</v>
      </c>
      <c r="BK23" s="71">
        <f t="shared" si="12"/>
        <v>0.84149184149184153</v>
      </c>
      <c r="BL23" s="72">
        <f t="shared" si="13"/>
        <v>1.1613180060108226</v>
      </c>
      <c r="BM23" s="71">
        <f t="shared" si="14"/>
        <v>9.3240093240093247E-2</v>
      </c>
      <c r="BN23" s="72">
        <f t="shared" si="15"/>
        <v>0.31030849101874491</v>
      </c>
      <c r="BO23" s="51">
        <v>0</v>
      </c>
      <c r="BP23" s="51">
        <v>136000</v>
      </c>
      <c r="BQ23" s="52">
        <v>175000</v>
      </c>
      <c r="BR23" s="48">
        <f t="shared" si="16"/>
        <v>0</v>
      </c>
      <c r="BS23" s="71">
        <f t="shared" si="17"/>
        <v>0.77714285714285714</v>
      </c>
      <c r="BT23" s="72">
        <f t="shared" si="18"/>
        <v>1.0791504338577196</v>
      </c>
      <c r="BU23" s="51">
        <v>0</v>
      </c>
      <c r="BV23" s="51">
        <v>40000</v>
      </c>
      <c r="BW23" s="52">
        <v>101000</v>
      </c>
      <c r="BX23" s="48">
        <f t="shared" si="19"/>
        <v>0</v>
      </c>
      <c r="BY23" s="71">
        <f t="shared" si="20"/>
        <v>0.39603960396039606</v>
      </c>
      <c r="BZ23" s="72">
        <f t="shared" si="21"/>
        <v>0.6806737559786662</v>
      </c>
      <c r="CA23" s="51">
        <v>0</v>
      </c>
      <c r="CB23" s="51">
        <v>6000</v>
      </c>
      <c r="CC23" s="52">
        <v>31000</v>
      </c>
      <c r="CD23" s="48">
        <f t="shared" si="22"/>
        <v>0</v>
      </c>
      <c r="CE23" s="71">
        <f t="shared" si="23"/>
        <v>0.19354838709677419</v>
      </c>
      <c r="CF23" s="72">
        <f t="shared" si="24"/>
        <v>0.45553335697836084</v>
      </c>
      <c r="CG23" s="51">
        <v>0</v>
      </c>
      <c r="CH23" s="51">
        <v>23000</v>
      </c>
      <c r="CI23" s="52">
        <v>41000</v>
      </c>
      <c r="CJ23" s="48">
        <f t="shared" si="25"/>
        <v>0</v>
      </c>
      <c r="CK23" s="71">
        <f t="shared" si="26"/>
        <v>0.56097560975609762</v>
      </c>
      <c r="CL23" s="72">
        <f t="shared" si="27"/>
        <v>0.84652593291733913</v>
      </c>
      <c r="CM23" s="51">
        <v>0</v>
      </c>
      <c r="CN23" s="51">
        <v>222000</v>
      </c>
      <c r="CO23" s="52">
        <v>240000</v>
      </c>
      <c r="CP23" s="48">
        <f t="shared" si="28"/>
        <v>0</v>
      </c>
      <c r="CQ23" s="71">
        <f t="shared" si="29"/>
        <v>0.92500000000000004</v>
      </c>
      <c r="CR23" s="72">
        <f t="shared" si="30"/>
        <v>1.293390810304861</v>
      </c>
      <c r="CS23" s="47">
        <v>0</v>
      </c>
      <c r="CT23" s="47">
        <v>59000</v>
      </c>
      <c r="CU23" s="48">
        <v>64000</v>
      </c>
      <c r="CV23" s="48">
        <f t="shared" si="31"/>
        <v>0</v>
      </c>
      <c r="CW23" s="72">
        <f t="shared" si="32"/>
        <v>0.921875</v>
      </c>
      <c r="CX23" s="72">
        <f t="shared" si="33"/>
        <v>1.2875141614843575</v>
      </c>
      <c r="CY23" s="51">
        <v>0</v>
      </c>
      <c r="CZ23" s="51">
        <v>13000</v>
      </c>
      <c r="DA23" s="52">
        <v>87000</v>
      </c>
      <c r="DB23" s="48">
        <f t="shared" si="34"/>
        <v>0</v>
      </c>
      <c r="DC23" s="71">
        <f t="shared" si="35"/>
        <v>0.14942528735632185</v>
      </c>
      <c r="DD23" s="72">
        <f t="shared" si="36"/>
        <v>0.39689402026014803</v>
      </c>
      <c r="DE23" s="47">
        <v>0</v>
      </c>
      <c r="DF23" s="47">
        <v>19000</v>
      </c>
      <c r="DG23" s="48">
        <v>28000</v>
      </c>
      <c r="DH23" s="48">
        <f t="shared" si="37"/>
        <v>0</v>
      </c>
      <c r="DI23" s="71">
        <f t="shared" si="38"/>
        <v>0.6785714285714286</v>
      </c>
      <c r="DJ23" s="72">
        <f t="shared" si="39"/>
        <v>0.96800177404263166</v>
      </c>
      <c r="DK23" s="47">
        <v>0</v>
      </c>
      <c r="DL23" s="47">
        <v>38000</v>
      </c>
      <c r="DM23" s="48">
        <v>55000</v>
      </c>
      <c r="DN23" s="48">
        <f t="shared" si="40"/>
        <v>0</v>
      </c>
      <c r="DO23" s="71">
        <f t="shared" si="41"/>
        <v>0.69090909090909092</v>
      </c>
      <c r="DP23" s="72">
        <f t="shared" si="42"/>
        <v>0.98127952474907021</v>
      </c>
      <c r="DQ23" s="51">
        <v>1000</v>
      </c>
      <c r="DR23" s="51">
        <v>114000</v>
      </c>
      <c r="DS23" s="52">
        <v>128000</v>
      </c>
      <c r="DT23" s="71">
        <f t="shared" si="43"/>
        <v>7.8125E-3</v>
      </c>
      <c r="DU23" s="72">
        <f t="shared" si="44"/>
        <v>8.8503843144015465E-2</v>
      </c>
      <c r="DV23" s="71">
        <f t="shared" si="45"/>
        <v>0.890625</v>
      </c>
      <c r="DW23" s="72">
        <f t="shared" si="46"/>
        <v>1.233731073461239</v>
      </c>
      <c r="DX23" s="51">
        <v>0</v>
      </c>
      <c r="DY23" s="51">
        <v>87000</v>
      </c>
      <c r="DZ23" s="52">
        <v>129000</v>
      </c>
      <c r="EA23" s="71">
        <f t="shared" si="47"/>
        <v>0</v>
      </c>
      <c r="EB23" s="72">
        <f t="shared" si="48"/>
        <v>0</v>
      </c>
      <c r="EC23" s="71">
        <f t="shared" si="49"/>
        <v>0.67441860465116277</v>
      </c>
      <c r="ED23" s="72">
        <f t="shared" si="50"/>
        <v>0.96356320716173494</v>
      </c>
      <c r="EE23" s="51">
        <v>0</v>
      </c>
      <c r="EF23" s="51">
        <v>98000</v>
      </c>
      <c r="EG23" s="52">
        <v>105000</v>
      </c>
      <c r="EH23" s="48">
        <f t="shared" si="51"/>
        <v>0</v>
      </c>
      <c r="EI23" s="71">
        <f t="shared" si="52"/>
        <v>0.93333333333333335</v>
      </c>
      <c r="EJ23" s="72">
        <f t="shared" si="53"/>
        <v>1.3096389158918722</v>
      </c>
      <c r="EK23" s="51">
        <v>0</v>
      </c>
      <c r="EL23" s="51">
        <v>37000</v>
      </c>
      <c r="EM23" s="52">
        <v>38000</v>
      </c>
      <c r="EN23" s="48">
        <f t="shared" si="54"/>
        <v>0</v>
      </c>
      <c r="EO23" s="71">
        <f t="shared" si="55"/>
        <v>0.97368421052631582</v>
      </c>
      <c r="EP23" s="72">
        <f t="shared" si="56"/>
        <v>1.4078548481843773</v>
      </c>
      <c r="EQ23" s="49">
        <v>231000</v>
      </c>
      <c r="ER23" s="51">
        <v>507000</v>
      </c>
      <c r="ES23" s="52">
        <v>748000</v>
      </c>
      <c r="ET23" s="68">
        <f t="shared" si="57"/>
        <v>0.30882352941176472</v>
      </c>
      <c r="EU23" s="68">
        <f t="shared" si="93"/>
        <v>0</v>
      </c>
      <c r="EV23" s="68">
        <f t="shared" si="58"/>
        <v>0.67780748663101609</v>
      </c>
      <c r="EW23" s="51">
        <v>129000</v>
      </c>
      <c r="EX23" s="51">
        <v>404000</v>
      </c>
      <c r="EY23" s="52">
        <v>551000</v>
      </c>
      <c r="EZ23" s="68">
        <f t="shared" si="59"/>
        <v>0.23411978221415608</v>
      </c>
      <c r="FA23" s="68">
        <f t="shared" si="60"/>
        <v>0.50505921014561561</v>
      </c>
      <c r="FB23" s="68">
        <f t="shared" si="61"/>
        <v>0.73321234119782219</v>
      </c>
      <c r="FC23" s="51">
        <v>1000</v>
      </c>
      <c r="FD23" s="51">
        <v>115000</v>
      </c>
      <c r="FE23" s="52">
        <v>120000</v>
      </c>
      <c r="FF23" s="68">
        <f t="shared" si="62"/>
        <v>8.6956521739130436E-3</v>
      </c>
      <c r="FG23" s="68">
        <f t="shared" si="63"/>
        <v>9.3386158032640054E-2</v>
      </c>
      <c r="FH23" s="68">
        <f t="shared" si="94"/>
        <v>0.95833333333333337</v>
      </c>
      <c r="FI23" s="51">
        <v>75000</v>
      </c>
      <c r="FJ23" s="51">
        <v>282000</v>
      </c>
      <c r="FK23" s="52">
        <v>359000</v>
      </c>
      <c r="FL23" s="68">
        <f t="shared" si="88"/>
        <v>0.20891364902506965</v>
      </c>
      <c r="FM23" s="68">
        <f t="shared" si="64"/>
        <v>0.4746989743047616</v>
      </c>
      <c r="FN23" s="68">
        <f t="shared" si="65"/>
        <v>0.78551532033426186</v>
      </c>
      <c r="FO23" s="46">
        <f>EQ23+EW23+FC23+FI23</f>
        <v>436000</v>
      </c>
      <c r="FP23" s="46">
        <f t="shared" ref="FP23" si="97">ER23+EX23+FD23+FJ23</f>
        <v>1308000</v>
      </c>
      <c r="FQ23" s="48">
        <f>ES23+EY23+FE23+FK23</f>
        <v>1778000</v>
      </c>
      <c r="FR23" s="48">
        <v>1818000</v>
      </c>
      <c r="FS23" s="68">
        <f t="shared" si="66"/>
        <v>0.24521934758155231</v>
      </c>
      <c r="FT23" s="68">
        <f t="shared" si="67"/>
        <v>0.51806073334248992</v>
      </c>
      <c r="FU23" s="68">
        <f t="shared" si="96"/>
        <v>0.73565804274465696</v>
      </c>
      <c r="FV23" s="68">
        <f t="shared" si="68"/>
        <v>1.0307893657823326</v>
      </c>
      <c r="FW23" s="51">
        <v>0</v>
      </c>
      <c r="FX23" s="51">
        <v>164000</v>
      </c>
      <c r="FY23" s="52">
        <v>336000</v>
      </c>
      <c r="FZ23" s="48">
        <f t="shared" si="69"/>
        <v>0</v>
      </c>
      <c r="GA23" s="71">
        <f t="shared" si="70"/>
        <v>0.48809523809523808</v>
      </c>
      <c r="GB23" s="68">
        <f t="shared" si="71"/>
        <v>0.77349227641711393</v>
      </c>
      <c r="GC23" s="51">
        <v>0</v>
      </c>
      <c r="GD23" s="51">
        <v>54000</v>
      </c>
      <c r="GE23" s="52">
        <v>67000</v>
      </c>
      <c r="GF23" s="48">
        <f t="shared" si="72"/>
        <v>0</v>
      </c>
      <c r="GG23" s="68">
        <f t="shared" si="73"/>
        <v>0</v>
      </c>
      <c r="GH23" s="71">
        <f t="shared" si="74"/>
        <v>0.80597014925373134</v>
      </c>
      <c r="GI23" s="68">
        <f t="shared" si="75"/>
        <v>1.114653931577275</v>
      </c>
      <c r="GJ23" s="51">
        <v>0</v>
      </c>
      <c r="GK23" s="51">
        <v>376000</v>
      </c>
      <c r="GL23" s="52">
        <v>390000</v>
      </c>
      <c r="GM23" s="71">
        <f t="shared" si="76"/>
        <v>0</v>
      </c>
      <c r="GN23" s="68">
        <f t="shared" si="77"/>
        <v>0</v>
      </c>
      <c r="GO23" s="71">
        <f t="shared" si="78"/>
        <v>0.96410256410256412</v>
      </c>
      <c r="GP23" s="68">
        <f t="shared" si="79"/>
        <v>1.3801778693126872</v>
      </c>
      <c r="GQ23" s="51">
        <v>1000</v>
      </c>
      <c r="GR23" s="51">
        <v>443000</v>
      </c>
      <c r="GS23" s="52">
        <v>446000</v>
      </c>
      <c r="GT23" s="71">
        <f t="shared" si="80"/>
        <v>2.242152466367713E-3</v>
      </c>
      <c r="GU23" s="68">
        <f t="shared" si="81"/>
        <v>4.7369085091160952E-2</v>
      </c>
      <c r="GV23" s="71">
        <f t="shared" si="82"/>
        <v>0.99327354260089684</v>
      </c>
      <c r="GW23" s="68">
        <f t="shared" si="83"/>
        <v>1.4886891195464407</v>
      </c>
      <c r="GX23" s="40">
        <v>1000</v>
      </c>
      <c r="GY23" s="40">
        <v>873000</v>
      </c>
      <c r="GZ23">
        <v>903000</v>
      </c>
      <c r="HA23" s="126">
        <f t="shared" si="84"/>
        <v>1.1074197120708748E-3</v>
      </c>
      <c r="HB23" s="126">
        <f t="shared" si="85"/>
        <v>0.96677740863787376</v>
      </c>
      <c r="HC23" s="68">
        <f t="shared" si="86"/>
        <v>1.387501028314944</v>
      </c>
    </row>
    <row r="24" spans="1:211" x14ac:dyDescent="0.2">
      <c r="A24">
        <v>1983</v>
      </c>
      <c r="B24" s="25">
        <v>153</v>
      </c>
      <c r="C24" s="1">
        <v>172</v>
      </c>
      <c r="D24" s="1">
        <v>182</v>
      </c>
      <c r="E24" s="1">
        <v>334</v>
      </c>
      <c r="F24" s="69">
        <f t="shared" si="87"/>
        <v>841</v>
      </c>
      <c r="G24" s="23">
        <f t="shared" si="7"/>
        <v>838.5</v>
      </c>
      <c r="H24" s="1">
        <v>170</v>
      </c>
      <c r="I24" s="1">
        <v>186</v>
      </c>
      <c r="J24" s="1">
        <v>66</v>
      </c>
      <c r="K24" s="1">
        <v>105</v>
      </c>
      <c r="L24" s="1">
        <v>33</v>
      </c>
      <c r="M24" s="1">
        <v>33</v>
      </c>
      <c r="N24" s="1">
        <v>44</v>
      </c>
      <c r="O24" s="1">
        <v>144</v>
      </c>
      <c r="P24" s="1">
        <v>247</v>
      </c>
      <c r="Q24" s="1">
        <v>155</v>
      </c>
      <c r="R24" s="1">
        <v>65</v>
      </c>
      <c r="S24" s="1">
        <v>268</v>
      </c>
      <c r="T24" s="69">
        <f t="shared" si="89"/>
        <v>735</v>
      </c>
      <c r="U24" s="1">
        <v>40</v>
      </c>
      <c r="V24" s="1">
        <v>63</v>
      </c>
      <c r="W24" s="1">
        <v>55</v>
      </c>
      <c r="X24" s="1">
        <v>45</v>
      </c>
      <c r="Y24" s="1"/>
      <c r="Z24" s="1">
        <v>105</v>
      </c>
      <c r="AA24" s="1">
        <v>55</v>
      </c>
      <c r="AB24" s="69"/>
      <c r="AC24" s="27">
        <v>442</v>
      </c>
      <c r="AD24" s="13">
        <v>797</v>
      </c>
      <c r="AE24" s="13">
        <v>764.1</v>
      </c>
      <c r="AF24" s="13">
        <v>527.4</v>
      </c>
      <c r="AG24" s="41">
        <f t="shared" si="91"/>
        <v>2530.5</v>
      </c>
      <c r="AH24" s="27">
        <v>955.2</v>
      </c>
      <c r="AI24" s="13">
        <v>3418.4</v>
      </c>
      <c r="AJ24" s="13">
        <v>2319.3000000000002</v>
      </c>
      <c r="AK24" s="13">
        <v>1284.5999999999999</v>
      </c>
      <c r="AL24" s="41">
        <f t="shared" si="92"/>
        <v>7977.5</v>
      </c>
      <c r="AM24" s="32">
        <v>4880</v>
      </c>
      <c r="AN24" s="31">
        <v>57832</v>
      </c>
      <c r="AO24" s="35">
        <f>3548.7+221.3</f>
        <v>3770</v>
      </c>
      <c r="AP24" s="35">
        <f>2660.9+17+1416+23485.2+2047.9+9554+6852.9+1675.7</f>
        <v>47709.599999999999</v>
      </c>
      <c r="AQ24" s="1">
        <v>117599</v>
      </c>
      <c r="AR24" s="30" t="e">
        <f>AZ24/#REF!</f>
        <v>#REF!</v>
      </c>
      <c r="AS24" s="74" t="e">
        <f>AY24/#REF!</f>
        <v>#REF!</v>
      </c>
      <c r="AY24">
        <v>2530.5</v>
      </c>
      <c r="AZ24">
        <v>7977.5</v>
      </c>
      <c r="BA24" s="49">
        <v>271000</v>
      </c>
      <c r="BB24" s="51">
        <v>144000</v>
      </c>
      <c r="BC24" s="52">
        <v>466000</v>
      </c>
      <c r="BD24" s="72">
        <f t="shared" si="8"/>
        <v>0.58154506437768239</v>
      </c>
      <c r="BE24" s="72">
        <f t="shared" si="9"/>
        <v>0.86730911894421447</v>
      </c>
      <c r="BF24" s="72">
        <f t="shared" si="10"/>
        <v>0.30901287553648071</v>
      </c>
      <c r="BG24" s="72">
        <f t="shared" si="11"/>
        <v>0.58943236889911288</v>
      </c>
      <c r="BH24" s="49">
        <v>443000</v>
      </c>
      <c r="BI24" s="51">
        <v>51000</v>
      </c>
      <c r="BJ24" s="52">
        <v>517000</v>
      </c>
      <c r="BK24" s="71">
        <f t="shared" si="12"/>
        <v>0.85686653771760157</v>
      </c>
      <c r="BL24" s="72">
        <f t="shared" si="13"/>
        <v>1.1828049748059117</v>
      </c>
      <c r="BM24" s="71">
        <f t="shared" si="14"/>
        <v>9.8646034816247577E-2</v>
      </c>
      <c r="BN24" s="72">
        <f t="shared" si="15"/>
        <v>0.31948710711320244</v>
      </c>
      <c r="BO24" s="51">
        <v>0</v>
      </c>
      <c r="BP24" s="51">
        <v>102000</v>
      </c>
      <c r="BQ24" s="52">
        <v>149000</v>
      </c>
      <c r="BR24" s="48">
        <f t="shared" si="16"/>
        <v>0</v>
      </c>
      <c r="BS24" s="71">
        <f t="shared" si="17"/>
        <v>0.68456375838926176</v>
      </c>
      <c r="BT24" s="72">
        <f t="shared" si="18"/>
        <v>0.97443319558029751</v>
      </c>
      <c r="BU24" s="51">
        <v>0</v>
      </c>
      <c r="BV24" s="51">
        <v>27000</v>
      </c>
      <c r="BW24" s="52">
        <v>73000</v>
      </c>
      <c r="BX24" s="48">
        <f t="shared" si="19"/>
        <v>0</v>
      </c>
      <c r="BY24" s="71">
        <f t="shared" si="20"/>
        <v>0.36986301369863012</v>
      </c>
      <c r="BZ24" s="72">
        <f t="shared" si="21"/>
        <v>0.65374519127845343</v>
      </c>
      <c r="CA24" s="51">
        <v>0</v>
      </c>
      <c r="CB24" s="51">
        <v>6000</v>
      </c>
      <c r="CC24" s="52">
        <v>30000</v>
      </c>
      <c r="CD24" s="48">
        <f t="shared" si="22"/>
        <v>0</v>
      </c>
      <c r="CE24" s="71">
        <f t="shared" si="23"/>
        <v>0.2</v>
      </c>
      <c r="CF24" s="72">
        <f t="shared" si="24"/>
        <v>0.46364760900080609</v>
      </c>
      <c r="CG24" s="51">
        <v>0</v>
      </c>
      <c r="CH24" s="51">
        <v>0</v>
      </c>
      <c r="CI24" s="52">
        <v>21000</v>
      </c>
      <c r="CJ24" s="48">
        <f t="shared" si="25"/>
        <v>0</v>
      </c>
      <c r="CK24" s="71">
        <f t="shared" si="26"/>
        <v>0</v>
      </c>
      <c r="CL24" s="72">
        <f t="shared" si="27"/>
        <v>0</v>
      </c>
      <c r="CM24" s="51">
        <v>0</v>
      </c>
      <c r="CN24" s="51">
        <v>248000</v>
      </c>
      <c r="CO24" s="52">
        <v>267000</v>
      </c>
      <c r="CP24" s="48">
        <f t="shared" si="28"/>
        <v>0</v>
      </c>
      <c r="CQ24" s="71">
        <f t="shared" si="29"/>
        <v>0.92883895131086147</v>
      </c>
      <c r="CR24" s="72">
        <f t="shared" si="30"/>
        <v>1.3007663957981974</v>
      </c>
      <c r="CS24" s="47">
        <v>0</v>
      </c>
      <c r="CT24" s="47">
        <v>63000</v>
      </c>
      <c r="CU24" s="48">
        <v>70000</v>
      </c>
      <c r="CV24" s="48">
        <f t="shared" si="31"/>
        <v>0</v>
      </c>
      <c r="CW24" s="72">
        <f t="shared" si="32"/>
        <v>0.9</v>
      </c>
      <c r="CX24" s="72">
        <f t="shared" si="33"/>
        <v>1.2490457723982542</v>
      </c>
      <c r="CY24" s="51">
        <v>0</v>
      </c>
      <c r="CZ24" s="51">
        <v>13000</v>
      </c>
      <c r="DA24" s="52">
        <v>78000</v>
      </c>
      <c r="DB24" s="48">
        <f t="shared" si="34"/>
        <v>0</v>
      </c>
      <c r="DC24" s="71">
        <f t="shared" si="35"/>
        <v>0.16666666666666666</v>
      </c>
      <c r="DD24" s="72">
        <f t="shared" si="36"/>
        <v>0.42053433528396511</v>
      </c>
      <c r="DE24" s="47">
        <v>0</v>
      </c>
      <c r="DF24" s="47">
        <v>11000</v>
      </c>
      <c r="DG24" s="48">
        <v>27000</v>
      </c>
      <c r="DH24" s="48">
        <f t="shared" si="37"/>
        <v>0</v>
      </c>
      <c r="DI24" s="71">
        <f t="shared" si="38"/>
        <v>0.40740740740740738</v>
      </c>
      <c r="DJ24" s="72">
        <f t="shared" si="39"/>
        <v>0.69226801160917018</v>
      </c>
      <c r="DK24" s="47">
        <v>0</v>
      </c>
      <c r="DL24" s="47">
        <v>89000</v>
      </c>
      <c r="DM24" s="48">
        <v>94000</v>
      </c>
      <c r="DN24" s="48">
        <f t="shared" si="40"/>
        <v>0</v>
      </c>
      <c r="DO24" s="71">
        <f t="shared" si="41"/>
        <v>0.94680851063829785</v>
      </c>
      <c r="DP24" s="72">
        <f t="shared" si="42"/>
        <v>1.3380683595345382</v>
      </c>
      <c r="DQ24" s="51">
        <v>0</v>
      </c>
      <c r="DR24" s="51">
        <v>131000</v>
      </c>
      <c r="DS24" s="52">
        <v>144000</v>
      </c>
      <c r="DT24" s="71">
        <f t="shared" si="43"/>
        <v>0</v>
      </c>
      <c r="DU24" s="72">
        <f t="shared" si="44"/>
        <v>0</v>
      </c>
      <c r="DV24" s="71">
        <f t="shared" si="45"/>
        <v>0.90972222222222221</v>
      </c>
      <c r="DW24" s="72">
        <f t="shared" si="46"/>
        <v>1.2656186926183135</v>
      </c>
      <c r="DX24" s="51">
        <v>0</v>
      </c>
      <c r="DY24" s="51">
        <v>72000</v>
      </c>
      <c r="DZ24" s="52">
        <v>108000</v>
      </c>
      <c r="EA24" s="71">
        <f t="shared" si="47"/>
        <v>0</v>
      </c>
      <c r="EB24" s="72">
        <f t="shared" si="48"/>
        <v>0</v>
      </c>
      <c r="EC24" s="71">
        <f t="shared" si="49"/>
        <v>0.66666666666666663</v>
      </c>
      <c r="ED24" s="72">
        <f t="shared" si="50"/>
        <v>0.9553166181245093</v>
      </c>
      <c r="EE24" s="51">
        <v>0</v>
      </c>
      <c r="EF24" s="51">
        <v>133000</v>
      </c>
      <c r="EG24" s="52">
        <v>139000</v>
      </c>
      <c r="EH24" s="48">
        <f t="shared" si="51"/>
        <v>0</v>
      </c>
      <c r="EI24" s="71">
        <f t="shared" si="52"/>
        <v>0.95683453237410077</v>
      </c>
      <c r="EJ24" s="72">
        <f t="shared" si="53"/>
        <v>1.3615088182545414</v>
      </c>
      <c r="EK24" s="51">
        <v>0</v>
      </c>
      <c r="EL24" s="51">
        <v>37000</v>
      </c>
      <c r="EM24" s="52">
        <v>38000</v>
      </c>
      <c r="EN24" s="48">
        <f t="shared" si="54"/>
        <v>0</v>
      </c>
      <c r="EO24" s="71">
        <f t="shared" si="55"/>
        <v>0.97368421052631582</v>
      </c>
      <c r="EP24" s="72">
        <f t="shared" si="56"/>
        <v>1.4078548481843773</v>
      </c>
      <c r="EQ24" s="49">
        <v>544000</v>
      </c>
      <c r="ER24" s="51">
        <v>861000</v>
      </c>
      <c r="ES24" s="52">
        <v>1418000</v>
      </c>
      <c r="ET24" s="68">
        <f t="shared" si="57"/>
        <v>0.383638928067701</v>
      </c>
      <c r="EU24" s="68">
        <f t="shared" si="93"/>
        <v>0</v>
      </c>
      <c r="EV24" s="68">
        <f t="shared" si="58"/>
        <v>0.60719322990126945</v>
      </c>
      <c r="EW24" s="51">
        <v>188000</v>
      </c>
      <c r="EX24" s="51">
        <v>413000</v>
      </c>
      <c r="EY24" s="52">
        <v>639000</v>
      </c>
      <c r="EZ24" s="68">
        <f t="shared" si="59"/>
        <v>0.29420970266040691</v>
      </c>
      <c r="FA24" s="68">
        <f t="shared" si="60"/>
        <v>0.5733043212711556</v>
      </c>
      <c r="FB24" s="68">
        <f t="shared" si="61"/>
        <v>0.64632237871674492</v>
      </c>
      <c r="FC24" s="51">
        <v>1000</v>
      </c>
      <c r="FD24" s="51">
        <v>109000</v>
      </c>
      <c r="FE24" s="52">
        <v>115000</v>
      </c>
      <c r="FF24" s="68">
        <f t="shared" si="62"/>
        <v>9.1743119266055051E-3</v>
      </c>
      <c r="FG24" s="68">
        <f t="shared" si="63"/>
        <v>9.5929693100686775E-2</v>
      </c>
      <c r="FH24" s="68">
        <f t="shared" si="94"/>
        <v>0.94782608695652171</v>
      </c>
      <c r="FI24" s="51">
        <v>116000</v>
      </c>
      <c r="FJ24" s="51">
        <v>284000</v>
      </c>
      <c r="FK24" s="52">
        <v>404000</v>
      </c>
      <c r="FL24" s="68">
        <f t="shared" si="88"/>
        <v>0.28712871287128711</v>
      </c>
      <c r="FM24" s="68">
        <f t="shared" si="64"/>
        <v>0.565506967135188</v>
      </c>
      <c r="FN24" s="68">
        <f t="shared" si="65"/>
        <v>0.70297029702970293</v>
      </c>
      <c r="FO24" s="46">
        <f>EQ24+EW24+FC24+FI24</f>
        <v>849000</v>
      </c>
      <c r="FP24" s="46">
        <f>ER24+EX24+FD24+FJ24</f>
        <v>1667000</v>
      </c>
      <c r="FQ24" s="48">
        <f>ES24+EY24+FE24+FK24</f>
        <v>2576000</v>
      </c>
      <c r="FR24" s="48">
        <v>1778000</v>
      </c>
      <c r="FS24" s="68">
        <f t="shared" si="66"/>
        <v>0.32958074534161491</v>
      </c>
      <c r="FT24" s="68">
        <f t="shared" si="67"/>
        <v>0.61149382887316284</v>
      </c>
      <c r="FU24" s="68">
        <f t="shared" si="96"/>
        <v>0.64712732919254656</v>
      </c>
      <c r="FV24" s="68">
        <f t="shared" si="68"/>
        <v>0.93473594151697414</v>
      </c>
      <c r="FW24" s="51">
        <v>0</v>
      </c>
      <c r="FX24" s="51">
        <v>144000</v>
      </c>
      <c r="FY24" s="52">
        <v>319000</v>
      </c>
      <c r="FZ24" s="48">
        <f t="shared" si="69"/>
        <v>0</v>
      </c>
      <c r="GA24" s="71">
        <f t="shared" si="70"/>
        <v>0.45141065830721006</v>
      </c>
      <c r="GB24" s="68">
        <f t="shared" si="71"/>
        <v>0.7367320176976504</v>
      </c>
      <c r="GC24" s="51">
        <v>0</v>
      </c>
      <c r="GD24" s="51">
        <v>61000</v>
      </c>
      <c r="GE24" s="52">
        <v>71000</v>
      </c>
      <c r="GF24" s="48">
        <f t="shared" si="72"/>
        <v>0</v>
      </c>
      <c r="GG24" s="68">
        <f t="shared" si="73"/>
        <v>0</v>
      </c>
      <c r="GH24" s="71">
        <f t="shared" si="74"/>
        <v>0.85915492957746475</v>
      </c>
      <c r="GI24" s="68">
        <f t="shared" si="75"/>
        <v>1.1860831300256316</v>
      </c>
      <c r="GJ24" s="51">
        <v>0</v>
      </c>
      <c r="GK24" s="51">
        <v>468000</v>
      </c>
      <c r="GL24" s="52">
        <v>488000</v>
      </c>
      <c r="GM24" s="71">
        <f t="shared" si="76"/>
        <v>0</v>
      </c>
      <c r="GN24" s="68">
        <f t="shared" si="77"/>
        <v>0</v>
      </c>
      <c r="GO24" s="71">
        <f t="shared" si="78"/>
        <v>0.95901639344262291</v>
      </c>
      <c r="GP24" s="68">
        <f t="shared" si="79"/>
        <v>1.366943286714648</v>
      </c>
      <c r="GQ24" s="51">
        <v>3000</v>
      </c>
      <c r="GR24" s="51">
        <v>401000</v>
      </c>
      <c r="GS24" s="52">
        <v>405000</v>
      </c>
      <c r="GT24" s="71">
        <f t="shared" si="80"/>
        <v>7.4074074074074077E-3</v>
      </c>
      <c r="GU24" s="68">
        <f t="shared" si="81"/>
        <v>8.6172907021382278E-2</v>
      </c>
      <c r="GV24" s="71">
        <f t="shared" si="82"/>
        <v>0.99012345679012348</v>
      </c>
      <c r="GW24" s="68">
        <f t="shared" si="83"/>
        <v>1.4712512066332855</v>
      </c>
      <c r="GX24" s="40">
        <v>3000</v>
      </c>
      <c r="GY24" s="40">
        <v>930000</v>
      </c>
      <c r="GZ24">
        <v>964000</v>
      </c>
      <c r="HA24" s="126">
        <f t="shared" si="84"/>
        <v>3.1120331950207467E-3</v>
      </c>
      <c r="HB24" s="126">
        <f t="shared" si="85"/>
        <v>0.96473029045643155</v>
      </c>
      <c r="HC24" s="68">
        <f t="shared" si="86"/>
        <v>1.3818721580227245</v>
      </c>
    </row>
    <row r="25" spans="1:211" x14ac:dyDescent="0.2">
      <c r="A25">
        <v>1984</v>
      </c>
      <c r="B25" s="25">
        <v>851</v>
      </c>
      <c r="C25" s="1">
        <v>394</v>
      </c>
      <c r="D25" s="1">
        <v>372</v>
      </c>
      <c r="E25" s="1">
        <v>1307</v>
      </c>
      <c r="F25" s="69">
        <f t="shared" si="87"/>
        <v>2924</v>
      </c>
      <c r="G25" s="23">
        <f t="shared" si="7"/>
        <v>2921.5</v>
      </c>
      <c r="H25" s="1">
        <v>265</v>
      </c>
      <c r="I25" s="1">
        <v>176</v>
      </c>
      <c r="J25" s="1">
        <v>71</v>
      </c>
      <c r="K25" s="1">
        <v>242</v>
      </c>
      <c r="L25" s="1">
        <v>39</v>
      </c>
      <c r="M25" s="1">
        <v>13</v>
      </c>
      <c r="N25" s="1">
        <v>54</v>
      </c>
      <c r="O25" s="1">
        <v>294</v>
      </c>
      <c r="P25" s="1">
        <v>141</v>
      </c>
      <c r="Q25" s="1">
        <v>60</v>
      </c>
      <c r="R25" s="1">
        <v>70</v>
      </c>
      <c r="S25" s="1">
        <v>123</v>
      </c>
      <c r="T25" s="69">
        <f t="shared" si="89"/>
        <v>394</v>
      </c>
      <c r="U25" s="1">
        <v>41</v>
      </c>
      <c r="V25" s="1">
        <v>77</v>
      </c>
      <c r="W25" s="1"/>
      <c r="X25" s="1">
        <v>59</v>
      </c>
      <c r="Y25" s="1"/>
      <c r="Z25" s="1">
        <v>111</v>
      </c>
      <c r="AA25" s="1">
        <v>127</v>
      </c>
      <c r="AB25" s="69"/>
      <c r="AC25" s="27">
        <v>7060.9</v>
      </c>
      <c r="AD25" s="13">
        <v>1495.3</v>
      </c>
      <c r="AE25" s="13">
        <v>1166.9000000000001</v>
      </c>
      <c r="AF25" s="13">
        <v>7177.1</v>
      </c>
      <c r="AG25" s="41">
        <f t="shared" si="91"/>
        <v>16900.199999999997</v>
      </c>
      <c r="AH25" s="27">
        <f>12767.9</f>
        <v>12767.9</v>
      </c>
      <c r="AI25" s="13">
        <v>7215.8</v>
      </c>
      <c r="AJ25" s="13">
        <v>6698.3</v>
      </c>
      <c r="AK25" s="13">
        <v>12206.3</v>
      </c>
      <c r="AL25" s="41">
        <f t="shared" si="92"/>
        <v>38888.300000000003</v>
      </c>
      <c r="AM25" s="32">
        <v>7224</v>
      </c>
      <c r="AN25" s="31">
        <v>53653</v>
      </c>
      <c r="AO25" s="35">
        <f>7199.3+407.3+338.6</f>
        <v>7945.2000000000007</v>
      </c>
      <c r="AP25" s="35">
        <f>2750+11+2379.7+14906+1558.1+16959.4+838.1+3042.4+190</f>
        <v>42634.7</v>
      </c>
      <c r="AQ25" s="1">
        <v>164546</v>
      </c>
      <c r="AR25" s="30" t="e">
        <f>AZ25/#REF!</f>
        <v>#REF!</v>
      </c>
      <c r="AS25" s="74" t="e">
        <f>AY25/#REF!</f>
        <v>#REF!</v>
      </c>
      <c r="AY25">
        <f>AZ25-21559.9-307</f>
        <v>17021.400000000001</v>
      </c>
      <c r="AZ25">
        <v>38888.300000000003</v>
      </c>
      <c r="BA25" s="49">
        <v>407957</v>
      </c>
      <c r="BB25" s="51">
        <v>215924</v>
      </c>
      <c r="BC25" s="52">
        <v>698018</v>
      </c>
      <c r="BD25" s="72">
        <f t="shared" si="8"/>
        <v>0.58445054425530574</v>
      </c>
      <c r="BE25" s="72">
        <f t="shared" si="9"/>
        <v>0.87025547974353812</v>
      </c>
      <c r="BF25" s="72">
        <f t="shared" si="10"/>
        <v>0.3093387276545877</v>
      </c>
      <c r="BG25" s="72">
        <f t="shared" si="11"/>
        <v>0.58978490536597139</v>
      </c>
      <c r="BH25" s="49">
        <v>477003</v>
      </c>
      <c r="BI25" s="51">
        <v>99766</v>
      </c>
      <c r="BJ25" s="52">
        <v>598303</v>
      </c>
      <c r="BK25" s="71">
        <f t="shared" si="12"/>
        <v>0.79725991679801034</v>
      </c>
      <c r="BL25" s="72">
        <f t="shared" si="13"/>
        <v>1.1037323408978046</v>
      </c>
      <c r="BM25" s="71">
        <f t="shared" si="14"/>
        <v>0.16674828640337755</v>
      </c>
      <c r="BN25" s="72">
        <f t="shared" si="15"/>
        <v>0.42064382892943408</v>
      </c>
      <c r="BO25" s="51">
        <v>0</v>
      </c>
      <c r="BP25" s="51">
        <v>106530</v>
      </c>
      <c r="BQ25" s="52">
        <v>159330</v>
      </c>
      <c r="BR25" s="48">
        <f t="shared" si="16"/>
        <v>0</v>
      </c>
      <c r="BS25" s="71">
        <f t="shared" si="17"/>
        <v>0.66861231406514776</v>
      </c>
      <c r="BT25" s="72">
        <f t="shared" si="18"/>
        <v>0.95738180259883032</v>
      </c>
      <c r="BU25" s="51">
        <v>0</v>
      </c>
      <c r="BV25" s="51">
        <v>41135</v>
      </c>
      <c r="BW25" s="52">
        <v>103460</v>
      </c>
      <c r="BX25" s="48">
        <f t="shared" si="19"/>
        <v>0</v>
      </c>
      <c r="BY25" s="71">
        <f t="shared" si="20"/>
        <v>0.39759327276242024</v>
      </c>
      <c r="BZ25" s="72">
        <f t="shared" si="21"/>
        <v>0.68226160454129303</v>
      </c>
      <c r="CA25" s="51">
        <v>0</v>
      </c>
      <c r="CB25" s="51">
        <v>3510</v>
      </c>
      <c r="CC25" s="52">
        <v>20971</v>
      </c>
      <c r="CD25" s="48">
        <f t="shared" si="22"/>
        <v>0</v>
      </c>
      <c r="CE25" s="71">
        <f t="shared" si="23"/>
        <v>0.16737399265652567</v>
      </c>
      <c r="CF25" s="72">
        <f t="shared" si="24"/>
        <v>0.42148250912971086</v>
      </c>
      <c r="CG25" s="51">
        <v>0</v>
      </c>
      <c r="CH25" s="51">
        <v>460</v>
      </c>
      <c r="CI25" s="52">
        <v>21570</v>
      </c>
      <c r="CJ25" s="48">
        <f t="shared" si="25"/>
        <v>0</v>
      </c>
      <c r="CK25" s="71">
        <f t="shared" si="26"/>
        <v>2.1325915623551229E-2</v>
      </c>
      <c r="CL25" s="72">
        <f t="shared" si="27"/>
        <v>0.14655805028550248</v>
      </c>
      <c r="CM25" s="51">
        <v>0</v>
      </c>
      <c r="CN25" s="51">
        <v>226312</v>
      </c>
      <c r="CO25" s="52">
        <v>249149</v>
      </c>
      <c r="CP25" s="48">
        <f t="shared" si="28"/>
        <v>0</v>
      </c>
      <c r="CQ25" s="71">
        <f t="shared" si="29"/>
        <v>0.90833998932365778</v>
      </c>
      <c r="CR25" s="72">
        <f t="shared" si="30"/>
        <v>1.2632153352375846</v>
      </c>
      <c r="CS25" s="47">
        <v>0</v>
      </c>
      <c r="CT25" s="47">
        <v>61206</v>
      </c>
      <c r="CU25" s="48">
        <v>65386</v>
      </c>
      <c r="CV25" s="48">
        <f t="shared" si="31"/>
        <v>0</v>
      </c>
      <c r="CW25" s="72">
        <f t="shared" si="32"/>
        <v>0.93607194200593402</v>
      </c>
      <c r="CX25" s="72">
        <f t="shared" si="33"/>
        <v>1.3151818320743707</v>
      </c>
      <c r="CY25" s="51">
        <v>0</v>
      </c>
      <c r="CZ25" s="51">
        <v>12337</v>
      </c>
      <c r="DA25" s="52">
        <v>69365</v>
      </c>
      <c r="DB25" s="48">
        <f t="shared" si="34"/>
        <v>0</v>
      </c>
      <c r="DC25" s="71">
        <f t="shared" si="35"/>
        <v>0.1778562675701002</v>
      </c>
      <c r="DD25" s="72">
        <f t="shared" si="36"/>
        <v>0.43535254594554945</v>
      </c>
      <c r="DE25" s="47">
        <v>0</v>
      </c>
      <c r="DF25" s="47">
        <v>22625</v>
      </c>
      <c r="DG25" s="48">
        <v>54098</v>
      </c>
      <c r="DH25" s="48">
        <f t="shared" si="37"/>
        <v>0</v>
      </c>
      <c r="DI25" s="71">
        <f t="shared" si="38"/>
        <v>0.41822248511959775</v>
      </c>
      <c r="DJ25" s="72">
        <f t="shared" si="39"/>
        <v>0.70325159368869861</v>
      </c>
      <c r="DK25" s="47">
        <v>0</v>
      </c>
      <c r="DL25" s="47">
        <v>87825</v>
      </c>
      <c r="DM25" s="48">
        <v>94658</v>
      </c>
      <c r="DN25" s="48">
        <f t="shared" si="40"/>
        <v>0</v>
      </c>
      <c r="DO25" s="71">
        <f t="shared" si="41"/>
        <v>0.92781381394071283</v>
      </c>
      <c r="DP25" s="72">
        <f t="shared" si="42"/>
        <v>1.2987792729753693</v>
      </c>
      <c r="DQ25" s="51">
        <v>0</v>
      </c>
      <c r="DR25" s="51">
        <v>170297</v>
      </c>
      <c r="DS25" s="52">
        <v>187850</v>
      </c>
      <c r="DT25" s="71">
        <f t="shared" si="43"/>
        <v>0</v>
      </c>
      <c r="DU25" s="72">
        <f t="shared" si="44"/>
        <v>0</v>
      </c>
      <c r="DV25" s="71">
        <f t="shared" si="45"/>
        <v>0.90655842427468725</v>
      </c>
      <c r="DW25" s="72">
        <f t="shared" si="46"/>
        <v>1.2601415381653376</v>
      </c>
      <c r="DX25" s="51">
        <v>0</v>
      </c>
      <c r="DY25" s="51">
        <v>161833</v>
      </c>
      <c r="DZ25" s="52">
        <v>279968</v>
      </c>
      <c r="EA25" s="71">
        <f t="shared" si="47"/>
        <v>0</v>
      </c>
      <c r="EB25" s="72">
        <f t="shared" si="48"/>
        <v>0</v>
      </c>
      <c r="EC25" s="71">
        <f t="shared" si="49"/>
        <v>0.5780410618356383</v>
      </c>
      <c r="ED25" s="72">
        <f t="shared" si="50"/>
        <v>0.8637596180978554</v>
      </c>
      <c r="EE25" s="51">
        <v>0</v>
      </c>
      <c r="EF25" s="51">
        <v>147220</v>
      </c>
      <c r="EG25" s="52">
        <v>156338</v>
      </c>
      <c r="EH25" s="48">
        <f t="shared" si="51"/>
        <v>0</v>
      </c>
      <c r="EI25" s="71">
        <f t="shared" si="52"/>
        <v>0.94167764714912561</v>
      </c>
      <c r="EJ25" s="72">
        <f t="shared" si="53"/>
        <v>1.3268847998812017</v>
      </c>
      <c r="EK25" s="51">
        <v>0</v>
      </c>
      <c r="EL25" s="51">
        <v>33567</v>
      </c>
      <c r="EM25" s="52">
        <v>34489</v>
      </c>
      <c r="EN25" s="48">
        <f t="shared" si="54"/>
        <v>0</v>
      </c>
      <c r="EO25" s="71">
        <f t="shared" si="55"/>
        <v>0.97326683870219488</v>
      </c>
      <c r="EP25" s="72">
        <f t="shared" si="56"/>
        <v>1.4065561431808065</v>
      </c>
      <c r="EQ25" s="49">
        <v>657906</v>
      </c>
      <c r="ER25" s="51">
        <v>1070779</v>
      </c>
      <c r="ES25" s="52">
        <v>1741506</v>
      </c>
      <c r="ET25" s="68">
        <f t="shared" si="57"/>
        <v>0.37777992151620493</v>
      </c>
      <c r="EU25" s="68">
        <f t="shared" si="93"/>
        <v>0</v>
      </c>
      <c r="EV25" s="68">
        <f t="shared" si="58"/>
        <v>0.61485805963344364</v>
      </c>
      <c r="EW25" s="51">
        <v>205037</v>
      </c>
      <c r="EX25" s="51">
        <v>232461</v>
      </c>
      <c r="EY25" s="52">
        <v>469958</v>
      </c>
      <c r="EZ25" s="68">
        <f t="shared" si="59"/>
        <v>0.43628792360168356</v>
      </c>
      <c r="FA25" s="68">
        <f t="shared" si="60"/>
        <v>0.72151240032926423</v>
      </c>
      <c r="FB25" s="68">
        <f t="shared" si="61"/>
        <v>0.49464207439813773</v>
      </c>
      <c r="FC25" s="51">
        <v>523</v>
      </c>
      <c r="FD25" s="51">
        <v>129484</v>
      </c>
      <c r="FE25" s="52">
        <v>135457</v>
      </c>
      <c r="FF25" s="68">
        <f t="shared" si="62"/>
        <v>4.0391090791140217E-3</v>
      </c>
      <c r="FG25" s="68">
        <f t="shared" si="63"/>
        <v>6.3596847079498392E-2</v>
      </c>
      <c r="FH25" s="68">
        <f t="shared" si="94"/>
        <v>0.95590482588570547</v>
      </c>
      <c r="FI25" s="51">
        <v>141665</v>
      </c>
      <c r="FJ25" s="51">
        <v>283858</v>
      </c>
      <c r="FK25" s="52">
        <v>431746</v>
      </c>
      <c r="FL25" s="68">
        <f t="shared" si="88"/>
        <v>0.3281211638324385</v>
      </c>
      <c r="FM25" s="68">
        <f t="shared" si="64"/>
        <v>0.60994040648658432</v>
      </c>
      <c r="FN25" s="68">
        <f t="shared" si="65"/>
        <v>0.65746526893126978</v>
      </c>
      <c r="FO25" s="46">
        <f>EQ25+EW25+FC25+FI25</f>
        <v>1005131</v>
      </c>
      <c r="FP25" s="46">
        <f>ER25+EX25+FD25+FJ25</f>
        <v>1716582</v>
      </c>
      <c r="FQ25" s="48">
        <f t="shared" ref="FQ25" si="98">ES25+EY25+FE25+FK25</f>
        <v>2778667</v>
      </c>
      <c r="FR25" s="48">
        <v>2576000</v>
      </c>
      <c r="FS25" s="68">
        <f t="shared" si="66"/>
        <v>0.36173136255621852</v>
      </c>
      <c r="FT25" s="68">
        <f t="shared" si="67"/>
        <v>0.64530366767290759</v>
      </c>
      <c r="FU25" s="68">
        <f t="shared" si="96"/>
        <v>0.6177717589045395</v>
      </c>
      <c r="FV25" s="68">
        <f t="shared" si="68"/>
        <v>0.90428705504300222</v>
      </c>
      <c r="FW25" s="51">
        <v>0</v>
      </c>
      <c r="FX25" s="51">
        <v>106813</v>
      </c>
      <c r="FY25" s="52">
        <v>227660</v>
      </c>
      <c r="FZ25" s="48">
        <f t="shared" si="69"/>
        <v>0</v>
      </c>
      <c r="GA25" s="71">
        <f t="shared" si="70"/>
        <v>0.469177721163138</v>
      </c>
      <c r="GB25" s="68">
        <f t="shared" si="71"/>
        <v>0.75455633006234402</v>
      </c>
      <c r="GC25" s="51">
        <v>0</v>
      </c>
      <c r="GD25" s="51">
        <v>68373</v>
      </c>
      <c r="GE25" s="52">
        <v>79549</v>
      </c>
      <c r="GF25" s="48">
        <f t="shared" si="72"/>
        <v>0</v>
      </c>
      <c r="GG25" s="68">
        <f t="shared" si="73"/>
        <v>0</v>
      </c>
      <c r="GH25" s="71">
        <f t="shared" si="74"/>
        <v>0.85950797621591724</v>
      </c>
      <c r="GI25" s="68">
        <f t="shared" si="75"/>
        <v>1.186590848900049</v>
      </c>
      <c r="GJ25" s="51">
        <v>0</v>
      </c>
      <c r="GK25" s="51">
        <v>613471</v>
      </c>
      <c r="GL25" s="52">
        <v>631692</v>
      </c>
      <c r="GM25" s="71">
        <f t="shared" si="76"/>
        <v>0</v>
      </c>
      <c r="GN25" s="68">
        <f t="shared" si="77"/>
        <v>0</v>
      </c>
      <c r="GO25" s="71">
        <f t="shared" si="78"/>
        <v>0.97115524654420193</v>
      </c>
      <c r="GP25" s="68">
        <f t="shared" si="79"/>
        <v>1.4001316241612967</v>
      </c>
      <c r="GQ25" s="51">
        <v>8915</v>
      </c>
      <c r="GR25" s="51">
        <v>445232</v>
      </c>
      <c r="GS25" s="52">
        <v>457741</v>
      </c>
      <c r="GT25" s="71">
        <f t="shared" si="80"/>
        <v>1.9476079267533388E-2</v>
      </c>
      <c r="GU25" s="68">
        <f t="shared" si="81"/>
        <v>0.14001374403380995</v>
      </c>
      <c r="GV25" s="71">
        <f t="shared" si="82"/>
        <v>0.9726723190625266</v>
      </c>
      <c r="GW25" s="68">
        <f t="shared" si="83"/>
        <v>1.404723125632662</v>
      </c>
      <c r="GX25" s="40">
        <v>8915</v>
      </c>
      <c r="GY25" s="40">
        <v>1127076</v>
      </c>
      <c r="GZ25">
        <v>1168982</v>
      </c>
      <c r="HA25" s="126">
        <f t="shared" si="84"/>
        <v>7.6262936469509365E-3</v>
      </c>
      <c r="HB25" s="126">
        <f t="shared" si="85"/>
        <v>0.96415171491092244</v>
      </c>
      <c r="HC25" s="68">
        <f t="shared" si="86"/>
        <v>1.3803100142519615</v>
      </c>
    </row>
    <row r="26" spans="1:211" x14ac:dyDescent="0.2">
      <c r="A26">
        <v>1985</v>
      </c>
      <c r="B26" s="25">
        <v>802</v>
      </c>
      <c r="C26" s="1">
        <v>1287</v>
      </c>
      <c r="D26" s="1">
        <v>921</v>
      </c>
      <c r="E26" s="1">
        <v>1711</v>
      </c>
      <c r="F26" s="69">
        <f t="shared" si="87"/>
        <v>4721</v>
      </c>
      <c r="G26" s="23">
        <f t="shared" si="7"/>
        <v>4718.5</v>
      </c>
      <c r="H26" s="1">
        <v>968</v>
      </c>
      <c r="I26" s="1">
        <v>391</v>
      </c>
      <c r="J26" s="1">
        <v>198</v>
      </c>
      <c r="K26" s="1">
        <v>627</v>
      </c>
      <c r="L26" s="1">
        <v>136</v>
      </c>
      <c r="M26" s="1">
        <v>57</v>
      </c>
      <c r="N26" s="1">
        <v>142</v>
      </c>
      <c r="O26" s="1">
        <v>456</v>
      </c>
      <c r="P26" s="1">
        <v>278</v>
      </c>
      <c r="Q26" s="1">
        <v>111</v>
      </c>
      <c r="R26" s="1">
        <v>145</v>
      </c>
      <c r="S26" s="1">
        <v>133</v>
      </c>
      <c r="T26" s="69">
        <f t="shared" si="89"/>
        <v>667</v>
      </c>
      <c r="U26" s="1">
        <v>60</v>
      </c>
      <c r="V26" s="1">
        <v>99</v>
      </c>
      <c r="W26" s="1">
        <v>90</v>
      </c>
      <c r="X26" s="1">
        <v>94</v>
      </c>
      <c r="Y26" s="1">
        <v>159</v>
      </c>
      <c r="Z26" s="1"/>
      <c r="AA26" s="1"/>
      <c r="AB26" s="69"/>
      <c r="AC26" s="27">
        <v>8989.9</v>
      </c>
      <c r="AD26" s="13">
        <v>10733.1</v>
      </c>
      <c r="AE26" s="13">
        <v>9305.2999999999993</v>
      </c>
      <c r="AF26" s="13">
        <v>11832.4</v>
      </c>
      <c r="AG26" s="41">
        <f t="shared" si="91"/>
        <v>40860.699999999997</v>
      </c>
      <c r="AH26" s="27">
        <v>15165.1</v>
      </c>
      <c r="AI26" s="13">
        <v>46402.9</v>
      </c>
      <c r="AJ26" s="13">
        <v>25055.599999999999</v>
      </c>
      <c r="AK26" s="13">
        <v>20872.099999999999</v>
      </c>
      <c r="AL26" s="41">
        <f t="shared" si="92"/>
        <v>107495.70000000001</v>
      </c>
      <c r="AM26" s="32">
        <v>12284</v>
      </c>
      <c r="AN26" s="31">
        <v>178106</v>
      </c>
      <c r="AO26" s="35">
        <f>15754.5+937.6+565.9</f>
        <v>17258</v>
      </c>
      <c r="AP26" s="35">
        <f>11422.3+38+5740.4+35113.3+3452.8+54384.6+127.2+10188.9</f>
        <v>120467.49999999999</v>
      </c>
      <c r="AQ26" s="1">
        <v>486328</v>
      </c>
      <c r="AR26" s="30" t="e">
        <f>AZ26/#REF!</f>
        <v>#REF!</v>
      </c>
      <c r="AS26" s="74" t="e">
        <f>AY26/#REF!</f>
        <v>#REF!</v>
      </c>
      <c r="AT26" s="13">
        <f>precipitacion!P2</f>
        <v>657</v>
      </c>
      <c r="AU26" s="13">
        <f>precipitacion!O2</f>
        <v>2206</v>
      </c>
      <c r="AV26" s="13">
        <f>precipitacion!Q2</f>
        <v>158</v>
      </c>
      <c r="AW26" s="13">
        <f>precipitacion!R2</f>
        <v>1180</v>
      </c>
      <c r="AX26" s="13">
        <f>precipitacion!G2</f>
        <v>72</v>
      </c>
      <c r="AY26" s="13">
        <v>40860.699999999997</v>
      </c>
      <c r="AZ26" s="13">
        <v>107495.7</v>
      </c>
      <c r="BA26" s="49">
        <v>514000</v>
      </c>
      <c r="BB26" s="51">
        <v>233000</v>
      </c>
      <c r="BC26" s="52">
        <v>814000</v>
      </c>
      <c r="BD26" s="72">
        <f t="shared" si="8"/>
        <v>0.6314496314496314</v>
      </c>
      <c r="BE26" s="72">
        <f t="shared" si="9"/>
        <v>0.91841113638231786</v>
      </c>
      <c r="BF26" s="72">
        <f t="shared" si="10"/>
        <v>0.28624078624078625</v>
      </c>
      <c r="BG26" s="72">
        <f t="shared" si="11"/>
        <v>0.56452520980610243</v>
      </c>
      <c r="BH26" s="49">
        <v>566000</v>
      </c>
      <c r="BI26" s="51">
        <v>64000</v>
      </c>
      <c r="BJ26" s="52">
        <v>643000</v>
      </c>
      <c r="BK26" s="71">
        <f t="shared" si="12"/>
        <v>0.88024883359253503</v>
      </c>
      <c r="BL26" s="72">
        <f t="shared" si="13"/>
        <v>1.2174377587340481</v>
      </c>
      <c r="BM26" s="71">
        <f t="shared" si="14"/>
        <v>9.9533437013996889E-2</v>
      </c>
      <c r="BN26" s="72">
        <f t="shared" si="15"/>
        <v>0.32097214120289214</v>
      </c>
      <c r="BO26" s="51">
        <v>0</v>
      </c>
      <c r="BP26" s="51">
        <v>103000</v>
      </c>
      <c r="BQ26" s="52">
        <v>146000</v>
      </c>
      <c r="BR26" s="48">
        <f t="shared" si="16"/>
        <v>0</v>
      </c>
      <c r="BS26" s="71">
        <f t="shared" si="17"/>
        <v>0.70547945205479456</v>
      </c>
      <c r="BT26" s="72">
        <f t="shared" si="18"/>
        <v>0.99715098453799034</v>
      </c>
      <c r="BU26" s="51">
        <v>0</v>
      </c>
      <c r="BV26" s="51">
        <v>25000</v>
      </c>
      <c r="BW26" s="52">
        <v>81000</v>
      </c>
      <c r="BX26" s="48">
        <f t="shared" si="19"/>
        <v>0</v>
      </c>
      <c r="BY26" s="71">
        <f t="shared" si="20"/>
        <v>0.30864197530864196</v>
      </c>
      <c r="BZ26" s="72">
        <f t="shared" si="21"/>
        <v>0.58903097021627382</v>
      </c>
      <c r="CA26" s="51">
        <v>0</v>
      </c>
      <c r="CB26" s="51">
        <v>15000</v>
      </c>
      <c r="CC26" s="52">
        <v>50000</v>
      </c>
      <c r="CD26" s="48">
        <f t="shared" si="22"/>
        <v>0</v>
      </c>
      <c r="CE26" s="71">
        <f t="shared" si="23"/>
        <v>0.3</v>
      </c>
      <c r="CF26" s="72">
        <f t="shared" si="24"/>
        <v>0.57963974036370425</v>
      </c>
      <c r="CG26" s="51">
        <v>0</v>
      </c>
      <c r="CH26" s="51">
        <v>1000</v>
      </c>
      <c r="CI26" s="52">
        <v>13000</v>
      </c>
      <c r="CJ26" s="48">
        <f t="shared" si="25"/>
        <v>0</v>
      </c>
      <c r="CK26" s="71">
        <f t="shared" si="26"/>
        <v>7.6923076923076927E-2</v>
      </c>
      <c r="CL26" s="72">
        <f t="shared" si="27"/>
        <v>0.28103490150281357</v>
      </c>
      <c r="CM26" s="51">
        <v>0</v>
      </c>
      <c r="CN26" s="51">
        <v>207000</v>
      </c>
      <c r="CO26" s="52">
        <v>235000</v>
      </c>
      <c r="CP26" s="48">
        <f t="shared" si="28"/>
        <v>0</v>
      </c>
      <c r="CQ26" s="71">
        <f t="shared" si="29"/>
        <v>0.88085106382978728</v>
      </c>
      <c r="CR26" s="72">
        <f t="shared" si="30"/>
        <v>1.2183662176973662</v>
      </c>
      <c r="CS26" s="47">
        <v>0</v>
      </c>
      <c r="CT26" s="47">
        <v>75000</v>
      </c>
      <c r="CU26" s="48">
        <v>81000</v>
      </c>
      <c r="CV26" s="48">
        <f t="shared" si="31"/>
        <v>0</v>
      </c>
      <c r="CW26" s="72">
        <f t="shared" si="32"/>
        <v>0.92592592592592593</v>
      </c>
      <c r="CX26" s="72">
        <f t="shared" si="33"/>
        <v>1.2951535275786312</v>
      </c>
      <c r="CY26" s="51">
        <v>0</v>
      </c>
      <c r="CZ26" s="51">
        <v>10000</v>
      </c>
      <c r="DA26" s="52">
        <v>71000</v>
      </c>
      <c r="DB26" s="48">
        <f t="shared" si="34"/>
        <v>0</v>
      </c>
      <c r="DC26" s="71">
        <f t="shared" si="35"/>
        <v>0.14084507042253522</v>
      </c>
      <c r="DD26" s="72">
        <f t="shared" si="36"/>
        <v>0.38471319676926485</v>
      </c>
      <c r="DE26" s="47">
        <v>0</v>
      </c>
      <c r="DF26" s="47">
        <v>14000</v>
      </c>
      <c r="DG26" s="48">
        <v>31000</v>
      </c>
      <c r="DH26" s="48">
        <f t="shared" si="37"/>
        <v>0</v>
      </c>
      <c r="DI26" s="71">
        <f t="shared" si="38"/>
        <v>0.45161290322580644</v>
      </c>
      <c r="DJ26" s="72">
        <f t="shared" si="39"/>
        <v>0.73693522037744374</v>
      </c>
      <c r="DK26" s="47">
        <v>0</v>
      </c>
      <c r="DL26" s="47">
        <v>86000</v>
      </c>
      <c r="DM26" s="48">
        <v>94000</v>
      </c>
      <c r="DN26" s="48">
        <f t="shared" si="40"/>
        <v>0</v>
      </c>
      <c r="DO26" s="71">
        <f t="shared" si="41"/>
        <v>0.91489361702127658</v>
      </c>
      <c r="DP26" s="72">
        <f t="shared" si="42"/>
        <v>1.2747613283050552</v>
      </c>
      <c r="DQ26" s="51">
        <v>0</v>
      </c>
      <c r="DR26" s="51">
        <v>154000</v>
      </c>
      <c r="DS26" s="52">
        <v>173000</v>
      </c>
      <c r="DT26" s="71">
        <f t="shared" si="43"/>
        <v>0</v>
      </c>
      <c r="DU26" s="72">
        <f t="shared" si="44"/>
        <v>0</v>
      </c>
      <c r="DV26" s="71">
        <f t="shared" si="45"/>
        <v>0.89017341040462428</v>
      </c>
      <c r="DW26" s="72">
        <f t="shared" si="46"/>
        <v>1.233008278838513</v>
      </c>
      <c r="DX26" s="51">
        <v>10000</v>
      </c>
      <c r="DY26" s="51">
        <v>88000</v>
      </c>
      <c r="DZ26" s="52">
        <v>182000</v>
      </c>
      <c r="EA26" s="71">
        <f t="shared" si="47"/>
        <v>5.4945054945054944E-2</v>
      </c>
      <c r="EB26" s="72">
        <f t="shared" si="48"/>
        <v>0.23660504630380322</v>
      </c>
      <c r="EC26" s="71">
        <f t="shared" si="49"/>
        <v>0.48351648351648352</v>
      </c>
      <c r="ED26" s="72">
        <f t="shared" si="50"/>
        <v>0.76891165966903652</v>
      </c>
      <c r="EE26" s="51">
        <v>0</v>
      </c>
      <c r="EF26" s="51">
        <v>149000</v>
      </c>
      <c r="EG26" s="52">
        <v>160000</v>
      </c>
      <c r="EH26" s="48">
        <f t="shared" si="51"/>
        <v>0</v>
      </c>
      <c r="EI26" s="71">
        <f t="shared" si="52"/>
        <v>0.93125000000000002</v>
      </c>
      <c r="EJ26" s="72">
        <f t="shared" si="53"/>
        <v>1.3054927745821072</v>
      </c>
      <c r="EK26" s="51">
        <v>0</v>
      </c>
      <c r="EL26" s="51">
        <v>41000</v>
      </c>
      <c r="EM26" s="52">
        <v>41000</v>
      </c>
      <c r="EN26" s="48">
        <f t="shared" si="54"/>
        <v>0</v>
      </c>
      <c r="EO26" s="71">
        <f t="shared" si="55"/>
        <v>1</v>
      </c>
      <c r="EP26" s="72">
        <f t="shared" si="56"/>
        <v>1.5707963267948966</v>
      </c>
      <c r="EQ26" s="49">
        <v>606000</v>
      </c>
      <c r="ER26" s="51">
        <v>933000</v>
      </c>
      <c r="ES26" s="52">
        <v>1550000</v>
      </c>
      <c r="ET26" s="68">
        <f t="shared" si="57"/>
        <v>0.39096774193548389</v>
      </c>
      <c r="EU26" s="68">
        <f t="shared" si="93"/>
        <v>0</v>
      </c>
      <c r="EV26" s="68">
        <f t="shared" si="58"/>
        <v>0.60193548387096774</v>
      </c>
      <c r="EW26" s="51">
        <v>181000</v>
      </c>
      <c r="EX26" s="51">
        <v>364000</v>
      </c>
      <c r="EY26" s="52">
        <v>571000</v>
      </c>
      <c r="EZ26" s="68">
        <f t="shared" si="59"/>
        <v>0.31698774080560421</v>
      </c>
      <c r="FA26" s="68">
        <f t="shared" si="60"/>
        <v>0.59803142275275922</v>
      </c>
      <c r="FB26" s="68">
        <f t="shared" si="61"/>
        <v>0.63747810858143605</v>
      </c>
      <c r="FC26" s="51">
        <v>1000</v>
      </c>
      <c r="FD26" s="51">
        <v>192000</v>
      </c>
      <c r="FE26" s="52">
        <v>198000</v>
      </c>
      <c r="FF26" s="68">
        <f t="shared" si="62"/>
        <v>5.208333333333333E-3</v>
      </c>
      <c r="FG26" s="68">
        <f t="shared" si="63"/>
        <v>7.223157744686827E-2</v>
      </c>
      <c r="FH26" s="68">
        <f t="shared" si="94"/>
        <v>0.96969696969696972</v>
      </c>
      <c r="FI26" s="51">
        <v>121000</v>
      </c>
      <c r="FJ26" s="51">
        <v>203000</v>
      </c>
      <c r="FK26" s="52">
        <v>328000</v>
      </c>
      <c r="FL26" s="68">
        <f t="shared" si="88"/>
        <v>0.36890243902439024</v>
      </c>
      <c r="FM26" s="68">
        <f t="shared" si="64"/>
        <v>0.65275006086052079</v>
      </c>
      <c r="FN26" s="68">
        <f t="shared" si="65"/>
        <v>0.61890243902439024</v>
      </c>
      <c r="FO26" s="46">
        <f>EQ26+EW26+FC26+FI26</f>
        <v>909000</v>
      </c>
      <c r="FP26" s="46">
        <f>ER26+EX26+FD26+FJ26</f>
        <v>1692000</v>
      </c>
      <c r="FQ26" s="48">
        <f>ES26+EY26+FE26+FK26</f>
        <v>2647000</v>
      </c>
      <c r="FR26" s="48">
        <v>2778667</v>
      </c>
      <c r="FS26" s="68">
        <f t="shared" si="66"/>
        <v>0.34340763128069512</v>
      </c>
      <c r="FT26" s="68">
        <f t="shared" si="67"/>
        <v>0.62612584933082227</v>
      </c>
      <c r="FU26" s="68">
        <f t="shared" si="96"/>
        <v>0.63921420476010582</v>
      </c>
      <c r="FV26" s="68">
        <f t="shared" si="68"/>
        <v>0.92647687625226449</v>
      </c>
      <c r="FW26" s="51">
        <v>0</v>
      </c>
      <c r="FX26" s="51">
        <v>153000</v>
      </c>
      <c r="FY26" s="52">
        <v>294000</v>
      </c>
      <c r="FZ26" s="48">
        <f t="shared" si="69"/>
        <v>0</v>
      </c>
      <c r="GA26" s="71">
        <f t="shared" si="70"/>
        <v>0.52040816326530615</v>
      </c>
      <c r="GB26" s="68">
        <f t="shared" si="71"/>
        <v>0.80581199748830001</v>
      </c>
      <c r="GC26" s="51">
        <v>0</v>
      </c>
      <c r="GD26" s="51">
        <v>147000</v>
      </c>
      <c r="GE26" s="52">
        <v>168000</v>
      </c>
      <c r="GF26" s="48">
        <f t="shared" si="72"/>
        <v>0</v>
      </c>
      <c r="GG26" s="68">
        <f t="shared" si="73"/>
        <v>0</v>
      </c>
      <c r="GH26" s="71">
        <f t="shared" si="74"/>
        <v>0.875</v>
      </c>
      <c r="GI26" s="68">
        <f t="shared" si="75"/>
        <v>1.2094292028881888</v>
      </c>
      <c r="GJ26" s="51">
        <v>0</v>
      </c>
      <c r="GK26" s="51">
        <v>579000</v>
      </c>
      <c r="GL26" s="52">
        <v>596000</v>
      </c>
      <c r="GM26" s="71">
        <f t="shared" si="76"/>
        <v>0</v>
      </c>
      <c r="GN26" s="68">
        <f t="shared" si="77"/>
        <v>0</v>
      </c>
      <c r="GO26" s="71">
        <f t="shared" si="78"/>
        <v>0.97147651006711411</v>
      </c>
      <c r="GP26" s="68">
        <f t="shared" si="79"/>
        <v>1.4010939719880235</v>
      </c>
      <c r="GQ26" s="51">
        <v>19000</v>
      </c>
      <c r="GR26" s="51">
        <v>499000</v>
      </c>
      <c r="GS26" s="52">
        <v>519000</v>
      </c>
      <c r="GT26" s="71">
        <f t="shared" si="80"/>
        <v>3.6608863198458574E-2</v>
      </c>
      <c r="GU26" s="68">
        <f t="shared" si="81"/>
        <v>0.19252151220770228</v>
      </c>
      <c r="GV26" s="71">
        <f t="shared" si="82"/>
        <v>0.96146435452793833</v>
      </c>
      <c r="GW26" s="68">
        <f t="shared" si="83"/>
        <v>1.3732081777303455</v>
      </c>
      <c r="GX26" s="40">
        <v>19000</v>
      </c>
      <c r="GY26" s="40">
        <v>1225000</v>
      </c>
      <c r="GZ26">
        <v>1283000</v>
      </c>
      <c r="HA26" s="126">
        <f t="shared" si="84"/>
        <v>1.4809041309431021E-2</v>
      </c>
      <c r="HB26" s="126">
        <f t="shared" si="85"/>
        <v>0.95479345284489481</v>
      </c>
      <c r="HC26" s="68">
        <f t="shared" si="86"/>
        <v>1.3565425635092336</v>
      </c>
    </row>
    <row r="27" spans="1:211" x14ac:dyDescent="0.2">
      <c r="A27">
        <v>1986</v>
      </c>
      <c r="B27" s="25">
        <v>453</v>
      </c>
      <c r="C27" s="1">
        <v>382</v>
      </c>
      <c r="D27" s="1">
        <v>624</v>
      </c>
      <c r="E27" s="1">
        <v>911</v>
      </c>
      <c r="F27" s="69">
        <f t="shared" si="87"/>
        <v>2370</v>
      </c>
      <c r="G27" s="23">
        <f t="shared" si="7"/>
        <v>2367.5</v>
      </c>
      <c r="H27" s="1">
        <v>200</v>
      </c>
      <c r="I27" s="1">
        <v>113</v>
      </c>
      <c r="J27" s="1">
        <v>97</v>
      </c>
      <c r="K27" s="1">
        <v>341</v>
      </c>
      <c r="L27" s="1">
        <v>238</v>
      </c>
      <c r="M27" s="1">
        <v>51</v>
      </c>
      <c r="N27" s="1">
        <v>127</v>
      </c>
      <c r="O27" s="1">
        <v>288</v>
      </c>
      <c r="P27" s="1">
        <v>259</v>
      </c>
      <c r="Q27" s="1">
        <v>126</v>
      </c>
      <c r="R27" s="1">
        <v>105</v>
      </c>
      <c r="S27" s="1">
        <v>90</v>
      </c>
      <c r="T27" s="69">
        <f t="shared" si="89"/>
        <v>580</v>
      </c>
      <c r="U27" s="1">
        <v>29</v>
      </c>
      <c r="V27" s="1">
        <v>72</v>
      </c>
      <c r="W27" s="1">
        <v>93</v>
      </c>
      <c r="X27" s="1">
        <v>61</v>
      </c>
      <c r="Y27" s="1">
        <v>64</v>
      </c>
      <c r="Z27" s="1">
        <v>56</v>
      </c>
      <c r="AA27" s="1">
        <v>82</v>
      </c>
      <c r="AB27" s="69">
        <f t="shared" si="90"/>
        <v>202</v>
      </c>
      <c r="AC27" s="27">
        <v>2265.6999999999998</v>
      </c>
      <c r="AD27" s="13">
        <v>1428.9</v>
      </c>
      <c r="AE27" s="13">
        <v>6636</v>
      </c>
      <c r="AF27" s="13">
        <v>4172.5</v>
      </c>
      <c r="AG27" s="41">
        <f t="shared" si="91"/>
        <v>14503.1</v>
      </c>
      <c r="AH27" s="27">
        <v>4135.8</v>
      </c>
      <c r="AI27" s="13">
        <v>6129.5</v>
      </c>
      <c r="AJ27" s="13">
        <v>14081.4</v>
      </c>
      <c r="AK27" s="13">
        <v>6635</v>
      </c>
      <c r="AL27" s="41">
        <f t="shared" si="92"/>
        <v>30981.699999999997</v>
      </c>
      <c r="AM27" s="32">
        <v>7574</v>
      </c>
      <c r="AN27" s="31">
        <v>120989</v>
      </c>
      <c r="AO27" s="35">
        <f>4363.4+462.1+608.7</f>
        <v>5434.2</v>
      </c>
      <c r="AP27" s="35">
        <f>7408.9+2+3692.9+35553.4+2494.7+32661.2+51.5+1247.9</f>
        <v>83112.499999999985</v>
      </c>
      <c r="AQ27" s="1">
        <v>277513</v>
      </c>
      <c r="AR27" s="30" t="e">
        <f>AZ27/#REF!</f>
        <v>#REF!</v>
      </c>
      <c r="AS27" s="74" t="e">
        <f>AY27/#REF!</f>
        <v>#REF!</v>
      </c>
      <c r="AT27" s="13">
        <f>precipitacion!P3</f>
        <v>734</v>
      </c>
      <c r="AU27" s="13">
        <f>precipitacion!O3</f>
        <v>1807</v>
      </c>
      <c r="AV27" s="13">
        <f>precipitacion!Q3</f>
        <v>387</v>
      </c>
      <c r="AW27" s="13">
        <f>precipitacion!R3</f>
        <v>850</v>
      </c>
      <c r="AX27" s="13">
        <f>precipitacion!G3</f>
        <v>130</v>
      </c>
      <c r="AY27" s="13">
        <v>14503.1</v>
      </c>
      <c r="AZ27" s="13">
        <v>30981.7</v>
      </c>
      <c r="BA27" s="49">
        <v>479000</v>
      </c>
      <c r="BB27" s="51">
        <v>226000</v>
      </c>
      <c r="BC27" s="52">
        <v>779000</v>
      </c>
      <c r="BD27" s="72">
        <f t="shared" si="8"/>
        <v>0.61489088575096273</v>
      </c>
      <c r="BE27" s="72">
        <f t="shared" si="9"/>
        <v>0.90132488767974572</v>
      </c>
      <c r="BF27" s="72">
        <f t="shared" si="10"/>
        <v>0.29011553273427471</v>
      </c>
      <c r="BG27" s="72">
        <f t="shared" si="11"/>
        <v>0.56880280128105998</v>
      </c>
      <c r="BH27" s="49">
        <v>297000</v>
      </c>
      <c r="BI27" s="51">
        <v>77000</v>
      </c>
      <c r="BJ27" s="52">
        <v>383000</v>
      </c>
      <c r="BK27" s="71">
        <f t="shared" si="12"/>
        <v>0.77545691906005221</v>
      </c>
      <c r="BL27" s="72">
        <f t="shared" si="13"/>
        <v>1.0771275802726024</v>
      </c>
      <c r="BM27" s="71">
        <f t="shared" si="14"/>
        <v>0.20104438642297651</v>
      </c>
      <c r="BN27" s="72">
        <f t="shared" si="15"/>
        <v>0.46495181778876604</v>
      </c>
      <c r="BO27" s="51">
        <v>0</v>
      </c>
      <c r="BP27" s="51">
        <v>93000</v>
      </c>
      <c r="BQ27" s="52">
        <v>150000</v>
      </c>
      <c r="BR27" s="48">
        <f t="shared" si="16"/>
        <v>0</v>
      </c>
      <c r="BS27" s="71">
        <f t="shared" si="17"/>
        <v>0.62</v>
      </c>
      <c r="BT27" s="72">
        <f t="shared" si="18"/>
        <v>0.9065810889169299</v>
      </c>
      <c r="BU27" s="51">
        <v>0</v>
      </c>
      <c r="BV27" s="51">
        <v>14000</v>
      </c>
      <c r="BW27" s="52">
        <v>92000</v>
      </c>
      <c r="BX27" s="48">
        <f t="shared" si="19"/>
        <v>0</v>
      </c>
      <c r="BY27" s="71">
        <f t="shared" si="20"/>
        <v>0.15217391304347827</v>
      </c>
      <c r="BZ27" s="72">
        <f t="shared" si="21"/>
        <v>0.40073449163587521</v>
      </c>
      <c r="CA27" s="51">
        <v>0</v>
      </c>
      <c r="CB27" s="51">
        <v>4000</v>
      </c>
      <c r="CC27" s="52">
        <v>30000</v>
      </c>
      <c r="CD27" s="48">
        <f t="shared" si="22"/>
        <v>0</v>
      </c>
      <c r="CE27" s="71">
        <f t="shared" si="23"/>
        <v>0.13333333333333333</v>
      </c>
      <c r="CF27" s="72">
        <f t="shared" si="24"/>
        <v>0.37379217483451038</v>
      </c>
      <c r="CG27" s="51">
        <v>0</v>
      </c>
      <c r="CH27" s="51">
        <v>1000</v>
      </c>
      <c r="CI27" s="52">
        <v>14000</v>
      </c>
      <c r="CJ27" s="48">
        <f t="shared" si="25"/>
        <v>0</v>
      </c>
      <c r="CK27" s="71">
        <f t="shared" si="26"/>
        <v>7.1428571428571425E-2</v>
      </c>
      <c r="CL27" s="72">
        <f t="shared" si="27"/>
        <v>0.27054976297857292</v>
      </c>
      <c r="CM27" s="51">
        <v>0</v>
      </c>
      <c r="CN27" s="51">
        <v>209000</v>
      </c>
      <c r="CO27" s="52">
        <v>231000</v>
      </c>
      <c r="CP27" s="48">
        <f t="shared" si="28"/>
        <v>0</v>
      </c>
      <c r="CQ27" s="71">
        <f t="shared" si="29"/>
        <v>0.90476190476190477</v>
      </c>
      <c r="CR27" s="72">
        <f t="shared" si="30"/>
        <v>1.2570684403333012</v>
      </c>
      <c r="CS27" s="47">
        <v>0</v>
      </c>
      <c r="CT27" s="47">
        <v>79000</v>
      </c>
      <c r="CU27" s="48">
        <v>95000</v>
      </c>
      <c r="CV27" s="48">
        <f t="shared" si="31"/>
        <v>0</v>
      </c>
      <c r="CW27" s="72">
        <f t="shared" si="32"/>
        <v>0.83157894736842108</v>
      </c>
      <c r="CX27" s="72">
        <f t="shared" si="33"/>
        <v>1.1479131616534113</v>
      </c>
      <c r="CY27" s="51">
        <v>0</v>
      </c>
      <c r="CZ27" s="51">
        <v>9000</v>
      </c>
      <c r="DA27" s="52">
        <v>54000</v>
      </c>
      <c r="DB27" s="48">
        <f t="shared" si="34"/>
        <v>0</v>
      </c>
      <c r="DC27" s="71">
        <f t="shared" si="35"/>
        <v>0.16666666666666666</v>
      </c>
      <c r="DD27" s="72">
        <f t="shared" si="36"/>
        <v>0.42053433528396511</v>
      </c>
      <c r="DE27" s="47">
        <v>0</v>
      </c>
      <c r="DF27" s="47">
        <v>18000</v>
      </c>
      <c r="DG27" s="48">
        <v>42000</v>
      </c>
      <c r="DH27" s="48">
        <f t="shared" si="37"/>
        <v>0</v>
      </c>
      <c r="DI27" s="71">
        <f t="shared" si="38"/>
        <v>0.42857142857142855</v>
      </c>
      <c r="DJ27" s="72">
        <f t="shared" si="39"/>
        <v>0.71372437894476559</v>
      </c>
      <c r="DK27" s="47">
        <v>0</v>
      </c>
      <c r="DL27" s="47">
        <v>88000</v>
      </c>
      <c r="DM27" s="48">
        <v>119000</v>
      </c>
      <c r="DN27" s="48">
        <f t="shared" si="40"/>
        <v>0</v>
      </c>
      <c r="DO27" s="71">
        <f t="shared" si="41"/>
        <v>0.73949579831932777</v>
      </c>
      <c r="DP27" s="72">
        <f t="shared" si="42"/>
        <v>1.0351509596544763</v>
      </c>
      <c r="DQ27" s="51">
        <v>0</v>
      </c>
      <c r="DR27" s="51">
        <v>104000</v>
      </c>
      <c r="DS27" s="52">
        <v>117000</v>
      </c>
      <c r="DT27" s="71">
        <f t="shared" si="43"/>
        <v>0</v>
      </c>
      <c r="DU27" s="72">
        <f t="shared" si="44"/>
        <v>0</v>
      </c>
      <c r="DV27" s="71">
        <f t="shared" si="45"/>
        <v>0.88888888888888884</v>
      </c>
      <c r="DW27" s="72">
        <f t="shared" si="46"/>
        <v>1.2309594173407747</v>
      </c>
      <c r="DX27" s="51">
        <v>4000</v>
      </c>
      <c r="DY27" s="51">
        <v>88000</v>
      </c>
      <c r="DZ27" s="52">
        <v>164000</v>
      </c>
      <c r="EA27" s="71">
        <f t="shared" si="47"/>
        <v>2.4390243902439025E-2</v>
      </c>
      <c r="EB27" s="72">
        <f t="shared" si="48"/>
        <v>0.1568156853444008</v>
      </c>
      <c r="EC27" s="71">
        <f t="shared" si="49"/>
        <v>0.53658536585365857</v>
      </c>
      <c r="ED27" s="72">
        <f t="shared" si="50"/>
        <v>0.82201625422926028</v>
      </c>
      <c r="EE27" s="51">
        <v>0</v>
      </c>
      <c r="EF27" s="51">
        <v>123000</v>
      </c>
      <c r="EG27" s="52">
        <v>135000</v>
      </c>
      <c r="EH27" s="48">
        <f t="shared" si="51"/>
        <v>0</v>
      </c>
      <c r="EI27" s="71">
        <f t="shared" si="52"/>
        <v>0.91111111111111109</v>
      </c>
      <c r="EJ27" s="72">
        <f t="shared" si="53"/>
        <v>1.2680503751718923</v>
      </c>
      <c r="EK27" s="51">
        <v>0</v>
      </c>
      <c r="EL27" s="51">
        <v>46000</v>
      </c>
      <c r="EM27" s="52">
        <v>47000</v>
      </c>
      <c r="EN27" s="48">
        <f t="shared" si="54"/>
        <v>0</v>
      </c>
      <c r="EO27" s="71">
        <f t="shared" si="55"/>
        <v>0.97872340425531912</v>
      </c>
      <c r="EP27" s="72">
        <f t="shared" si="56"/>
        <v>1.4244090675006476</v>
      </c>
      <c r="EQ27" s="49">
        <v>399000</v>
      </c>
      <c r="ER27" s="51">
        <v>1087000</v>
      </c>
      <c r="ES27" s="52">
        <v>1502000</v>
      </c>
      <c r="ET27" s="68">
        <f t="shared" si="57"/>
        <v>0.26564580559254325</v>
      </c>
      <c r="EU27" s="68">
        <f t="shared" si="93"/>
        <v>0</v>
      </c>
      <c r="EV27" s="68">
        <f t="shared" si="58"/>
        <v>0.72370173102529956</v>
      </c>
      <c r="EW27" s="51">
        <v>176000</v>
      </c>
      <c r="EX27" s="51">
        <v>413000</v>
      </c>
      <c r="EY27" s="52">
        <v>616000</v>
      </c>
      <c r="EZ27" s="68">
        <f t="shared" si="59"/>
        <v>0.2857142857142857</v>
      </c>
      <c r="FA27" s="68">
        <f t="shared" si="60"/>
        <v>0.56394264136062888</v>
      </c>
      <c r="FB27" s="68">
        <f t="shared" si="61"/>
        <v>0.67045454545454541</v>
      </c>
      <c r="FC27" s="51">
        <v>2000</v>
      </c>
      <c r="FD27" s="51">
        <v>285000</v>
      </c>
      <c r="FE27" s="52">
        <v>292000</v>
      </c>
      <c r="FF27" s="68">
        <f t="shared" si="62"/>
        <v>7.0175438596491229E-3</v>
      </c>
      <c r="FG27" s="68">
        <f t="shared" si="63"/>
        <v>8.3869069882062205E-2</v>
      </c>
      <c r="FH27" s="68">
        <f t="shared" si="94"/>
        <v>0.97602739726027399</v>
      </c>
      <c r="FI27" s="51">
        <v>285000</v>
      </c>
      <c r="FJ27" s="51">
        <v>272000</v>
      </c>
      <c r="FK27" s="52">
        <v>564000</v>
      </c>
      <c r="FL27" s="68">
        <f t="shared" si="88"/>
        <v>0.50531914893617025</v>
      </c>
      <c r="FM27" s="68">
        <f t="shared" si="64"/>
        <v>0.7907174126697406</v>
      </c>
      <c r="FN27" s="68">
        <f t="shared" si="65"/>
        <v>0.48226950354609927</v>
      </c>
      <c r="FO27" s="46">
        <f>EQ27+EW27+FC27+FI27</f>
        <v>862000</v>
      </c>
      <c r="FP27" s="46">
        <f>ER27+EX27+FD27+FJ27</f>
        <v>2057000</v>
      </c>
      <c r="FQ27" s="48">
        <f>ES27+EY27+FE27+FK27</f>
        <v>2974000</v>
      </c>
      <c r="FR27" s="48">
        <v>2647000</v>
      </c>
      <c r="FS27" s="68">
        <f t="shared" si="66"/>
        <v>0.28984532616005382</v>
      </c>
      <c r="FT27" s="68">
        <f t="shared" si="67"/>
        <v>0.5685050549476186</v>
      </c>
      <c r="FU27" s="68">
        <f t="shared" si="96"/>
        <v>0.69166106254203097</v>
      </c>
      <c r="FV27" s="68">
        <f t="shared" si="68"/>
        <v>0.98209341178724929</v>
      </c>
      <c r="FW27" s="51">
        <v>0</v>
      </c>
      <c r="FX27" s="51">
        <v>167000</v>
      </c>
      <c r="FY27" s="52">
        <v>312000</v>
      </c>
      <c r="FZ27" s="48">
        <f t="shared" si="69"/>
        <v>0</v>
      </c>
      <c r="GA27" s="71">
        <f t="shared" si="70"/>
        <v>0.53525641025641024</v>
      </c>
      <c r="GB27" s="68">
        <f t="shared" si="71"/>
        <v>0.82068385536889343</v>
      </c>
      <c r="GC27" s="51">
        <v>0</v>
      </c>
      <c r="GD27" s="51">
        <v>146000</v>
      </c>
      <c r="GE27" s="52">
        <v>154000</v>
      </c>
      <c r="GF27" s="48">
        <f t="shared" si="72"/>
        <v>0</v>
      </c>
      <c r="GG27" s="68">
        <f t="shared" si="73"/>
        <v>0</v>
      </c>
      <c r="GH27" s="71">
        <f t="shared" si="74"/>
        <v>0.94805194805194803</v>
      </c>
      <c r="GI27" s="68">
        <f t="shared" si="75"/>
        <v>1.3408542216079089</v>
      </c>
      <c r="GJ27" s="51">
        <v>0</v>
      </c>
      <c r="GK27" s="51">
        <v>511000</v>
      </c>
      <c r="GL27" s="52">
        <v>527000</v>
      </c>
      <c r="GM27" s="71">
        <f t="shared" si="76"/>
        <v>0</v>
      </c>
      <c r="GN27" s="68">
        <f t="shared" si="77"/>
        <v>0</v>
      </c>
      <c r="GO27" s="71">
        <f t="shared" si="78"/>
        <v>0.96963946869070206</v>
      </c>
      <c r="GP27" s="68">
        <f t="shared" si="79"/>
        <v>1.3956596383076727</v>
      </c>
      <c r="GQ27" s="51">
        <v>15000</v>
      </c>
      <c r="GR27" s="51">
        <v>714000</v>
      </c>
      <c r="GS27" s="52">
        <v>733000</v>
      </c>
      <c r="GT27" s="71">
        <f t="shared" si="80"/>
        <v>2.0463847203274217E-2</v>
      </c>
      <c r="GU27" s="68">
        <f t="shared" si="81"/>
        <v>0.14354435102546859</v>
      </c>
      <c r="GV27" s="71">
        <f t="shared" si="82"/>
        <v>0.97407912687585263</v>
      </c>
      <c r="GW27" s="68">
        <f t="shared" si="83"/>
        <v>1.4090929385926543</v>
      </c>
      <c r="GX27" s="40">
        <v>15000</v>
      </c>
      <c r="GY27" s="40">
        <v>1371000</v>
      </c>
      <c r="GZ27">
        <v>1414000</v>
      </c>
      <c r="HA27" s="126">
        <f t="shared" si="84"/>
        <v>1.0608203677510608E-2</v>
      </c>
      <c r="HB27" s="126">
        <f t="shared" si="85"/>
        <v>0.96958981612446959</v>
      </c>
      <c r="HC27" s="68">
        <f t="shared" si="86"/>
        <v>1.395515001116018</v>
      </c>
    </row>
    <row r="28" spans="1:211" x14ac:dyDescent="0.2">
      <c r="A28">
        <v>1987</v>
      </c>
      <c r="B28" s="25">
        <v>1170</v>
      </c>
      <c r="C28" s="1">
        <v>484</v>
      </c>
      <c r="D28" s="1">
        <v>655</v>
      </c>
      <c r="E28" s="1">
        <v>1591</v>
      </c>
      <c r="F28" s="69">
        <f t="shared" si="87"/>
        <v>3900</v>
      </c>
      <c r="G28" s="23">
        <f t="shared" si="7"/>
        <v>3897.5</v>
      </c>
      <c r="H28" s="1">
        <v>305</v>
      </c>
      <c r="I28" s="1">
        <v>227</v>
      </c>
      <c r="J28" s="1">
        <v>85</v>
      </c>
      <c r="K28" s="1">
        <v>285</v>
      </c>
      <c r="L28" s="1">
        <v>76</v>
      </c>
      <c r="M28" s="1">
        <v>33</v>
      </c>
      <c r="N28" s="1">
        <v>94</v>
      </c>
      <c r="O28" s="1">
        <v>187</v>
      </c>
      <c r="P28" s="1">
        <v>170</v>
      </c>
      <c r="Q28" s="1">
        <v>44</v>
      </c>
      <c r="R28" s="1">
        <v>55</v>
      </c>
      <c r="S28" s="1">
        <v>69</v>
      </c>
      <c r="T28" s="69">
        <f t="shared" si="89"/>
        <v>338</v>
      </c>
      <c r="U28" s="1">
        <v>61</v>
      </c>
      <c r="V28" s="1">
        <v>44</v>
      </c>
      <c r="W28" s="1">
        <v>39</v>
      </c>
      <c r="X28" s="1">
        <v>27</v>
      </c>
      <c r="Y28" s="1">
        <v>48</v>
      </c>
      <c r="Z28" s="1">
        <v>95</v>
      </c>
      <c r="AA28" s="1"/>
      <c r="AB28" s="69"/>
      <c r="AC28" s="27">
        <v>7368.2</v>
      </c>
      <c r="AD28" s="13">
        <v>1892.4</v>
      </c>
      <c r="AE28" s="13">
        <v>5962.6</v>
      </c>
      <c r="AF28" s="13">
        <v>7390.9</v>
      </c>
      <c r="AG28" s="41">
        <f t="shared" si="91"/>
        <v>22614.1</v>
      </c>
      <c r="AH28" s="27">
        <v>16623.2</v>
      </c>
      <c r="AI28" s="13">
        <v>11418</v>
      </c>
      <c r="AJ28" s="13">
        <v>16980.5</v>
      </c>
      <c r="AK28" s="13">
        <v>15571.2</v>
      </c>
      <c r="AL28" s="41">
        <f t="shared" si="92"/>
        <v>60592.899999999994</v>
      </c>
      <c r="AM28" s="32">
        <v>8679</v>
      </c>
      <c r="AN28" s="31">
        <v>48893</v>
      </c>
      <c r="AO28" s="35">
        <f>8636.1+47.1+118.7</f>
        <v>8801.9000000000015</v>
      </c>
      <c r="AP28" s="35">
        <f>1458.4+5+1614+6097.1+1273+17129.8+0.2+2141.2</f>
        <v>29718.7</v>
      </c>
      <c r="AQ28" s="1">
        <v>145793</v>
      </c>
      <c r="AR28" s="30" t="e">
        <f>AZ28/#REF!</f>
        <v>#REF!</v>
      </c>
      <c r="AS28" s="74" t="e">
        <f>AY28/#REF!</f>
        <v>#REF!</v>
      </c>
      <c r="AT28" s="13">
        <f>precipitacion!P4</f>
        <v>769</v>
      </c>
      <c r="AU28" s="13">
        <f>precipitacion!O4</f>
        <v>2167</v>
      </c>
      <c r="AV28" s="13">
        <f>precipitacion!Q4</f>
        <v>404</v>
      </c>
      <c r="AW28" s="13">
        <f>precipitacion!R4</f>
        <v>772</v>
      </c>
      <c r="AX28" s="13">
        <f>precipitacion!G4</f>
        <v>6</v>
      </c>
      <c r="AY28" s="13">
        <v>22614.1</v>
      </c>
      <c r="AZ28" s="13">
        <v>60592.9</v>
      </c>
      <c r="BA28" s="49"/>
      <c r="BB28" s="19"/>
      <c r="BC28" s="50"/>
      <c r="BD28" s="72"/>
      <c r="BE28" s="72"/>
      <c r="BF28" s="72"/>
      <c r="BG28" s="72"/>
      <c r="BH28" s="49"/>
      <c r="BI28" s="19"/>
      <c r="BJ28" s="50"/>
      <c r="BK28" s="71"/>
      <c r="BL28" s="72"/>
      <c r="BM28" s="71"/>
      <c r="BN28" s="72"/>
      <c r="BO28" s="19"/>
      <c r="BP28" s="19"/>
      <c r="BQ28" s="50"/>
      <c r="BR28" s="48"/>
      <c r="BS28" s="71"/>
      <c r="BT28" s="72"/>
      <c r="BU28" s="19"/>
      <c r="BV28" s="19"/>
      <c r="BW28" s="50"/>
      <c r="BX28" s="48"/>
      <c r="BY28" s="71"/>
      <c r="BZ28" s="72"/>
      <c r="CA28" s="19"/>
      <c r="CB28" s="19"/>
      <c r="CC28" s="50"/>
      <c r="CD28" s="48"/>
      <c r="CE28" s="71"/>
      <c r="CF28" s="72"/>
      <c r="CG28" s="54"/>
      <c r="CH28" s="54"/>
      <c r="CI28" s="50"/>
      <c r="CJ28" s="48"/>
      <c r="CK28" s="71"/>
      <c r="CL28" s="72"/>
      <c r="CM28" s="54"/>
      <c r="CN28" s="54"/>
      <c r="CO28" s="50"/>
      <c r="CP28" s="48"/>
      <c r="CQ28" s="71"/>
      <c r="CR28" s="72"/>
      <c r="CS28" s="47"/>
      <c r="CT28" s="47"/>
      <c r="CU28" s="48"/>
      <c r="CV28" s="48"/>
      <c r="CW28" s="72"/>
      <c r="CX28" s="72"/>
      <c r="CY28" s="54"/>
      <c r="CZ28" s="54"/>
      <c r="DA28" s="50"/>
      <c r="DB28" s="48"/>
      <c r="DC28" s="71"/>
      <c r="DD28" s="72"/>
      <c r="DE28" s="47"/>
      <c r="DF28" s="47"/>
      <c r="DG28" s="48"/>
      <c r="DH28" s="48"/>
      <c r="DI28" s="71"/>
      <c r="DJ28" s="72"/>
      <c r="DK28" s="47"/>
      <c r="DL28" s="47"/>
      <c r="DM28" s="48"/>
      <c r="DN28" s="48"/>
      <c r="DO28" s="71"/>
      <c r="DP28" s="72"/>
      <c r="DQ28" s="19"/>
      <c r="DR28" s="19"/>
      <c r="DS28" s="50"/>
      <c r="DT28" s="71"/>
      <c r="DU28" s="72"/>
      <c r="DV28" s="71"/>
      <c r="DW28" s="72"/>
      <c r="DX28" s="19"/>
      <c r="DY28" s="19"/>
      <c r="DZ28" s="50"/>
      <c r="EA28" s="71"/>
      <c r="EB28" s="72"/>
      <c r="EC28" s="71"/>
      <c r="ED28" s="72"/>
      <c r="EE28" s="19"/>
      <c r="EF28" s="19"/>
      <c r="EG28" s="50"/>
      <c r="EH28" s="48"/>
      <c r="EI28" s="71"/>
      <c r="EJ28" s="72"/>
      <c r="EK28" s="19"/>
      <c r="EL28" s="19"/>
      <c r="EM28" s="50"/>
      <c r="EN28" s="48"/>
      <c r="EO28" s="71"/>
      <c r="EP28" s="72"/>
      <c r="EQ28" s="49"/>
      <c r="ER28" s="55"/>
      <c r="ES28" s="50"/>
      <c r="ET28" s="68"/>
      <c r="EU28" s="68"/>
      <c r="EV28" s="68"/>
      <c r="EW28" s="19"/>
      <c r="EX28" s="19"/>
      <c r="EY28" s="50"/>
      <c r="EZ28" s="68"/>
      <c r="FA28" s="68"/>
      <c r="FB28" s="68"/>
      <c r="FC28" s="19"/>
      <c r="FD28" s="19"/>
      <c r="FE28" s="50"/>
      <c r="FF28" s="68"/>
      <c r="FG28" s="68"/>
      <c r="FH28" s="68"/>
      <c r="FI28" s="19"/>
      <c r="FJ28" s="19"/>
      <c r="FK28" s="50"/>
      <c r="FL28" s="68"/>
      <c r="FM28" s="68"/>
      <c r="FN28" s="68"/>
      <c r="FO28" s="46"/>
      <c r="FP28" s="46"/>
      <c r="FQ28" s="48"/>
      <c r="FR28" s="48">
        <v>2974000</v>
      </c>
      <c r="FS28" s="68"/>
      <c r="FT28" s="68"/>
      <c r="FU28" s="68"/>
      <c r="FV28" s="68"/>
      <c r="FW28" s="19"/>
      <c r="FX28" s="19"/>
      <c r="FY28" s="50"/>
      <c r="FZ28" s="48"/>
      <c r="GA28" s="71"/>
      <c r="GB28" s="68"/>
      <c r="GC28" s="19"/>
      <c r="GD28" s="19"/>
      <c r="GE28" s="50"/>
      <c r="GF28" s="48"/>
      <c r="GG28" s="68"/>
      <c r="GH28" s="71"/>
      <c r="GI28" s="68"/>
      <c r="GJ28" s="19"/>
      <c r="GK28" s="19"/>
      <c r="GL28" s="50"/>
      <c r="GM28" s="71"/>
      <c r="GN28" s="68"/>
      <c r="GO28" s="71"/>
      <c r="GP28" s="68"/>
      <c r="GQ28" s="19"/>
      <c r="GR28" s="19"/>
      <c r="GS28" s="50"/>
      <c r="GT28" s="71"/>
      <c r="GU28" s="68"/>
      <c r="GV28" s="71"/>
      <c r="GW28" s="68"/>
      <c r="HA28" s="126"/>
      <c r="HB28" s="126"/>
      <c r="HC28" s="68"/>
    </row>
    <row r="29" spans="1:211" x14ac:dyDescent="0.2">
      <c r="A29">
        <v>1988</v>
      </c>
      <c r="B29" s="25">
        <v>858</v>
      </c>
      <c r="C29" s="1">
        <v>671</v>
      </c>
      <c r="D29" s="1">
        <v>880</v>
      </c>
      <c r="E29" s="1">
        <v>1486</v>
      </c>
      <c r="F29" s="69">
        <f t="shared" si="87"/>
        <v>3895</v>
      </c>
      <c r="G29" s="23">
        <f t="shared" si="7"/>
        <v>3892.5</v>
      </c>
      <c r="H29" s="1">
        <v>298</v>
      </c>
      <c r="I29" s="1">
        <v>234</v>
      </c>
      <c r="J29" s="1">
        <v>82</v>
      </c>
      <c r="K29" s="1">
        <v>558</v>
      </c>
      <c r="L29" s="1">
        <v>116</v>
      </c>
      <c r="M29" s="1">
        <v>33</v>
      </c>
      <c r="N29" s="1">
        <v>132</v>
      </c>
      <c r="O29" s="1">
        <v>327</v>
      </c>
      <c r="P29" s="1">
        <v>162</v>
      </c>
      <c r="Q29" s="1">
        <v>102</v>
      </c>
      <c r="R29" s="1">
        <v>79</v>
      </c>
      <c r="S29" s="1">
        <v>95</v>
      </c>
      <c r="T29" s="69">
        <f t="shared" si="89"/>
        <v>438</v>
      </c>
      <c r="U29" s="1">
        <v>64</v>
      </c>
      <c r="V29" s="1">
        <v>80</v>
      </c>
      <c r="W29" s="1">
        <v>52</v>
      </c>
      <c r="X29" s="1">
        <v>52</v>
      </c>
      <c r="Y29" s="1">
        <v>48</v>
      </c>
      <c r="Z29" s="1">
        <v>18</v>
      </c>
      <c r="AA29" s="1"/>
      <c r="AB29" s="69"/>
      <c r="AC29" s="27">
        <v>3136</v>
      </c>
      <c r="AD29" s="13">
        <v>2048.4</v>
      </c>
      <c r="AE29" s="13">
        <v>3442.3</v>
      </c>
      <c r="AF29" s="13">
        <v>4485.5</v>
      </c>
      <c r="AG29" s="41">
        <f t="shared" si="91"/>
        <v>13112.2</v>
      </c>
      <c r="AH29" s="27">
        <v>7662.1</v>
      </c>
      <c r="AI29" s="13">
        <v>8854</v>
      </c>
      <c r="AJ29" s="13">
        <v>12298.5</v>
      </c>
      <c r="AK29" s="13">
        <v>9974.7999999999993</v>
      </c>
      <c r="AL29" s="41">
        <f t="shared" si="92"/>
        <v>38789.399999999994</v>
      </c>
      <c r="AM29" s="32">
        <v>9595</v>
      </c>
      <c r="AN29" s="31">
        <v>36265</v>
      </c>
      <c r="AO29" s="35">
        <f>6058.2+117.3+19</f>
        <v>6194.5</v>
      </c>
      <c r="AP29" s="35">
        <f>2196.9+921.4+1738.2+754.7+12860.4+1090.6+1363.3</f>
        <v>20925.499999999996</v>
      </c>
      <c r="AQ29" s="1">
        <v>129989</v>
      </c>
      <c r="AR29" s="30" t="e">
        <f>AZ29/#REF!</f>
        <v>#REF!</v>
      </c>
      <c r="AS29" s="74" t="e">
        <f>AY29/#REF!</f>
        <v>#REF!</v>
      </c>
      <c r="AT29" s="13">
        <f>precipitacion!P5</f>
        <v>667</v>
      </c>
      <c r="AU29" s="13">
        <f>precipitacion!O5</f>
        <v>1741</v>
      </c>
      <c r="AV29" s="13">
        <f>precipitacion!Q5</f>
        <v>258</v>
      </c>
      <c r="AW29" s="13">
        <f>precipitacion!R5</f>
        <v>908</v>
      </c>
      <c r="AX29" s="13">
        <f>precipitacion!G5</f>
        <v>160</v>
      </c>
      <c r="AY29" s="13">
        <v>13122.2</v>
      </c>
      <c r="AZ29" s="13">
        <v>38589.4</v>
      </c>
      <c r="BA29" s="49">
        <v>491000</v>
      </c>
      <c r="BB29" s="51">
        <v>198000</v>
      </c>
      <c r="BC29" s="52">
        <v>812000</v>
      </c>
      <c r="BD29" s="72">
        <f t="shared" si="8"/>
        <v>0.60467980295566504</v>
      </c>
      <c r="BE29" s="72">
        <f t="shared" si="9"/>
        <v>0.89085816645052751</v>
      </c>
      <c r="BF29" s="72">
        <f t="shared" si="10"/>
        <v>0.24384236453201971</v>
      </c>
      <c r="BG29" s="72">
        <f t="shared" si="11"/>
        <v>0.51645887620188835</v>
      </c>
      <c r="BH29" s="49">
        <v>368000</v>
      </c>
      <c r="BI29" s="51">
        <v>76000</v>
      </c>
      <c r="BJ29" s="52">
        <v>455000</v>
      </c>
      <c r="BK29" s="71">
        <f t="shared" si="12"/>
        <v>0.8087912087912088</v>
      </c>
      <c r="BL29" s="72">
        <f t="shared" si="13"/>
        <v>1.1182307407460246</v>
      </c>
      <c r="BM29" s="71">
        <f t="shared" si="14"/>
        <v>0.16703296703296702</v>
      </c>
      <c r="BN29" s="72">
        <f t="shared" si="15"/>
        <v>0.42102556304504773</v>
      </c>
      <c r="BO29" s="51">
        <v>0</v>
      </c>
      <c r="BP29" s="51">
        <v>111000</v>
      </c>
      <c r="BQ29" s="52">
        <v>160000</v>
      </c>
      <c r="BR29" s="48">
        <f t="shared" si="16"/>
        <v>0</v>
      </c>
      <c r="BS29" s="71">
        <f t="shared" si="17"/>
        <v>0.69374999999999998</v>
      </c>
      <c r="BT29" s="72">
        <f t="shared" si="18"/>
        <v>0.98435724437725336</v>
      </c>
      <c r="BU29" s="51">
        <v>0</v>
      </c>
      <c r="BV29" s="51">
        <v>22000</v>
      </c>
      <c r="BW29" s="52">
        <v>88000</v>
      </c>
      <c r="BX29" s="48">
        <f t="shared" si="19"/>
        <v>0</v>
      </c>
      <c r="BY29" s="71">
        <f t="shared" si="20"/>
        <v>0.25</v>
      </c>
      <c r="BZ29" s="72">
        <f t="shared" si="21"/>
        <v>0.52359877559829893</v>
      </c>
      <c r="CA29" s="51">
        <v>0</v>
      </c>
      <c r="CB29" s="51">
        <v>12000</v>
      </c>
      <c r="CC29" s="52">
        <v>37000</v>
      </c>
      <c r="CD29" s="48">
        <f t="shared" si="22"/>
        <v>0</v>
      </c>
      <c r="CE29" s="71">
        <f t="shared" si="23"/>
        <v>0.32432432432432434</v>
      </c>
      <c r="CF29" s="72">
        <f t="shared" si="24"/>
        <v>0.60589111883924629</v>
      </c>
      <c r="CG29" s="51">
        <v>0</v>
      </c>
      <c r="CH29" s="51">
        <v>2000</v>
      </c>
      <c r="CI29" s="52">
        <v>21000</v>
      </c>
      <c r="CJ29" s="48">
        <f t="shared" si="25"/>
        <v>0</v>
      </c>
      <c r="CK29" s="71">
        <f t="shared" si="26"/>
        <v>9.5238095238095233E-2</v>
      </c>
      <c r="CL29" s="72">
        <f t="shared" si="27"/>
        <v>0.31372788646159538</v>
      </c>
      <c r="CM29" s="51">
        <v>0</v>
      </c>
      <c r="CN29" s="51">
        <v>195000</v>
      </c>
      <c r="CO29" s="52">
        <v>213000</v>
      </c>
      <c r="CP29" s="48">
        <f t="shared" si="28"/>
        <v>0</v>
      </c>
      <c r="CQ29" s="71">
        <f t="shared" si="29"/>
        <v>0.91549295774647887</v>
      </c>
      <c r="CR29" s="72">
        <f t="shared" si="30"/>
        <v>1.2758369830755847</v>
      </c>
      <c r="CS29" s="47">
        <v>0</v>
      </c>
      <c r="CT29" s="47">
        <v>81000</v>
      </c>
      <c r="CU29" s="48">
        <v>88000</v>
      </c>
      <c r="CV29" s="48">
        <f t="shared" si="31"/>
        <v>0</v>
      </c>
      <c r="CW29" s="72">
        <f t="shared" si="32"/>
        <v>0.92045454545454541</v>
      </c>
      <c r="CX29" s="72">
        <f t="shared" si="33"/>
        <v>1.2848786026859516</v>
      </c>
      <c r="CY29" s="51">
        <v>0</v>
      </c>
      <c r="CZ29" s="51">
        <v>12000</v>
      </c>
      <c r="DA29" s="52">
        <v>45000</v>
      </c>
      <c r="DB29" s="48">
        <f t="shared" si="34"/>
        <v>0</v>
      </c>
      <c r="DC29" s="71">
        <f t="shared" si="35"/>
        <v>0.26666666666666666</v>
      </c>
      <c r="DD29" s="72">
        <f t="shared" si="36"/>
        <v>0.54263910224965262</v>
      </c>
      <c r="DE29" s="47">
        <v>0</v>
      </c>
      <c r="DF29" s="47">
        <v>5000</v>
      </c>
      <c r="DG29" s="48">
        <v>29000</v>
      </c>
      <c r="DH29" s="48">
        <f t="shared" si="37"/>
        <v>0</v>
      </c>
      <c r="DI29" s="71">
        <f t="shared" si="38"/>
        <v>0.17241379310344829</v>
      </c>
      <c r="DJ29" s="72">
        <f t="shared" si="39"/>
        <v>0.42819275558194081</v>
      </c>
      <c r="DK29" s="47">
        <v>0</v>
      </c>
      <c r="DL29" s="47">
        <v>36000</v>
      </c>
      <c r="DM29" s="48">
        <v>51000</v>
      </c>
      <c r="DN29" s="48">
        <f t="shared" si="40"/>
        <v>0</v>
      </c>
      <c r="DO29" s="71">
        <f t="shared" si="41"/>
        <v>0.70588235294117652</v>
      </c>
      <c r="DP29" s="72">
        <f t="shared" si="42"/>
        <v>0.99759301769404163</v>
      </c>
      <c r="DQ29" s="51">
        <v>0</v>
      </c>
      <c r="DR29" s="51">
        <v>114000</v>
      </c>
      <c r="DS29" s="52">
        <v>125000</v>
      </c>
      <c r="DT29" s="71">
        <f t="shared" si="43"/>
        <v>0</v>
      </c>
      <c r="DU29" s="72">
        <f t="shared" si="44"/>
        <v>0</v>
      </c>
      <c r="DV29" s="71">
        <f t="shared" si="45"/>
        <v>0.91200000000000003</v>
      </c>
      <c r="DW29" s="72">
        <f t="shared" si="46"/>
        <v>1.2696156547773052</v>
      </c>
      <c r="DX29" s="51">
        <v>12000</v>
      </c>
      <c r="DY29" s="51">
        <v>88000</v>
      </c>
      <c r="DZ29" s="52">
        <v>174000</v>
      </c>
      <c r="EA29" s="71">
        <f t="shared" si="47"/>
        <v>6.8965517241379309E-2</v>
      </c>
      <c r="EB29" s="72">
        <f t="shared" si="48"/>
        <v>0.26572911896942542</v>
      </c>
      <c r="EC29" s="71">
        <f t="shared" si="49"/>
        <v>0.50574712643678166</v>
      </c>
      <c r="ED29" s="72">
        <f t="shared" si="50"/>
        <v>0.79114541639141833</v>
      </c>
      <c r="EE29" s="51">
        <v>0</v>
      </c>
      <c r="EF29" s="51">
        <v>108000</v>
      </c>
      <c r="EG29" s="52">
        <v>118000</v>
      </c>
      <c r="EH29" s="48">
        <f t="shared" si="51"/>
        <v>0</v>
      </c>
      <c r="EI29" s="71">
        <f t="shared" si="52"/>
        <v>0.9152542372881356</v>
      </c>
      <c r="EJ29" s="72">
        <f t="shared" si="53"/>
        <v>1.2754081309018046</v>
      </c>
      <c r="EK29" s="51">
        <v>0</v>
      </c>
      <c r="EL29" s="51">
        <v>37000</v>
      </c>
      <c r="EM29" s="52">
        <v>38000</v>
      </c>
      <c r="EN29" s="48">
        <f t="shared" si="54"/>
        <v>0</v>
      </c>
      <c r="EO29" s="71">
        <f t="shared" si="55"/>
        <v>0.97368421052631582</v>
      </c>
      <c r="EP29" s="72">
        <f t="shared" si="56"/>
        <v>1.4078548481843773</v>
      </c>
      <c r="EQ29" s="49">
        <v>466000</v>
      </c>
      <c r="ER29" s="51">
        <v>1177000</v>
      </c>
      <c r="ES29" s="52">
        <v>1657000</v>
      </c>
      <c r="ET29" s="68">
        <f t="shared" si="57"/>
        <v>0.28123114061557031</v>
      </c>
      <c r="EU29" s="68">
        <f t="shared" ref="EU29:EU37" si="99">ASIN(SQRT(CP29))</f>
        <v>0</v>
      </c>
      <c r="EV29" s="68">
        <f t="shared" si="58"/>
        <v>0.71031985515992757</v>
      </c>
      <c r="EW29" s="51">
        <v>314000</v>
      </c>
      <c r="EX29" s="51">
        <v>455000</v>
      </c>
      <c r="EY29" s="52">
        <v>817000</v>
      </c>
      <c r="EZ29" s="68">
        <f t="shared" si="59"/>
        <v>0.3843329253365973</v>
      </c>
      <c r="FA29" s="68">
        <f t="shared" si="60"/>
        <v>0.66867375949586028</v>
      </c>
      <c r="FB29" s="68">
        <f t="shared" si="61"/>
        <v>0.55691554467564264</v>
      </c>
      <c r="FC29" s="51">
        <v>1000</v>
      </c>
      <c r="FD29" s="51">
        <v>174000</v>
      </c>
      <c r="FE29" s="52">
        <v>187000</v>
      </c>
      <c r="FF29" s="68">
        <f t="shared" si="62"/>
        <v>5.7471264367816091E-3</v>
      </c>
      <c r="FG29" s="68">
        <f t="shared" si="63"/>
        <v>7.5882607554761949E-2</v>
      </c>
      <c r="FH29" s="68">
        <f t="shared" ref="FH29:FH37" si="100">FD29/FE29</f>
        <v>0.93048128342245995</v>
      </c>
      <c r="FI29" s="51">
        <v>300000</v>
      </c>
      <c r="FJ29" s="51">
        <v>328000</v>
      </c>
      <c r="FK29" s="52">
        <v>638000</v>
      </c>
      <c r="FL29" s="68">
        <f t="shared" si="88"/>
        <v>0.47021943573667713</v>
      </c>
      <c r="FM29" s="68">
        <f t="shared" si="64"/>
        <v>0.75559996306784394</v>
      </c>
      <c r="FN29" s="68">
        <f t="shared" si="65"/>
        <v>0.51410658307210033</v>
      </c>
      <c r="FO29" s="46">
        <f t="shared" ref="FO29:FO37" si="101">EQ29+EW29+FC29+FI29</f>
        <v>1081000</v>
      </c>
      <c r="FP29" s="46">
        <f t="shared" ref="FP29:FP37" si="102">ER29+EX29+FD29+FJ29</f>
        <v>2134000</v>
      </c>
      <c r="FQ29" s="48">
        <f t="shared" ref="FQ29:FQ37" si="103">ES29+EY29+FE29+FK29</f>
        <v>3299000</v>
      </c>
      <c r="FR29" s="48"/>
      <c r="FS29" s="68">
        <f t="shared" si="66"/>
        <v>0.32767505304637767</v>
      </c>
      <c r="FT29" s="68">
        <f t="shared" si="67"/>
        <v>0.60946526195375805</v>
      </c>
      <c r="FU29" s="68">
        <f t="shared" ref="FU29:FU37" si="104">FP29/FQ29</f>
        <v>0.64686268566232197</v>
      </c>
      <c r="FV29" s="68">
        <f t="shared" si="68"/>
        <v>0.93445906227065934</v>
      </c>
      <c r="FW29" s="51">
        <v>0</v>
      </c>
      <c r="FX29" s="51">
        <v>155000</v>
      </c>
      <c r="FY29" s="52">
        <v>278000</v>
      </c>
      <c r="FZ29" s="48">
        <f t="shared" si="69"/>
        <v>0</v>
      </c>
      <c r="GA29" s="71">
        <f t="shared" si="70"/>
        <v>0.55755395683453235</v>
      </c>
      <c r="GB29" s="68">
        <f t="shared" si="71"/>
        <v>0.84307998077537127</v>
      </c>
      <c r="GC29" s="51">
        <v>0</v>
      </c>
      <c r="GD29" s="51">
        <v>148000</v>
      </c>
      <c r="GE29" s="52">
        <v>153000</v>
      </c>
      <c r="GF29" s="48">
        <f t="shared" si="72"/>
        <v>0</v>
      </c>
      <c r="GG29" s="68">
        <f t="shared" si="73"/>
        <v>0</v>
      </c>
      <c r="GH29" s="71">
        <f t="shared" si="74"/>
        <v>0.9673202614379085</v>
      </c>
      <c r="GI29" s="68">
        <f t="shared" si="75"/>
        <v>1.3890215621937616</v>
      </c>
      <c r="GJ29" s="51">
        <v>0</v>
      </c>
      <c r="GK29" s="51">
        <v>642000</v>
      </c>
      <c r="GL29" s="52">
        <v>665000</v>
      </c>
      <c r="GM29" s="71">
        <f t="shared" si="76"/>
        <v>0</v>
      </c>
      <c r="GN29" s="68">
        <f t="shared" si="77"/>
        <v>0</v>
      </c>
      <c r="GO29" s="71">
        <f t="shared" si="78"/>
        <v>0.9654135338345865</v>
      </c>
      <c r="GP29" s="68">
        <f t="shared" si="79"/>
        <v>1.3837328876264261</v>
      </c>
      <c r="GQ29" s="51">
        <v>13000</v>
      </c>
      <c r="GR29" s="51">
        <v>787000</v>
      </c>
      <c r="GS29" s="52">
        <v>802000</v>
      </c>
      <c r="GT29" s="71">
        <f t="shared" si="80"/>
        <v>1.6209476309226933E-2</v>
      </c>
      <c r="GU29" s="68">
        <f t="shared" si="81"/>
        <v>0.12766293048322919</v>
      </c>
      <c r="GV29" s="71">
        <f t="shared" si="82"/>
        <v>0.98129675810473815</v>
      </c>
      <c r="GW29" s="68">
        <f t="shared" si="83"/>
        <v>1.433606593392551</v>
      </c>
      <c r="GX29" s="40">
        <v>13000</v>
      </c>
      <c r="GY29" s="40">
        <v>1577000</v>
      </c>
      <c r="GZ29">
        <v>1620000</v>
      </c>
      <c r="HA29" s="126">
        <f t="shared" si="84"/>
        <v>8.024691358024692E-3</v>
      </c>
      <c r="HB29" s="126">
        <f t="shared" si="85"/>
        <v>0.97345679012345676</v>
      </c>
      <c r="HC29" s="68">
        <f t="shared" si="86"/>
        <v>1.4071459689697847</v>
      </c>
    </row>
    <row r="30" spans="1:211" x14ac:dyDescent="0.2">
      <c r="A30">
        <v>1989</v>
      </c>
      <c r="B30" s="25">
        <v>2111</v>
      </c>
      <c r="C30" s="1">
        <v>1461</v>
      </c>
      <c r="D30" s="1">
        <v>1615</v>
      </c>
      <c r="E30" s="1">
        <v>3056</v>
      </c>
      <c r="F30" s="69">
        <f t="shared" si="87"/>
        <v>8243</v>
      </c>
      <c r="G30" s="23">
        <f t="shared" si="7"/>
        <v>8240.5</v>
      </c>
      <c r="H30" s="1">
        <v>1573</v>
      </c>
      <c r="I30" s="1">
        <v>1227</v>
      </c>
      <c r="J30" s="1">
        <v>315</v>
      </c>
      <c r="K30" s="1">
        <v>1075</v>
      </c>
      <c r="L30" s="1">
        <v>323</v>
      </c>
      <c r="M30" s="1">
        <v>80</v>
      </c>
      <c r="N30" s="1">
        <v>96</v>
      </c>
      <c r="O30" s="1">
        <v>691</v>
      </c>
      <c r="P30" s="1">
        <v>172</v>
      </c>
      <c r="Q30" s="1">
        <v>91</v>
      </c>
      <c r="R30" s="1">
        <v>110</v>
      </c>
      <c r="S30" s="1">
        <v>79</v>
      </c>
      <c r="T30" s="69">
        <f t="shared" si="89"/>
        <v>452</v>
      </c>
      <c r="U30" s="1">
        <v>137</v>
      </c>
      <c r="V30" s="1">
        <v>88</v>
      </c>
      <c r="W30" s="1">
        <v>540</v>
      </c>
      <c r="X30" s="1">
        <v>142</v>
      </c>
      <c r="Y30" s="1">
        <v>178</v>
      </c>
      <c r="Z30" s="1">
        <v>273</v>
      </c>
      <c r="AA30" s="1">
        <v>858</v>
      </c>
      <c r="AB30" s="69">
        <f t="shared" si="90"/>
        <v>1309</v>
      </c>
      <c r="AC30" s="27">
        <v>30647.8</v>
      </c>
      <c r="AD30" s="13">
        <v>14244.9</v>
      </c>
      <c r="AE30" s="13">
        <v>13090</v>
      </c>
      <c r="AF30" s="13">
        <v>27126</v>
      </c>
      <c r="AG30" s="41">
        <f t="shared" si="91"/>
        <v>85108.7</v>
      </c>
      <c r="AH30" s="27">
        <v>60829.599999999999</v>
      </c>
      <c r="AI30" s="13">
        <v>44340.7</v>
      </c>
      <c r="AJ30" s="13">
        <v>43110</v>
      </c>
      <c r="AK30" s="13">
        <v>50362.8</v>
      </c>
      <c r="AL30" s="41">
        <f t="shared" si="92"/>
        <v>198643.09999999998</v>
      </c>
      <c r="AM30" s="32">
        <v>20384</v>
      </c>
      <c r="AN30" s="31">
        <v>173765</v>
      </c>
      <c r="AO30" s="35">
        <f>38861.6+1745.5+1951.6</f>
        <v>42558.7</v>
      </c>
      <c r="AP30" s="35">
        <f>6554.3+51.1+1736.5+2337.2+1193+58829.8+248.5+9993.4</f>
        <v>80943.8</v>
      </c>
      <c r="AQ30" s="1">
        <v>410181</v>
      </c>
      <c r="AR30" s="30" t="e">
        <f>AZ30/#REF!</f>
        <v>#REF!</v>
      </c>
      <c r="AS30" s="74" t="e">
        <f>AY30/#REF!</f>
        <v>#REF!</v>
      </c>
      <c r="AT30" s="13">
        <f>precipitacion!P6</f>
        <v>371</v>
      </c>
      <c r="AU30" s="13">
        <f>precipitacion!O6</f>
        <v>1560</v>
      </c>
      <c r="AV30" s="13">
        <f>precipitacion!Q6</f>
        <v>71</v>
      </c>
      <c r="AW30" s="13">
        <f>precipitacion!R6</f>
        <v>465</v>
      </c>
      <c r="AX30" s="13">
        <f>precipitacion!G6</f>
        <v>48</v>
      </c>
      <c r="AY30" s="13">
        <v>35627.5</v>
      </c>
      <c r="AZ30" s="13">
        <v>71751.5</v>
      </c>
      <c r="BA30" s="49">
        <v>390600</v>
      </c>
      <c r="BB30" s="51">
        <v>327476</v>
      </c>
      <c r="BC30" s="52">
        <v>838914</v>
      </c>
      <c r="BD30" s="72">
        <f t="shared" si="8"/>
        <v>0.4656019568155973</v>
      </c>
      <c r="BE30" s="72">
        <f t="shared" si="9"/>
        <v>0.75097292850171948</v>
      </c>
      <c r="BF30" s="72">
        <f t="shared" si="10"/>
        <v>0.39035705686160915</v>
      </c>
      <c r="BG30" s="72">
        <f t="shared" si="11"/>
        <v>0.67485692248117257</v>
      </c>
      <c r="BH30" s="49">
        <v>149488</v>
      </c>
      <c r="BI30" s="51">
        <v>96037</v>
      </c>
      <c r="BJ30" s="52">
        <v>249240</v>
      </c>
      <c r="BK30" s="71">
        <f t="shared" si="12"/>
        <v>0.59977531696356923</v>
      </c>
      <c r="BL30" s="72">
        <f t="shared" si="13"/>
        <v>0.88584781835382631</v>
      </c>
      <c r="BM30" s="71">
        <f t="shared" si="14"/>
        <v>0.38531937088749801</v>
      </c>
      <c r="BN30" s="72">
        <f t="shared" si="15"/>
        <v>0.66968746543048552</v>
      </c>
      <c r="BO30" s="51">
        <v>0</v>
      </c>
      <c r="BP30" s="51">
        <v>104899</v>
      </c>
      <c r="BQ30" s="52">
        <v>146731</v>
      </c>
      <c r="BR30" s="48">
        <f t="shared" si="16"/>
        <v>0</v>
      </c>
      <c r="BS30" s="71">
        <f t="shared" si="17"/>
        <v>0.71490687039548562</v>
      </c>
      <c r="BT30" s="72">
        <f t="shared" si="18"/>
        <v>1.0075414038253721</v>
      </c>
      <c r="BU30" s="51">
        <v>0</v>
      </c>
      <c r="BV30" s="51">
        <v>15805</v>
      </c>
      <c r="BW30" s="52">
        <v>44155</v>
      </c>
      <c r="BX30" s="48">
        <f t="shared" si="19"/>
        <v>0</v>
      </c>
      <c r="BY30" s="71">
        <f t="shared" si="20"/>
        <v>0.3579436077454422</v>
      </c>
      <c r="BZ30" s="72">
        <f t="shared" si="21"/>
        <v>0.64135768697357087</v>
      </c>
      <c r="CA30" s="51">
        <v>0</v>
      </c>
      <c r="CB30" s="51">
        <v>5099</v>
      </c>
      <c r="CC30" s="52">
        <v>23003</v>
      </c>
      <c r="CD30" s="48">
        <f t="shared" si="22"/>
        <v>0</v>
      </c>
      <c r="CE30" s="71">
        <f t="shared" si="23"/>
        <v>0.22166673912098422</v>
      </c>
      <c r="CF30" s="72">
        <f t="shared" si="24"/>
        <v>0.49021431365303647</v>
      </c>
      <c r="CG30" s="51">
        <v>0</v>
      </c>
      <c r="CH30" s="51">
        <v>6616</v>
      </c>
      <c r="CI30" s="52">
        <v>14574</v>
      </c>
      <c r="CJ30" s="48">
        <f t="shared" si="25"/>
        <v>0</v>
      </c>
      <c r="CK30" s="71">
        <f t="shared" si="26"/>
        <v>0.45395910525593525</v>
      </c>
      <c r="CL30" s="72">
        <f t="shared" si="27"/>
        <v>0.73929195524986391</v>
      </c>
      <c r="CM30" s="51">
        <v>0</v>
      </c>
      <c r="CN30" s="51">
        <v>231246</v>
      </c>
      <c r="CO30" s="52">
        <v>268403</v>
      </c>
      <c r="CP30" s="48">
        <f t="shared" si="28"/>
        <v>0</v>
      </c>
      <c r="CQ30" s="71">
        <f t="shared" si="29"/>
        <v>0.86156265019392486</v>
      </c>
      <c r="CR30" s="72">
        <f t="shared" si="30"/>
        <v>1.1895563572661541</v>
      </c>
      <c r="CS30" s="47">
        <v>0</v>
      </c>
      <c r="CT30" s="47">
        <v>61179</v>
      </c>
      <c r="CU30" s="48">
        <v>67565</v>
      </c>
      <c r="CV30" s="48">
        <f t="shared" si="31"/>
        <v>0</v>
      </c>
      <c r="CW30" s="72">
        <f t="shared" si="32"/>
        <v>0.90548360837711828</v>
      </c>
      <c r="CX30" s="72">
        <f t="shared" si="33"/>
        <v>1.2582998281519293</v>
      </c>
      <c r="CY30" s="51">
        <v>0</v>
      </c>
      <c r="CZ30" s="51">
        <v>17101</v>
      </c>
      <c r="DA30" s="52">
        <v>54974</v>
      </c>
      <c r="DB30" s="48">
        <f t="shared" si="34"/>
        <v>0</v>
      </c>
      <c r="DC30" s="71">
        <f t="shared" si="35"/>
        <v>0.31107432604503948</v>
      </c>
      <c r="DD30" s="72">
        <f t="shared" si="36"/>
        <v>0.5916609130825391</v>
      </c>
      <c r="DE30" s="47">
        <v>0</v>
      </c>
      <c r="DF30" s="47">
        <v>10165</v>
      </c>
      <c r="DG30" s="48">
        <v>36796</v>
      </c>
      <c r="DH30" s="48">
        <f t="shared" si="37"/>
        <v>0</v>
      </c>
      <c r="DI30" s="71">
        <f t="shared" si="38"/>
        <v>0.27625285357104035</v>
      </c>
      <c r="DJ30" s="72">
        <f t="shared" si="39"/>
        <v>0.55341743198806514</v>
      </c>
      <c r="DK30" s="47">
        <v>0</v>
      </c>
      <c r="DL30" s="47">
        <v>94425</v>
      </c>
      <c r="DM30" s="48">
        <v>108204</v>
      </c>
      <c r="DN30" s="48">
        <f t="shared" si="40"/>
        <v>0</v>
      </c>
      <c r="DO30" s="71">
        <f t="shared" si="41"/>
        <v>0.87265720306088501</v>
      </c>
      <c r="DP30" s="72">
        <f t="shared" si="42"/>
        <v>1.205901309985324</v>
      </c>
      <c r="DQ30" s="51">
        <v>15</v>
      </c>
      <c r="DR30" s="51">
        <v>150333</v>
      </c>
      <c r="DS30" s="52">
        <v>162021</v>
      </c>
      <c r="DT30" s="71">
        <f t="shared" si="43"/>
        <v>9.2580591404817897E-5</v>
      </c>
      <c r="DU30" s="72">
        <f t="shared" si="44"/>
        <v>9.622029339032322E-3</v>
      </c>
      <c r="DV30" s="71">
        <f t="shared" si="45"/>
        <v>0.92786120317736587</v>
      </c>
      <c r="DW30" s="72">
        <f t="shared" si="46"/>
        <v>1.2988708439846501</v>
      </c>
      <c r="DX30" s="51">
        <v>3426</v>
      </c>
      <c r="DY30" s="51">
        <v>100971</v>
      </c>
      <c r="DZ30" s="52">
        <v>183920</v>
      </c>
      <c r="EA30" s="71">
        <f t="shared" si="47"/>
        <v>1.862766420182688E-2</v>
      </c>
      <c r="EB30" s="72">
        <f t="shared" si="48"/>
        <v>0.13691052013820479</v>
      </c>
      <c r="EC30" s="71">
        <f t="shared" si="49"/>
        <v>0.54899412788168767</v>
      </c>
      <c r="ED30" s="72">
        <f t="shared" si="50"/>
        <v>0.83447103646740461</v>
      </c>
      <c r="EE30" s="51">
        <v>0</v>
      </c>
      <c r="EF30" s="51">
        <v>129053</v>
      </c>
      <c r="EG30" s="52">
        <v>141477</v>
      </c>
      <c r="EH30" s="48">
        <f t="shared" si="51"/>
        <v>0</v>
      </c>
      <c r="EI30" s="71">
        <f t="shared" si="52"/>
        <v>0.91218360581578628</v>
      </c>
      <c r="EJ30" s="72">
        <f t="shared" si="53"/>
        <v>1.2699398618843138</v>
      </c>
      <c r="EK30" s="51">
        <v>0</v>
      </c>
      <c r="EL30" s="51">
        <v>37177</v>
      </c>
      <c r="EM30" s="52">
        <v>37802</v>
      </c>
      <c r="EN30" s="48">
        <f t="shared" si="54"/>
        <v>0</v>
      </c>
      <c r="EO30" s="71">
        <f t="shared" si="55"/>
        <v>0.9834664832548542</v>
      </c>
      <c r="EP30" s="72">
        <f t="shared" si="56"/>
        <v>1.4418566202576737</v>
      </c>
      <c r="EQ30" s="49">
        <v>879809</v>
      </c>
      <c r="ER30" s="51">
        <v>1390838</v>
      </c>
      <c r="ES30" s="52">
        <v>2326472</v>
      </c>
      <c r="ET30" s="68">
        <f t="shared" si="57"/>
        <v>0.37817304485074393</v>
      </c>
      <c r="EU30" s="68">
        <f t="shared" si="99"/>
        <v>0</v>
      </c>
      <c r="EV30" s="68">
        <f t="shared" si="58"/>
        <v>0.59783139448916645</v>
      </c>
      <c r="EW30" s="51">
        <v>325187</v>
      </c>
      <c r="EX30" s="51">
        <v>881369</v>
      </c>
      <c r="EY30" s="52">
        <v>1062561</v>
      </c>
      <c r="EZ30" s="68">
        <f t="shared" si="59"/>
        <v>0.30604078259977546</v>
      </c>
      <c r="FA30" s="68">
        <f t="shared" si="60"/>
        <v>0.58621211176336374</v>
      </c>
      <c r="FB30" s="68">
        <f t="shared" si="61"/>
        <v>0.82947614301673034</v>
      </c>
      <c r="FC30" s="51">
        <v>1316</v>
      </c>
      <c r="FD30" s="51">
        <v>466967</v>
      </c>
      <c r="FE30" s="52">
        <v>478346</v>
      </c>
      <c r="FF30" s="68">
        <f t="shared" si="62"/>
        <v>2.8181862958196191E-3</v>
      </c>
      <c r="FG30" s="68">
        <f t="shared" si="63"/>
        <v>5.3111558755993916E-2</v>
      </c>
      <c r="FH30" s="68">
        <f t="shared" si="100"/>
        <v>0.97621177975774853</v>
      </c>
      <c r="FI30" s="51">
        <v>397883</v>
      </c>
      <c r="FJ30" s="51">
        <v>384370</v>
      </c>
      <c r="FK30" s="52">
        <v>812580</v>
      </c>
      <c r="FL30" s="68">
        <f t="shared" si="88"/>
        <v>0.48965394176573385</v>
      </c>
      <c r="FM30" s="68">
        <f t="shared" si="64"/>
        <v>0.77505136671982666</v>
      </c>
      <c r="FN30" s="68">
        <f t="shared" si="65"/>
        <v>0.47302419454084521</v>
      </c>
      <c r="FO30" s="46">
        <f t="shared" si="101"/>
        <v>1604195</v>
      </c>
      <c r="FP30" s="46">
        <f t="shared" si="102"/>
        <v>3123544</v>
      </c>
      <c r="FQ30" s="48">
        <f t="shared" si="103"/>
        <v>4679959</v>
      </c>
      <c r="FR30" s="48">
        <v>3299000</v>
      </c>
      <c r="FS30" s="68">
        <f t="shared" si="66"/>
        <v>0.34277971238636917</v>
      </c>
      <c r="FT30" s="68">
        <f t="shared" si="67"/>
        <v>0.62546452344698944</v>
      </c>
      <c r="FU30" s="68">
        <f t="shared" si="104"/>
        <v>0.66742977876515586</v>
      </c>
      <c r="FV30" s="68">
        <f t="shared" si="68"/>
        <v>0.95612625284495478</v>
      </c>
      <c r="FW30" s="51">
        <v>0</v>
      </c>
      <c r="FX30" s="51">
        <v>139985</v>
      </c>
      <c r="FY30" s="52">
        <v>249403</v>
      </c>
      <c r="FZ30" s="48">
        <f t="shared" si="69"/>
        <v>0</v>
      </c>
      <c r="GA30" s="71">
        <f t="shared" si="70"/>
        <v>0.56128033744582062</v>
      </c>
      <c r="GB30" s="68">
        <f t="shared" si="71"/>
        <v>0.84683296377140282</v>
      </c>
      <c r="GC30" s="51">
        <v>0</v>
      </c>
      <c r="GD30" s="51">
        <v>165498</v>
      </c>
      <c r="GE30" s="52">
        <v>181503</v>
      </c>
      <c r="GF30" s="48">
        <f t="shared" si="72"/>
        <v>0</v>
      </c>
      <c r="GG30" s="68">
        <f t="shared" si="73"/>
        <v>0</v>
      </c>
      <c r="GH30" s="71">
        <f t="shared" si="74"/>
        <v>0.91181963934480426</v>
      </c>
      <c r="GI30" s="68">
        <f t="shared" si="75"/>
        <v>1.269297475298049</v>
      </c>
      <c r="GJ30" s="51">
        <v>0</v>
      </c>
      <c r="GK30" s="51">
        <v>521441</v>
      </c>
      <c r="GL30" s="52">
        <v>532084</v>
      </c>
      <c r="GM30" s="71">
        <f t="shared" si="76"/>
        <v>0</v>
      </c>
      <c r="GN30" s="68">
        <f t="shared" si="77"/>
        <v>0</v>
      </c>
      <c r="GO30" s="71">
        <f t="shared" si="78"/>
        <v>0.97999751918869948</v>
      </c>
      <c r="GP30" s="68">
        <f t="shared" si="79"/>
        <v>1.428890412419501</v>
      </c>
      <c r="GQ30" s="51">
        <v>18510</v>
      </c>
      <c r="GR30" s="51">
        <v>467520</v>
      </c>
      <c r="GS30" s="52">
        <v>484830</v>
      </c>
      <c r="GT30" s="71">
        <f t="shared" si="80"/>
        <v>3.8178330548852175E-2</v>
      </c>
      <c r="GU30" s="68">
        <f t="shared" si="81"/>
        <v>0.19665791311506015</v>
      </c>
      <c r="GV30" s="71">
        <f t="shared" si="82"/>
        <v>0.96429676381412044</v>
      </c>
      <c r="GW30" s="68">
        <f t="shared" si="83"/>
        <v>1.3807004964244289</v>
      </c>
      <c r="GX30" s="40">
        <v>18510</v>
      </c>
      <c r="GY30" s="40">
        <v>1154459</v>
      </c>
      <c r="GZ30">
        <v>1198417</v>
      </c>
      <c r="HA30" s="126">
        <f t="shared" si="84"/>
        <v>1.5445375023885675E-2</v>
      </c>
      <c r="HB30" s="126">
        <f t="shared" si="85"/>
        <v>0.96331994622906714</v>
      </c>
      <c r="HC30" s="68">
        <f t="shared" si="86"/>
        <v>1.3780853643795816</v>
      </c>
    </row>
    <row r="31" spans="1:211" x14ac:dyDescent="0.2">
      <c r="A31">
        <v>1990</v>
      </c>
      <c r="B31" s="25">
        <v>896</v>
      </c>
      <c r="C31" s="1">
        <v>372</v>
      </c>
      <c r="D31" s="1">
        <v>1225</v>
      </c>
      <c r="E31" s="1">
        <v>1552</v>
      </c>
      <c r="F31" s="69">
        <f t="shared" si="87"/>
        <v>4045</v>
      </c>
      <c r="G31" s="23">
        <f t="shared" si="7"/>
        <v>4042.5</v>
      </c>
      <c r="H31" s="1">
        <v>1018</v>
      </c>
      <c r="I31" s="1">
        <v>388</v>
      </c>
      <c r="J31" s="1">
        <v>145</v>
      </c>
      <c r="K31" s="1">
        <v>872</v>
      </c>
      <c r="L31" s="1">
        <v>181</v>
      </c>
      <c r="M31" s="1">
        <v>44</v>
      </c>
      <c r="N31" s="1">
        <v>123</v>
      </c>
      <c r="O31" s="1">
        <v>348</v>
      </c>
      <c r="P31" s="1">
        <v>77</v>
      </c>
      <c r="Q31" s="1">
        <v>10</v>
      </c>
      <c r="R31" s="1">
        <v>43</v>
      </c>
      <c r="S31" s="1">
        <v>42</v>
      </c>
      <c r="T31" s="69">
        <f t="shared" si="89"/>
        <v>172</v>
      </c>
      <c r="U31" s="1">
        <v>76</v>
      </c>
      <c r="V31" s="1">
        <v>76</v>
      </c>
      <c r="W31" s="1">
        <v>150</v>
      </c>
      <c r="X31" s="1">
        <v>67</v>
      </c>
      <c r="Y31" s="1">
        <v>63</v>
      </c>
      <c r="Z31" s="1">
        <v>71</v>
      </c>
      <c r="AA31" s="1">
        <v>56</v>
      </c>
      <c r="AB31" s="69">
        <f t="shared" si="90"/>
        <v>190</v>
      </c>
      <c r="AC31" s="27">
        <v>4738.5</v>
      </c>
      <c r="AD31" s="13">
        <v>2759.3</v>
      </c>
      <c r="AE31" s="13">
        <v>5344.8</v>
      </c>
      <c r="AF31" s="13">
        <v>5898.2</v>
      </c>
      <c r="AG31" s="41">
        <f t="shared" si="91"/>
        <v>18740.8</v>
      </c>
      <c r="AH31" s="27">
        <v>8547.7000000000007</v>
      </c>
      <c r="AI31" s="13">
        <v>9363.2000000000007</v>
      </c>
      <c r="AJ31" s="13">
        <v>23137.3</v>
      </c>
      <c r="AK31" s="13">
        <v>10178.9</v>
      </c>
      <c r="AL31" s="41">
        <f t="shared" si="92"/>
        <v>51227.1</v>
      </c>
      <c r="AM31" s="32">
        <v>12474</v>
      </c>
      <c r="AN31" s="31">
        <v>73305</v>
      </c>
      <c r="AO31" s="35">
        <f>5748.2+1174.6+3.2</f>
        <v>6925.9999999999991</v>
      </c>
      <c r="AP31" s="35">
        <f>5829.2+11+688.7+16265.5+3127.1+20109.3+2762.2+2831.9</f>
        <v>51624.9</v>
      </c>
      <c r="AQ31" s="1">
        <v>204043</v>
      </c>
      <c r="AR31" s="30" t="e">
        <f>AZ31/#REF!</f>
        <v>#REF!</v>
      </c>
      <c r="AS31" s="74" t="e">
        <f>AY31/#REF!</f>
        <v>#REF!</v>
      </c>
      <c r="AT31" s="13">
        <f>precipitacion!P7</f>
        <v>249</v>
      </c>
      <c r="AU31" s="13">
        <f>precipitacion!O7</f>
        <v>1272</v>
      </c>
      <c r="AV31" s="13">
        <f>precipitacion!Q7</f>
        <v>93</v>
      </c>
      <c r="AW31" s="13">
        <f>precipitacion!R7</f>
        <v>435</v>
      </c>
      <c r="AX31" s="13">
        <f>precipitacion!G7</f>
        <v>20</v>
      </c>
      <c r="AY31" s="13">
        <v>5895.9</v>
      </c>
      <c r="AZ31" s="13">
        <v>16643.099999999999</v>
      </c>
      <c r="BA31" s="49">
        <v>295884</v>
      </c>
      <c r="BB31" s="51">
        <v>336134</v>
      </c>
      <c r="BC31" s="52">
        <v>727637</v>
      </c>
      <c r="BD31" s="72">
        <f t="shared" si="8"/>
        <v>0.40663682577988752</v>
      </c>
      <c r="BE31" s="72">
        <f t="shared" si="9"/>
        <v>0.69148375091062686</v>
      </c>
      <c r="BF31" s="72">
        <f t="shared" si="10"/>
        <v>0.46195286935656105</v>
      </c>
      <c r="BG31" s="72">
        <f t="shared" si="11"/>
        <v>0.74731421913412499</v>
      </c>
      <c r="BH31" s="49">
        <v>197872</v>
      </c>
      <c r="BI31" s="51">
        <v>59821</v>
      </c>
      <c r="BJ31" s="52">
        <v>261665</v>
      </c>
      <c r="BK31" s="71">
        <f t="shared" si="12"/>
        <v>0.75620354269772416</v>
      </c>
      <c r="BL31" s="72">
        <f t="shared" si="13"/>
        <v>1.0543909075446471</v>
      </c>
      <c r="BM31" s="71">
        <f t="shared" si="14"/>
        <v>0.22861674278180116</v>
      </c>
      <c r="BN31" s="72">
        <f t="shared" si="15"/>
        <v>0.49853439198181826</v>
      </c>
      <c r="BO31" s="51">
        <v>0</v>
      </c>
      <c r="BP31" s="51">
        <v>87083</v>
      </c>
      <c r="BQ31" s="52">
        <v>114988</v>
      </c>
      <c r="BR31" s="48">
        <f t="shared" si="16"/>
        <v>0</v>
      </c>
      <c r="BS31" s="71">
        <f t="shared" si="17"/>
        <v>0.75732250321772709</v>
      </c>
      <c r="BT31" s="72">
        <f t="shared" si="18"/>
        <v>1.055694945622679</v>
      </c>
      <c r="BU31" s="51">
        <v>0</v>
      </c>
      <c r="BV31" s="51">
        <v>30259</v>
      </c>
      <c r="BW31" s="52">
        <v>70163</v>
      </c>
      <c r="BX31" s="48">
        <f t="shared" si="19"/>
        <v>0</v>
      </c>
      <c r="BY31" s="71">
        <f t="shared" si="20"/>
        <v>0.43126719210980147</v>
      </c>
      <c r="BZ31" s="72">
        <f t="shared" si="21"/>
        <v>0.71644702211679245</v>
      </c>
      <c r="CA31" s="51">
        <v>0</v>
      </c>
      <c r="CB31" s="51">
        <v>8543</v>
      </c>
      <c r="CC31" s="52">
        <v>32050</v>
      </c>
      <c r="CD31" s="48">
        <f t="shared" si="22"/>
        <v>0</v>
      </c>
      <c r="CE31" s="71">
        <f t="shared" si="23"/>
        <v>0.2665522620904836</v>
      </c>
      <c r="CF31" s="72">
        <f t="shared" si="24"/>
        <v>0.54250973987730611</v>
      </c>
      <c r="CG31" s="51">
        <v>0</v>
      </c>
      <c r="CH31" s="51">
        <v>1820</v>
      </c>
      <c r="CI31" s="52">
        <v>25913</v>
      </c>
      <c r="CJ31" s="48">
        <f t="shared" si="25"/>
        <v>0</v>
      </c>
      <c r="CK31" s="71">
        <f t="shared" si="26"/>
        <v>7.0235017172847608E-2</v>
      </c>
      <c r="CL31" s="72">
        <f t="shared" si="27"/>
        <v>0.26822352277007555</v>
      </c>
      <c r="CM31" s="51">
        <v>0</v>
      </c>
      <c r="CN31" s="51">
        <v>188815</v>
      </c>
      <c r="CO31" s="52">
        <v>204427</v>
      </c>
      <c r="CP31" s="48">
        <f t="shared" si="28"/>
        <v>0</v>
      </c>
      <c r="CQ31" s="71">
        <f t="shared" si="29"/>
        <v>0.92363044020603935</v>
      </c>
      <c r="CR31" s="72">
        <f t="shared" si="30"/>
        <v>1.2908017575164223</v>
      </c>
      <c r="CS31" s="47">
        <v>0</v>
      </c>
      <c r="CT31" s="47">
        <v>34344</v>
      </c>
      <c r="CU31" s="48">
        <v>41683</v>
      </c>
      <c r="CV31" s="48">
        <f t="shared" si="31"/>
        <v>0</v>
      </c>
      <c r="CW31" s="72">
        <f t="shared" si="32"/>
        <v>0.82393301825684329</v>
      </c>
      <c r="CX31" s="72">
        <f t="shared" si="33"/>
        <v>1.1377880171563988</v>
      </c>
      <c r="CY31" s="51">
        <v>0</v>
      </c>
      <c r="CZ31" s="51">
        <v>15497</v>
      </c>
      <c r="DA31" s="52">
        <v>47195</v>
      </c>
      <c r="DB31" s="48">
        <f t="shared" si="34"/>
        <v>0</v>
      </c>
      <c r="DC31" s="71">
        <f t="shared" si="35"/>
        <v>0.32836105519652503</v>
      </c>
      <c r="DD31" s="72">
        <f t="shared" si="36"/>
        <v>0.61019584208825439</v>
      </c>
      <c r="DE31" s="47">
        <v>0</v>
      </c>
      <c r="DF31" s="47">
        <v>11269</v>
      </c>
      <c r="DG31" s="48">
        <v>33706</v>
      </c>
      <c r="DH31" s="48">
        <f t="shared" si="37"/>
        <v>0</v>
      </c>
      <c r="DI31" s="71">
        <f t="shared" si="38"/>
        <v>0.33433216637987301</v>
      </c>
      <c r="DJ31" s="72">
        <f t="shared" si="39"/>
        <v>0.61653873536967962</v>
      </c>
      <c r="DK31" s="47">
        <v>0</v>
      </c>
      <c r="DL31" s="47">
        <v>71433</v>
      </c>
      <c r="DM31" s="48">
        <v>88581</v>
      </c>
      <c r="DN31" s="48">
        <f t="shared" si="40"/>
        <v>0</v>
      </c>
      <c r="DO31" s="71">
        <f t="shared" si="41"/>
        <v>0.80641446811392958</v>
      </c>
      <c r="DP31" s="72">
        <f t="shared" si="42"/>
        <v>1.1152159622106177</v>
      </c>
      <c r="DQ31" s="51">
        <v>231</v>
      </c>
      <c r="DR31" s="51">
        <v>127414</v>
      </c>
      <c r="DS31" s="52">
        <v>139637</v>
      </c>
      <c r="DT31" s="71">
        <f t="shared" si="43"/>
        <v>1.6542893359209952E-3</v>
      </c>
      <c r="DU31" s="72">
        <f t="shared" si="44"/>
        <v>4.0684178325542802E-2</v>
      </c>
      <c r="DV31" s="71">
        <f t="shared" si="45"/>
        <v>0.91246589371011977</v>
      </c>
      <c r="DW31" s="72">
        <f t="shared" si="46"/>
        <v>1.2704389177404409</v>
      </c>
      <c r="DX31" s="51">
        <v>1812</v>
      </c>
      <c r="DY31" s="51">
        <v>73728</v>
      </c>
      <c r="DZ31" s="52">
        <v>153705</v>
      </c>
      <c r="EA31" s="71">
        <f t="shared" si="47"/>
        <v>1.1788816238899189E-2</v>
      </c>
      <c r="EB31" s="72">
        <f t="shared" si="48"/>
        <v>0.10879078603391451</v>
      </c>
      <c r="EC31" s="71">
        <f t="shared" si="49"/>
        <v>0.47967209915097103</v>
      </c>
      <c r="ED31" s="72">
        <f t="shared" si="50"/>
        <v>0.76506465840076443</v>
      </c>
      <c r="EE31" s="51">
        <v>0</v>
      </c>
      <c r="EF31" s="51">
        <v>112717</v>
      </c>
      <c r="EG31" s="52">
        <v>122028</v>
      </c>
      <c r="EH31" s="48">
        <f t="shared" si="51"/>
        <v>0</v>
      </c>
      <c r="EI31" s="71">
        <f t="shared" si="52"/>
        <v>0.92369783984003673</v>
      </c>
      <c r="EJ31" s="72">
        <f t="shared" si="53"/>
        <v>1.2909286705455181</v>
      </c>
      <c r="EK31" s="51">
        <v>0</v>
      </c>
      <c r="EL31" s="51">
        <v>18873</v>
      </c>
      <c r="EM31" s="52">
        <v>18983</v>
      </c>
      <c r="EN31" s="48">
        <f t="shared" si="54"/>
        <v>0</v>
      </c>
      <c r="EO31" s="71">
        <f t="shared" si="55"/>
        <v>0.9942053416214508</v>
      </c>
      <c r="EP31" s="72">
        <f t="shared" si="56"/>
        <v>1.4945999634476672</v>
      </c>
      <c r="EQ31" s="49">
        <v>1020700</v>
      </c>
      <c r="ER31" s="51">
        <v>1613362</v>
      </c>
      <c r="ES31" s="52">
        <v>2698697</v>
      </c>
      <c r="ET31" s="68">
        <f t="shared" si="57"/>
        <v>0.37821956299651277</v>
      </c>
      <c r="EU31" s="68">
        <f t="shared" si="99"/>
        <v>0</v>
      </c>
      <c r="EV31" s="68">
        <f t="shared" si="58"/>
        <v>0.59782998980619162</v>
      </c>
      <c r="EW31" s="51">
        <v>539020</v>
      </c>
      <c r="EX31" s="51">
        <v>897326</v>
      </c>
      <c r="EY31" s="52">
        <v>1496244</v>
      </c>
      <c r="EZ31" s="68">
        <f t="shared" si="59"/>
        <v>0.36024872948529785</v>
      </c>
      <c r="FA31" s="68">
        <f t="shared" si="60"/>
        <v>0.64376018244230893</v>
      </c>
      <c r="FB31" s="68">
        <f t="shared" si="61"/>
        <v>0.59971902978391223</v>
      </c>
      <c r="FC31" s="51">
        <v>4502</v>
      </c>
      <c r="FD31" s="51">
        <v>710357</v>
      </c>
      <c r="FE31" s="52">
        <v>723489</v>
      </c>
      <c r="FF31" s="68">
        <f t="shared" si="62"/>
        <v>6.3376583886693592E-3</v>
      </c>
      <c r="FG31" s="68">
        <f t="shared" si="63"/>
        <v>7.9693741702590956E-2</v>
      </c>
      <c r="FH31" s="68">
        <f t="shared" si="100"/>
        <v>0.98184906750482726</v>
      </c>
      <c r="FI31" s="51">
        <v>495499</v>
      </c>
      <c r="FJ31" s="51">
        <v>735267</v>
      </c>
      <c r="FK31" s="52">
        <v>1239064</v>
      </c>
      <c r="FL31" s="68">
        <f t="shared" si="88"/>
        <v>0.39989782610099234</v>
      </c>
      <c r="FM31" s="68">
        <f t="shared" si="64"/>
        <v>0.68461491998268753</v>
      </c>
      <c r="FN31" s="68">
        <f t="shared" si="65"/>
        <v>0.59340518326736957</v>
      </c>
      <c r="FO31" s="46">
        <f t="shared" si="101"/>
        <v>2059721</v>
      </c>
      <c r="FP31" s="46">
        <f t="shared" si="102"/>
        <v>3956312</v>
      </c>
      <c r="FQ31" s="48">
        <f t="shared" si="103"/>
        <v>6157494</v>
      </c>
      <c r="FR31" s="48">
        <v>4679959</v>
      </c>
      <c r="FS31" s="68">
        <f t="shared" si="66"/>
        <v>0.33450637548327289</v>
      </c>
      <c r="FT31" s="68">
        <f t="shared" si="67"/>
        <v>0.61672336220939883</v>
      </c>
      <c r="FU31" s="68">
        <f t="shared" si="104"/>
        <v>0.64251983030758941</v>
      </c>
      <c r="FV31" s="68">
        <f t="shared" si="68"/>
        <v>0.92992206591435422</v>
      </c>
      <c r="FW31" s="51">
        <v>0</v>
      </c>
      <c r="FX31" s="51">
        <v>132103</v>
      </c>
      <c r="FY31" s="52">
        <v>204862</v>
      </c>
      <c r="FZ31" s="48">
        <f t="shared" si="69"/>
        <v>0</v>
      </c>
      <c r="GA31" s="71">
        <f t="shared" si="70"/>
        <v>0.6448389647665258</v>
      </c>
      <c r="GB31" s="68">
        <f t="shared" si="71"/>
        <v>0.93234332465110314</v>
      </c>
      <c r="GC31" s="51">
        <v>0</v>
      </c>
      <c r="GD31" s="51">
        <v>149368</v>
      </c>
      <c r="GE31" s="52">
        <v>165835</v>
      </c>
      <c r="GF31" s="48">
        <f t="shared" si="72"/>
        <v>0</v>
      </c>
      <c r="GG31" s="68">
        <f t="shared" si="73"/>
        <v>0</v>
      </c>
      <c r="GH31" s="71">
        <f t="shared" si="74"/>
        <v>0.90070250550245723</v>
      </c>
      <c r="GI31" s="68">
        <f t="shared" si="75"/>
        <v>1.2502184495388322</v>
      </c>
      <c r="GJ31" s="51">
        <v>0</v>
      </c>
      <c r="GK31" s="51">
        <v>505242</v>
      </c>
      <c r="GL31" s="52">
        <v>517932</v>
      </c>
      <c r="GM31" s="71">
        <f t="shared" si="76"/>
        <v>0</v>
      </c>
      <c r="GN31" s="68">
        <f t="shared" si="77"/>
        <v>0</v>
      </c>
      <c r="GO31" s="71">
        <f t="shared" si="78"/>
        <v>0.97549871411691114</v>
      </c>
      <c r="GP31" s="68">
        <f t="shared" si="79"/>
        <v>1.4136211157385967</v>
      </c>
      <c r="GQ31" s="51">
        <v>73695</v>
      </c>
      <c r="GR31" s="51">
        <v>718154</v>
      </c>
      <c r="GS31" s="52">
        <v>794810</v>
      </c>
      <c r="GT31" s="71">
        <f t="shared" si="80"/>
        <v>9.2720272769592729E-2</v>
      </c>
      <c r="GU31" s="68">
        <f t="shared" si="81"/>
        <v>0.30941349687052977</v>
      </c>
      <c r="GV31" s="71">
        <f t="shared" si="82"/>
        <v>0.90355430857689256</v>
      </c>
      <c r="GW31" s="68">
        <f t="shared" si="83"/>
        <v>1.2550173070553365</v>
      </c>
      <c r="GX31" s="40">
        <v>73695</v>
      </c>
      <c r="GY31" s="40">
        <v>1372764</v>
      </c>
      <c r="GZ31">
        <v>1478577</v>
      </c>
      <c r="HA31" s="126">
        <f t="shared" si="84"/>
        <v>4.9841841175670934E-2</v>
      </c>
      <c r="HB31" s="126">
        <f t="shared" si="85"/>
        <v>0.92843592183565682</v>
      </c>
      <c r="HC31" s="68">
        <f t="shared" si="86"/>
        <v>1.2999835992321453</v>
      </c>
    </row>
    <row r="32" spans="1:211" x14ac:dyDescent="0.2">
      <c r="A32">
        <v>1991</v>
      </c>
      <c r="B32" s="25">
        <v>654</v>
      </c>
      <c r="C32" s="1">
        <v>1106</v>
      </c>
      <c r="D32" s="1">
        <v>1732</v>
      </c>
      <c r="E32" s="1">
        <v>1225</v>
      </c>
      <c r="F32" s="69">
        <f t="shared" si="87"/>
        <v>4717</v>
      </c>
      <c r="G32" s="23">
        <f t="shared" si="7"/>
        <v>4714.5</v>
      </c>
      <c r="H32" s="1">
        <v>419</v>
      </c>
      <c r="I32" s="1">
        <v>246</v>
      </c>
      <c r="J32" s="1">
        <v>105</v>
      </c>
      <c r="K32" s="1">
        <v>537</v>
      </c>
      <c r="L32" s="1">
        <v>114</v>
      </c>
      <c r="M32" s="1">
        <v>23</v>
      </c>
      <c r="N32" s="1">
        <v>112</v>
      </c>
      <c r="O32" s="1">
        <v>384</v>
      </c>
      <c r="P32" s="1">
        <v>235</v>
      </c>
      <c r="Q32" s="1">
        <v>88</v>
      </c>
      <c r="R32" s="1">
        <v>76</v>
      </c>
      <c r="S32" s="1">
        <v>127</v>
      </c>
      <c r="T32" s="69">
        <f t="shared" si="89"/>
        <v>526</v>
      </c>
      <c r="U32" s="1">
        <v>71</v>
      </c>
      <c r="V32" s="1">
        <v>86</v>
      </c>
      <c r="W32" s="1">
        <v>174</v>
      </c>
      <c r="X32" s="1">
        <v>60</v>
      </c>
      <c r="Y32" s="1">
        <v>36</v>
      </c>
      <c r="Z32" s="1">
        <v>59</v>
      </c>
      <c r="AA32" s="1">
        <v>31</v>
      </c>
      <c r="AB32" s="69">
        <f t="shared" si="90"/>
        <v>126</v>
      </c>
      <c r="AC32" s="27">
        <v>115.5</v>
      </c>
      <c r="AD32" s="13">
        <v>752.4</v>
      </c>
      <c r="AE32" s="13">
        <v>1263.4000000000001</v>
      </c>
      <c r="AF32" s="13">
        <v>357.2</v>
      </c>
      <c r="AG32" s="41">
        <f t="shared" si="91"/>
        <v>2488.5</v>
      </c>
      <c r="AH32" s="27">
        <v>1523.9</v>
      </c>
      <c r="AI32" s="13">
        <v>3658.7</v>
      </c>
      <c r="AJ32" s="13">
        <v>6859.3</v>
      </c>
      <c r="AK32" s="13">
        <v>813.3</v>
      </c>
      <c r="AL32" s="41">
        <f t="shared" si="92"/>
        <v>12855.2</v>
      </c>
      <c r="AM32" s="32">
        <v>13011</v>
      </c>
      <c r="AN32" s="31">
        <v>109880</v>
      </c>
      <c r="AO32" s="35">
        <f>3483.8+10162.8+12</f>
        <v>13658.599999999999</v>
      </c>
      <c r="AP32" s="35">
        <f>4154.8+136.1+3446.7+30756.6+4738.3+24432.5+31.1+952.5</f>
        <v>68648.600000000006</v>
      </c>
      <c r="AQ32" s="1">
        <v>224706</v>
      </c>
      <c r="AR32" s="30" t="e">
        <f>AZ32/#REF!</f>
        <v>#REF!</v>
      </c>
      <c r="AS32" s="74" t="e">
        <f>AY32/#REF!</f>
        <v>#REF!</v>
      </c>
      <c r="AT32" s="13">
        <f>precipitacion!P8</f>
        <v>660</v>
      </c>
      <c r="AU32" s="13">
        <f>precipitacion!O8</f>
        <v>1493</v>
      </c>
      <c r="AV32" s="13">
        <f>precipitacion!Q8</f>
        <v>389</v>
      </c>
      <c r="AW32" s="13">
        <f>precipitacion!R8</f>
        <v>671</v>
      </c>
      <c r="AX32" s="13">
        <f>precipitacion!G8</f>
        <v>14</v>
      </c>
      <c r="AY32" s="13">
        <v>2660.5</v>
      </c>
      <c r="AZ32" s="13">
        <v>6584.6</v>
      </c>
      <c r="BA32" s="49">
        <v>224646</v>
      </c>
      <c r="BB32" s="51">
        <v>221191</v>
      </c>
      <c r="BC32" s="52">
        <v>538966</v>
      </c>
      <c r="BD32" s="72">
        <f t="shared" si="8"/>
        <v>0.4168092235873877</v>
      </c>
      <c r="BE32" s="72">
        <f t="shared" si="9"/>
        <v>0.70181869936222507</v>
      </c>
      <c r="BF32" s="72">
        <f t="shared" si="10"/>
        <v>0.41039880066646134</v>
      </c>
      <c r="BG32" s="72">
        <f t="shared" si="11"/>
        <v>0.69531033033732459</v>
      </c>
      <c r="BH32" s="49">
        <v>128600</v>
      </c>
      <c r="BI32" s="51">
        <v>53847</v>
      </c>
      <c r="BJ32" s="52">
        <v>185902</v>
      </c>
      <c r="BK32" s="71">
        <f t="shared" si="12"/>
        <v>0.69176232638702106</v>
      </c>
      <c r="BL32" s="72">
        <f t="shared" si="13"/>
        <v>0.98220305539941133</v>
      </c>
      <c r="BM32" s="71">
        <f t="shared" si="14"/>
        <v>0.28965261266688902</v>
      </c>
      <c r="BN32" s="72">
        <f t="shared" si="15"/>
        <v>0.56829264969757276</v>
      </c>
      <c r="BO32" s="51">
        <v>0</v>
      </c>
      <c r="BP32" s="51">
        <v>89880</v>
      </c>
      <c r="BQ32" s="52">
        <v>114115</v>
      </c>
      <c r="BR32" s="48">
        <f t="shared" si="16"/>
        <v>0</v>
      </c>
      <c r="BS32" s="71">
        <f t="shared" si="17"/>
        <v>0.78762651710993292</v>
      </c>
      <c r="BT32" s="72">
        <f t="shared" si="18"/>
        <v>1.0918548916264923</v>
      </c>
      <c r="BU32" s="51">
        <v>0</v>
      </c>
      <c r="BV32" s="51">
        <v>28787</v>
      </c>
      <c r="BW32" s="52">
        <v>125994</v>
      </c>
      <c r="BX32" s="48">
        <f t="shared" si="19"/>
        <v>0</v>
      </c>
      <c r="BY32" s="71">
        <f t="shared" si="20"/>
        <v>0.22847913392701238</v>
      </c>
      <c r="BZ32" s="72">
        <f t="shared" si="21"/>
        <v>0.4983705318638173</v>
      </c>
      <c r="CA32" s="51">
        <v>0</v>
      </c>
      <c r="CB32" s="51">
        <v>4269</v>
      </c>
      <c r="CC32" s="52">
        <v>34309</v>
      </c>
      <c r="CD32" s="48">
        <f t="shared" si="22"/>
        <v>0</v>
      </c>
      <c r="CE32" s="71">
        <f t="shared" si="23"/>
        <v>0.12442799265498848</v>
      </c>
      <c r="CF32" s="72">
        <f t="shared" si="24"/>
        <v>0.36050147998460652</v>
      </c>
      <c r="CG32" s="51">
        <v>0</v>
      </c>
      <c r="CH32" s="51">
        <v>825</v>
      </c>
      <c r="CI32" s="52">
        <v>35516</v>
      </c>
      <c r="CJ32" s="48">
        <f t="shared" si="25"/>
        <v>0</v>
      </c>
      <c r="CK32" s="71">
        <f t="shared" si="26"/>
        <v>2.3228967226038968E-2</v>
      </c>
      <c r="CL32" s="72">
        <f t="shared" si="27"/>
        <v>0.15300683307039678</v>
      </c>
      <c r="CM32" s="51">
        <v>0</v>
      </c>
      <c r="CN32" s="51">
        <v>206193</v>
      </c>
      <c r="CO32" s="52">
        <v>221813</v>
      </c>
      <c r="CP32" s="48">
        <f t="shared" si="28"/>
        <v>0</v>
      </c>
      <c r="CQ32" s="71">
        <f t="shared" si="29"/>
        <v>0.92958032216326369</v>
      </c>
      <c r="CR32" s="72">
        <f t="shared" si="30"/>
        <v>1.3022117124631345</v>
      </c>
      <c r="CS32" s="47">
        <v>0</v>
      </c>
      <c r="CT32" s="47">
        <v>39266</v>
      </c>
      <c r="CU32" s="48">
        <v>44236</v>
      </c>
      <c r="CV32" s="48">
        <f t="shared" si="31"/>
        <v>0</v>
      </c>
      <c r="CW32" s="72">
        <f t="shared" si="32"/>
        <v>0.88764806944570029</v>
      </c>
      <c r="CX32" s="72">
        <f t="shared" si="33"/>
        <v>1.2289900797369255</v>
      </c>
      <c r="CY32" s="51">
        <v>0</v>
      </c>
      <c r="CZ32" s="51">
        <v>13375</v>
      </c>
      <c r="DA32" s="52">
        <v>48400</v>
      </c>
      <c r="DB32" s="48">
        <f t="shared" si="34"/>
        <v>0</v>
      </c>
      <c r="DC32" s="71">
        <f t="shared" si="35"/>
        <v>0.27634297520661155</v>
      </c>
      <c r="DD32" s="72">
        <f t="shared" si="36"/>
        <v>0.55351820177842992</v>
      </c>
      <c r="DE32" s="47">
        <v>0</v>
      </c>
      <c r="DF32" s="47">
        <v>18137</v>
      </c>
      <c r="DG32" s="48">
        <v>53813</v>
      </c>
      <c r="DH32" s="48">
        <f t="shared" si="37"/>
        <v>0</v>
      </c>
      <c r="DI32" s="71">
        <f t="shared" si="38"/>
        <v>0.3370375188151562</v>
      </c>
      <c r="DJ32" s="72">
        <f t="shared" si="39"/>
        <v>0.61940318847956777</v>
      </c>
      <c r="DK32" s="47">
        <v>0</v>
      </c>
      <c r="DL32" s="47">
        <v>40471</v>
      </c>
      <c r="DM32" s="48">
        <v>56441</v>
      </c>
      <c r="DN32" s="48">
        <f t="shared" si="40"/>
        <v>0</v>
      </c>
      <c r="DO32" s="71">
        <f t="shared" si="41"/>
        <v>0.71704966247940327</v>
      </c>
      <c r="DP32" s="72">
        <f t="shared" si="42"/>
        <v>1.0099172866648198</v>
      </c>
      <c r="DQ32" s="51">
        <v>183</v>
      </c>
      <c r="DR32" s="51">
        <v>119029</v>
      </c>
      <c r="DS32" s="52">
        <v>127987</v>
      </c>
      <c r="DT32" s="71">
        <f t="shared" si="43"/>
        <v>1.4298327173853595E-3</v>
      </c>
      <c r="DU32" s="72">
        <f t="shared" si="44"/>
        <v>3.7822145780041248E-2</v>
      </c>
      <c r="DV32" s="71">
        <f t="shared" si="45"/>
        <v>0.93000851648995597</v>
      </c>
      <c r="DW32" s="72">
        <f t="shared" si="46"/>
        <v>1.3030496894850505</v>
      </c>
      <c r="DX32" s="51">
        <v>0</v>
      </c>
      <c r="DY32" s="51">
        <v>65964</v>
      </c>
      <c r="DZ32" s="52">
        <v>147047</v>
      </c>
      <c r="EA32" s="71">
        <f t="shared" si="47"/>
        <v>0</v>
      </c>
      <c r="EB32" s="72">
        <f t="shared" si="48"/>
        <v>0</v>
      </c>
      <c r="EC32" s="71">
        <f t="shared" si="49"/>
        <v>0.44859126673784572</v>
      </c>
      <c r="ED32" s="72">
        <f t="shared" si="50"/>
        <v>0.73389841919853871</v>
      </c>
      <c r="EE32" s="51">
        <v>0</v>
      </c>
      <c r="EF32" s="51">
        <v>81856</v>
      </c>
      <c r="EG32" s="52">
        <v>89646</v>
      </c>
      <c r="EH32" s="48">
        <f t="shared" si="51"/>
        <v>0</v>
      </c>
      <c r="EI32" s="71">
        <f t="shared" si="52"/>
        <v>0.91310264819400755</v>
      </c>
      <c r="EJ32" s="72">
        <f t="shared" si="53"/>
        <v>1.2715673129104557</v>
      </c>
      <c r="EK32" s="51">
        <v>0</v>
      </c>
      <c r="EL32" s="51">
        <v>11673</v>
      </c>
      <c r="EM32" s="52">
        <v>11916</v>
      </c>
      <c r="EN32" s="48">
        <f t="shared" si="54"/>
        <v>0</v>
      </c>
      <c r="EO32" s="71">
        <f t="shared" si="55"/>
        <v>0.97960725075528698</v>
      </c>
      <c r="EP32" s="72">
        <f t="shared" si="56"/>
        <v>1.4275032761160174</v>
      </c>
      <c r="EQ32" s="49">
        <v>1087400</v>
      </c>
      <c r="ER32" s="51">
        <v>1438336</v>
      </c>
      <c r="ES32" s="52">
        <v>2590651</v>
      </c>
      <c r="ET32" s="68">
        <f t="shared" si="57"/>
        <v>0.41974005761486205</v>
      </c>
      <c r="EU32" s="68">
        <f t="shared" si="99"/>
        <v>0</v>
      </c>
      <c r="EV32" s="68">
        <f t="shared" si="58"/>
        <v>0.55520253403488162</v>
      </c>
      <c r="EW32" s="51">
        <v>523356</v>
      </c>
      <c r="EX32" s="51">
        <v>1147039</v>
      </c>
      <c r="EY32" s="52">
        <v>1741929</v>
      </c>
      <c r="EZ32" s="68">
        <f t="shared" si="59"/>
        <v>0.30044622943874288</v>
      </c>
      <c r="FA32" s="68">
        <f t="shared" si="60"/>
        <v>0.58012651326150233</v>
      </c>
      <c r="FB32" s="68">
        <f t="shared" si="61"/>
        <v>0.65848780288978481</v>
      </c>
      <c r="FC32" s="51">
        <v>3375</v>
      </c>
      <c r="FD32" s="51">
        <v>440530</v>
      </c>
      <c r="FE32" s="52">
        <v>452917</v>
      </c>
      <c r="FF32" s="68">
        <f t="shared" si="62"/>
        <v>7.6612262501986241E-3</v>
      </c>
      <c r="FG32" s="68">
        <f t="shared" si="63"/>
        <v>8.7640580688786565E-2</v>
      </c>
      <c r="FH32" s="68">
        <f t="shared" si="100"/>
        <v>0.97265061810442088</v>
      </c>
      <c r="FI32" s="51">
        <v>414989</v>
      </c>
      <c r="FJ32" s="51">
        <v>591715</v>
      </c>
      <c r="FK32" s="52">
        <v>1026917</v>
      </c>
      <c r="FL32" s="68">
        <f t="shared" si="88"/>
        <v>0.40411152994837946</v>
      </c>
      <c r="FM32" s="68">
        <f t="shared" si="64"/>
        <v>0.68891197647250135</v>
      </c>
      <c r="FN32" s="68">
        <f t="shared" si="65"/>
        <v>0.57620528241328173</v>
      </c>
      <c r="FO32" s="46">
        <f t="shared" si="101"/>
        <v>2029120</v>
      </c>
      <c r="FP32" s="46">
        <f t="shared" si="102"/>
        <v>3617620</v>
      </c>
      <c r="FQ32" s="48">
        <f t="shared" si="103"/>
        <v>5812414</v>
      </c>
      <c r="FR32" s="48">
        <v>6157494</v>
      </c>
      <c r="FS32" s="68">
        <f t="shared" si="66"/>
        <v>0.34910107917295635</v>
      </c>
      <c r="FT32" s="68">
        <f t="shared" si="67"/>
        <v>0.63210923133741925</v>
      </c>
      <c r="FU32" s="68">
        <f t="shared" si="104"/>
        <v>0.6223954453347611</v>
      </c>
      <c r="FV32" s="68">
        <f t="shared" si="68"/>
        <v>0.90905017126502441</v>
      </c>
      <c r="FW32" s="51">
        <v>0</v>
      </c>
      <c r="FX32" s="51">
        <v>106815</v>
      </c>
      <c r="FY32" s="52">
        <v>197077</v>
      </c>
      <c r="FZ32" s="48">
        <f t="shared" si="69"/>
        <v>0</v>
      </c>
      <c r="GA32" s="71">
        <f t="shared" si="70"/>
        <v>0.54199627556741781</v>
      </c>
      <c r="GB32" s="68">
        <f t="shared" si="71"/>
        <v>0.82744397524764013</v>
      </c>
      <c r="GC32" s="51">
        <v>0</v>
      </c>
      <c r="GD32" s="51">
        <v>124379</v>
      </c>
      <c r="GE32" s="52">
        <v>141677</v>
      </c>
      <c r="GF32" s="48">
        <f t="shared" si="72"/>
        <v>0</v>
      </c>
      <c r="GG32" s="68">
        <f t="shared" si="73"/>
        <v>0</v>
      </c>
      <c r="GH32" s="71">
        <f t="shared" si="74"/>
        <v>0.87790537631372767</v>
      </c>
      <c r="GI32" s="68">
        <f t="shared" si="75"/>
        <v>1.2138438750362097</v>
      </c>
      <c r="GJ32" s="51">
        <v>0</v>
      </c>
      <c r="GK32" s="51">
        <v>443244</v>
      </c>
      <c r="GL32" s="52">
        <v>456331</v>
      </c>
      <c r="GM32" s="71">
        <f t="shared" si="76"/>
        <v>0</v>
      </c>
      <c r="GN32" s="68">
        <f t="shared" si="77"/>
        <v>0</v>
      </c>
      <c r="GO32" s="71">
        <f t="shared" si="78"/>
        <v>0.97132125584279827</v>
      </c>
      <c r="GP32" s="68">
        <f t="shared" si="79"/>
        <v>1.4006282534505132</v>
      </c>
      <c r="GQ32" s="51">
        <v>896</v>
      </c>
      <c r="GR32" s="51">
        <v>375187</v>
      </c>
      <c r="GS32" s="52">
        <v>377384</v>
      </c>
      <c r="GT32" s="71">
        <f t="shared" si="80"/>
        <v>2.3742395014097048E-3</v>
      </c>
      <c r="GU32" s="68">
        <f t="shared" si="81"/>
        <v>4.8745470443527908E-2</v>
      </c>
      <c r="GV32" s="71">
        <f t="shared" si="82"/>
        <v>0.99417834354397638</v>
      </c>
      <c r="GW32" s="68">
        <f t="shared" si="83"/>
        <v>1.494422320140909</v>
      </c>
      <c r="GX32" s="40">
        <v>896</v>
      </c>
      <c r="GY32" s="40">
        <v>942810</v>
      </c>
      <c r="GZ32">
        <v>975392</v>
      </c>
      <c r="HA32" s="126">
        <f t="shared" si="84"/>
        <v>9.1860503264328593E-4</v>
      </c>
      <c r="HB32" s="126">
        <f t="shared" si="85"/>
        <v>0.96659599422591125</v>
      </c>
      <c r="HC32" s="68">
        <f t="shared" si="86"/>
        <v>1.3869955640088694</v>
      </c>
    </row>
    <row r="33" spans="1:211" x14ac:dyDescent="0.2">
      <c r="A33">
        <v>1992</v>
      </c>
      <c r="B33" s="25">
        <v>1708</v>
      </c>
      <c r="C33" s="1">
        <v>2084</v>
      </c>
      <c r="D33" s="1">
        <v>2004</v>
      </c>
      <c r="E33" s="1">
        <v>2349</v>
      </c>
      <c r="F33" s="69">
        <f t="shared" si="87"/>
        <v>8145</v>
      </c>
      <c r="G33" s="23">
        <f t="shared" si="7"/>
        <v>8142.5</v>
      </c>
      <c r="H33" s="1">
        <v>923</v>
      </c>
      <c r="I33" s="1">
        <v>396</v>
      </c>
      <c r="J33" s="1">
        <v>109</v>
      </c>
      <c r="K33" s="1">
        <v>533</v>
      </c>
      <c r="L33" s="1">
        <v>117</v>
      </c>
      <c r="M33" s="1">
        <v>37</v>
      </c>
      <c r="N33" s="1">
        <v>67</v>
      </c>
      <c r="O33" s="1">
        <v>324</v>
      </c>
      <c r="P33" s="1">
        <v>159</v>
      </c>
      <c r="Q33" s="1">
        <v>29</v>
      </c>
      <c r="R33" s="1">
        <v>72</v>
      </c>
      <c r="S33" s="1">
        <v>108</v>
      </c>
      <c r="T33" s="69">
        <f t="shared" si="89"/>
        <v>368</v>
      </c>
      <c r="U33" s="1">
        <v>73</v>
      </c>
      <c r="V33" s="1">
        <v>65</v>
      </c>
      <c r="W33" s="1">
        <v>90</v>
      </c>
      <c r="X33" s="1">
        <v>92</v>
      </c>
      <c r="Y33" s="1">
        <v>37</v>
      </c>
      <c r="Z33" s="1">
        <v>62</v>
      </c>
      <c r="AA33" s="1"/>
      <c r="AB33" s="69"/>
      <c r="AC33" s="27">
        <v>624.5</v>
      </c>
      <c r="AD33" s="13">
        <v>647.20000000000005</v>
      </c>
      <c r="AE33" s="13">
        <v>849.5</v>
      </c>
      <c r="AF33" s="13">
        <v>464.8</v>
      </c>
      <c r="AG33" s="41">
        <f t="shared" si="91"/>
        <v>2586</v>
      </c>
      <c r="AH33" s="27">
        <v>1577.3</v>
      </c>
      <c r="AI33" s="13">
        <v>3720.7</v>
      </c>
      <c r="AJ33" s="13">
        <v>5322.1</v>
      </c>
      <c r="AK33" s="13">
        <v>1673.1</v>
      </c>
      <c r="AL33" s="41">
        <f t="shared" si="92"/>
        <v>12293.2</v>
      </c>
      <c r="AM33" s="32">
        <v>15895</v>
      </c>
      <c r="AN33" s="31">
        <v>39961</v>
      </c>
      <c r="AO33" s="35">
        <f>6094.3+541.1+0.3</f>
        <v>6635.7000000000007</v>
      </c>
      <c r="AP33" s="35">
        <f>1847.5+1+1292.1+15842.5+169.2+4851.5+508.1+491.2</f>
        <v>25003.1</v>
      </c>
      <c r="AQ33" s="1">
        <v>104592</v>
      </c>
      <c r="AR33" s="30" t="e">
        <f>AZ33/#REF!</f>
        <v>#REF!</v>
      </c>
      <c r="AS33" s="74" t="e">
        <f>AY33/#REF!</f>
        <v>#REF!</v>
      </c>
      <c r="AT33" s="13">
        <f>precipitacion!P9</f>
        <v>647</v>
      </c>
      <c r="AU33" s="13">
        <f>precipitacion!O9</f>
        <v>1236</v>
      </c>
      <c r="AV33" s="13">
        <f>precipitacion!Q9</f>
        <v>365</v>
      </c>
      <c r="AW33" s="13">
        <f>precipitacion!R9</f>
        <v>279</v>
      </c>
      <c r="AX33" s="13">
        <f>precipitacion!G9</f>
        <v>116</v>
      </c>
      <c r="AY33" s="13">
        <v>2623.4</v>
      </c>
      <c r="AZ33" s="13">
        <v>11662.2</v>
      </c>
      <c r="BA33" s="49">
        <v>222131</v>
      </c>
      <c r="BB33" s="51">
        <v>165406</v>
      </c>
      <c r="BC33" s="52">
        <v>482482</v>
      </c>
      <c r="BD33" s="72">
        <f t="shared" si="8"/>
        <v>0.46039230479064502</v>
      </c>
      <c r="BE33" s="72">
        <f t="shared" si="9"/>
        <v>0.74574892721474029</v>
      </c>
      <c r="BF33" s="72">
        <f t="shared" si="10"/>
        <v>0.34282315195178265</v>
      </c>
      <c r="BG33" s="72">
        <f t="shared" si="11"/>
        <v>0.6255102834303935</v>
      </c>
      <c r="BH33" s="49">
        <v>207761</v>
      </c>
      <c r="BI33" s="51">
        <v>34251</v>
      </c>
      <c r="BJ33" s="52">
        <v>244321</v>
      </c>
      <c r="BK33" s="71">
        <f t="shared" si="12"/>
        <v>0.85036079583826196</v>
      </c>
      <c r="BL33" s="72">
        <f t="shared" si="13"/>
        <v>1.1736023774514208</v>
      </c>
      <c r="BM33" s="71">
        <f t="shared" si="14"/>
        <v>0.14018852247657795</v>
      </c>
      <c r="BN33" s="72">
        <f t="shared" si="15"/>
        <v>0.38376858379518086</v>
      </c>
      <c r="BO33" s="51">
        <v>0</v>
      </c>
      <c r="BP33" s="51">
        <v>55748</v>
      </c>
      <c r="BQ33" s="52">
        <v>83140</v>
      </c>
      <c r="BR33" s="48">
        <f t="shared" si="16"/>
        <v>0</v>
      </c>
      <c r="BS33" s="71">
        <f t="shared" si="17"/>
        <v>0.67053163338946353</v>
      </c>
      <c r="BT33" s="72">
        <f t="shared" si="18"/>
        <v>0.95942203944889348</v>
      </c>
      <c r="BU33" s="51">
        <v>0</v>
      </c>
      <c r="BV33" s="51">
        <v>73745</v>
      </c>
      <c r="BW33" s="52">
        <v>142374</v>
      </c>
      <c r="BX33" s="48">
        <f t="shared" si="19"/>
        <v>0</v>
      </c>
      <c r="BY33" s="71">
        <f t="shared" si="20"/>
        <v>0.51796676359447646</v>
      </c>
      <c r="BZ33" s="72">
        <f t="shared" si="21"/>
        <v>0.80336879574283004</v>
      </c>
      <c r="CA33" s="51">
        <v>0</v>
      </c>
      <c r="CB33" s="51">
        <v>14346</v>
      </c>
      <c r="CC33" s="52">
        <v>46849</v>
      </c>
      <c r="CD33" s="48">
        <f t="shared" si="22"/>
        <v>0</v>
      </c>
      <c r="CE33" s="71">
        <f t="shared" si="23"/>
        <v>0.30621784883348629</v>
      </c>
      <c r="CF33" s="72">
        <f t="shared" si="24"/>
        <v>0.58640420586430053</v>
      </c>
      <c r="CG33" s="51">
        <v>0</v>
      </c>
      <c r="CH33" s="51">
        <v>1407</v>
      </c>
      <c r="CI33" s="52">
        <v>13252</v>
      </c>
      <c r="CJ33" s="48">
        <f t="shared" si="25"/>
        <v>0</v>
      </c>
      <c r="CK33" s="71">
        <f t="shared" si="26"/>
        <v>0.10617265318442499</v>
      </c>
      <c r="CL33" s="72">
        <f t="shared" si="27"/>
        <v>0.33190161958130432</v>
      </c>
      <c r="CM33" s="51">
        <v>0</v>
      </c>
      <c r="CN33" s="51">
        <v>133026</v>
      </c>
      <c r="CO33" s="52">
        <v>142256</v>
      </c>
      <c r="CP33" s="48">
        <f t="shared" si="28"/>
        <v>0</v>
      </c>
      <c r="CQ33" s="71">
        <f t="shared" si="29"/>
        <v>0.93511697221909795</v>
      </c>
      <c r="CR33" s="72">
        <f t="shared" si="30"/>
        <v>1.3132366643524076</v>
      </c>
      <c r="CS33" s="47">
        <v>0</v>
      </c>
      <c r="CT33" s="47">
        <v>39519</v>
      </c>
      <c r="CU33" s="48">
        <v>42274</v>
      </c>
      <c r="CV33" s="48">
        <f t="shared" si="31"/>
        <v>0</v>
      </c>
      <c r="CW33" s="72">
        <f t="shared" si="32"/>
        <v>0.93482991909920987</v>
      </c>
      <c r="CX33" s="72">
        <f t="shared" si="33"/>
        <v>1.3126545778619088</v>
      </c>
      <c r="CY33" s="51">
        <v>0</v>
      </c>
      <c r="CZ33" s="51">
        <v>24558</v>
      </c>
      <c r="DA33" s="52">
        <v>65307</v>
      </c>
      <c r="DB33" s="48">
        <f t="shared" si="34"/>
        <v>0</v>
      </c>
      <c r="DC33" s="71">
        <f t="shared" si="35"/>
        <v>0.376039321971611</v>
      </c>
      <c r="DD33" s="72">
        <f t="shared" si="36"/>
        <v>0.66013114643384108</v>
      </c>
      <c r="DE33" s="47">
        <v>0</v>
      </c>
      <c r="DF33" s="47">
        <v>36163</v>
      </c>
      <c r="DG33" s="48">
        <v>57748</v>
      </c>
      <c r="DH33" s="48">
        <f t="shared" si="37"/>
        <v>0</v>
      </c>
      <c r="DI33" s="71">
        <f t="shared" si="38"/>
        <v>0.62622082150031166</v>
      </c>
      <c r="DJ33" s="72">
        <f t="shared" si="39"/>
        <v>0.91299956207376665</v>
      </c>
      <c r="DK33" s="47">
        <v>0</v>
      </c>
      <c r="DL33" s="47">
        <v>62114</v>
      </c>
      <c r="DM33" s="48">
        <v>75912</v>
      </c>
      <c r="DN33" s="48">
        <f t="shared" si="40"/>
        <v>0</v>
      </c>
      <c r="DO33" s="71">
        <f t="shared" si="41"/>
        <v>0.81823690589103171</v>
      </c>
      <c r="DP33" s="72">
        <f t="shared" si="42"/>
        <v>1.1303570816348449</v>
      </c>
      <c r="DQ33" s="51">
        <v>227</v>
      </c>
      <c r="DR33" s="51">
        <v>184026</v>
      </c>
      <c r="DS33" s="52">
        <v>202922</v>
      </c>
      <c r="DT33" s="71">
        <f t="shared" si="43"/>
        <v>1.118656429564069E-3</v>
      </c>
      <c r="DU33" s="72">
        <f t="shared" si="44"/>
        <v>3.3452560579814695E-2</v>
      </c>
      <c r="DV33" s="71">
        <f t="shared" si="45"/>
        <v>0.90688047624210288</v>
      </c>
      <c r="DW33" s="72">
        <f t="shared" si="46"/>
        <v>1.2606952248747108</v>
      </c>
      <c r="DX33" s="51">
        <v>19954</v>
      </c>
      <c r="DY33" s="51">
        <v>53490</v>
      </c>
      <c r="DZ33" s="52">
        <v>141958</v>
      </c>
      <c r="EA33" s="71">
        <f t="shared" si="47"/>
        <v>0.14056270164414827</v>
      </c>
      <c r="EB33" s="72">
        <f t="shared" si="48"/>
        <v>0.38430716290209532</v>
      </c>
      <c r="EC33" s="71">
        <f t="shared" si="49"/>
        <v>0.37680158920244017</v>
      </c>
      <c r="ED33" s="72">
        <f t="shared" si="50"/>
        <v>0.66091782038529134</v>
      </c>
      <c r="EE33" s="51">
        <v>0</v>
      </c>
      <c r="EF33" s="51">
        <v>86373</v>
      </c>
      <c r="EG33" s="52">
        <v>100936</v>
      </c>
      <c r="EH33" s="48">
        <f t="shared" si="51"/>
        <v>0</v>
      </c>
      <c r="EI33" s="71">
        <f t="shared" si="52"/>
        <v>0.85572045652690809</v>
      </c>
      <c r="EJ33" s="72">
        <f t="shared" si="53"/>
        <v>1.1811714089519025</v>
      </c>
      <c r="EK33" s="51">
        <v>0</v>
      </c>
      <c r="EL33" s="51">
        <v>12245</v>
      </c>
      <c r="EM33" s="52">
        <v>12279</v>
      </c>
      <c r="EN33" s="48">
        <f t="shared" si="54"/>
        <v>0</v>
      </c>
      <c r="EO33" s="71">
        <f t="shared" si="55"/>
        <v>0.99723104487336101</v>
      </c>
      <c r="EP33" s="72">
        <f t="shared" si="56"/>
        <v>1.5181511502661995</v>
      </c>
      <c r="EQ33" s="49">
        <v>905712</v>
      </c>
      <c r="ER33" s="51">
        <v>1241626</v>
      </c>
      <c r="ES33" s="52">
        <v>2207928</v>
      </c>
      <c r="ET33" s="68">
        <f t="shared" si="57"/>
        <v>0.41020902855527897</v>
      </c>
      <c r="EU33" s="68">
        <f t="shared" si="99"/>
        <v>0</v>
      </c>
      <c r="EV33" s="68">
        <f t="shared" si="58"/>
        <v>0.56234895340790103</v>
      </c>
      <c r="EW33" s="51">
        <v>473190</v>
      </c>
      <c r="EX33" s="51">
        <v>986992</v>
      </c>
      <c r="EY33" s="52">
        <v>1527266</v>
      </c>
      <c r="EZ33" s="68">
        <f t="shared" si="59"/>
        <v>0.30982815043351974</v>
      </c>
      <c r="FA33" s="68">
        <f t="shared" si="60"/>
        <v>0.59031421494461944</v>
      </c>
      <c r="FB33" s="68">
        <f t="shared" si="61"/>
        <v>0.64624760847160878</v>
      </c>
      <c r="FC33" s="51">
        <v>2912</v>
      </c>
      <c r="FD33" s="51">
        <v>389451</v>
      </c>
      <c r="FE33" s="52">
        <v>401496</v>
      </c>
      <c r="FF33" s="68">
        <f t="shared" si="62"/>
        <v>7.4771922526839065E-3</v>
      </c>
      <c r="FG33" s="68">
        <f t="shared" si="63"/>
        <v>8.6578883478190732E-2</v>
      </c>
      <c r="FH33" s="68">
        <f t="shared" si="100"/>
        <v>0.9699997011178193</v>
      </c>
      <c r="FI33" s="51">
        <v>426409</v>
      </c>
      <c r="FJ33" s="51">
        <v>591755</v>
      </c>
      <c r="FK33" s="52">
        <v>1038079</v>
      </c>
      <c r="FL33" s="68">
        <f t="shared" si="88"/>
        <v>0.41076738860915207</v>
      </c>
      <c r="FM33" s="68">
        <f t="shared" si="64"/>
        <v>0.69568495754398252</v>
      </c>
      <c r="FN33" s="68">
        <f t="shared" si="65"/>
        <v>0.5700481369915007</v>
      </c>
      <c r="FO33" s="46">
        <f t="shared" si="101"/>
        <v>1808223</v>
      </c>
      <c r="FP33" s="46">
        <f t="shared" si="102"/>
        <v>3209824</v>
      </c>
      <c r="FQ33" s="48">
        <f t="shared" si="103"/>
        <v>5174769</v>
      </c>
      <c r="FR33" s="48">
        <v>5812414</v>
      </c>
      <c r="FS33" s="68">
        <f t="shared" si="66"/>
        <v>0.34943067023861357</v>
      </c>
      <c r="FT33" s="68">
        <f t="shared" si="67"/>
        <v>0.63245490443210772</v>
      </c>
      <c r="FU33" s="68">
        <f t="shared" si="104"/>
        <v>0.62028353342922171</v>
      </c>
      <c r="FV33" s="68">
        <f t="shared" si="68"/>
        <v>0.90687317981168758</v>
      </c>
      <c r="FW33" s="51">
        <v>0</v>
      </c>
      <c r="FX33" s="51">
        <v>68310</v>
      </c>
      <c r="FY33" s="52">
        <v>151653</v>
      </c>
      <c r="FZ33" s="48">
        <f t="shared" si="69"/>
        <v>0</v>
      </c>
      <c r="GA33" s="71">
        <f t="shared" si="70"/>
        <v>0.45043619315147077</v>
      </c>
      <c r="GB33" s="68">
        <f t="shared" si="71"/>
        <v>0.73575282417106003</v>
      </c>
      <c r="GC33" s="51">
        <v>0</v>
      </c>
      <c r="GD33" s="51">
        <v>104668</v>
      </c>
      <c r="GE33" s="52">
        <v>120926</v>
      </c>
      <c r="GF33" s="48">
        <f t="shared" si="72"/>
        <v>0</v>
      </c>
      <c r="GG33" s="68">
        <f t="shared" si="73"/>
        <v>0</v>
      </c>
      <c r="GH33" s="71">
        <f t="shared" si="74"/>
        <v>0.86555414054876534</v>
      </c>
      <c r="GI33" s="68">
        <f t="shared" si="75"/>
        <v>1.195370644814304</v>
      </c>
      <c r="GJ33" s="51">
        <v>0</v>
      </c>
      <c r="GK33" s="51">
        <v>493985</v>
      </c>
      <c r="GL33" s="52">
        <v>515888</v>
      </c>
      <c r="GM33" s="71">
        <f t="shared" si="76"/>
        <v>0</v>
      </c>
      <c r="GN33" s="68">
        <f t="shared" si="77"/>
        <v>0</v>
      </c>
      <c r="GO33" s="71">
        <f t="shared" si="78"/>
        <v>0.95754311013243187</v>
      </c>
      <c r="GP33" s="68">
        <f t="shared" si="79"/>
        <v>1.3632590023507516</v>
      </c>
      <c r="GQ33" s="51">
        <v>10679</v>
      </c>
      <c r="GR33" s="51">
        <v>523885</v>
      </c>
      <c r="GS33" s="52">
        <v>538261</v>
      </c>
      <c r="GT33" s="71">
        <f t="shared" si="80"/>
        <v>1.9839817486312403E-2</v>
      </c>
      <c r="GU33" s="68">
        <f t="shared" si="81"/>
        <v>0.14132384755961933</v>
      </c>
      <c r="GV33" s="71">
        <f t="shared" si="82"/>
        <v>0.97329176737679302</v>
      </c>
      <c r="GW33" s="68">
        <f t="shared" si="83"/>
        <v>1.4066334337614019</v>
      </c>
      <c r="GX33" s="40">
        <v>10679</v>
      </c>
      <c r="GY33" s="40">
        <v>1122538</v>
      </c>
      <c r="GZ33">
        <v>1175075</v>
      </c>
      <c r="HA33" s="126">
        <f t="shared" si="84"/>
        <v>9.087930557623981E-3</v>
      </c>
      <c r="HB33" s="126">
        <f t="shared" si="85"/>
        <v>0.95529051337148696</v>
      </c>
      <c r="HC33" s="68">
        <f t="shared" si="86"/>
        <v>1.3577419691466612</v>
      </c>
    </row>
    <row r="34" spans="1:211" x14ac:dyDescent="0.2">
      <c r="A34">
        <v>1993</v>
      </c>
      <c r="B34" s="25">
        <v>2071</v>
      </c>
      <c r="C34" s="1">
        <v>931</v>
      </c>
      <c r="D34" s="1">
        <v>1740</v>
      </c>
      <c r="E34" s="1">
        <v>1597</v>
      </c>
      <c r="F34" s="69">
        <f t="shared" si="87"/>
        <v>6339</v>
      </c>
      <c r="G34" s="23">
        <f t="shared" si="7"/>
        <v>6336.5000000000009</v>
      </c>
      <c r="H34" s="1">
        <v>487</v>
      </c>
      <c r="I34" s="1">
        <v>214</v>
      </c>
      <c r="J34" s="1">
        <v>83</v>
      </c>
      <c r="K34" s="1">
        <v>356</v>
      </c>
      <c r="L34" s="1">
        <v>35</v>
      </c>
      <c r="M34" s="1">
        <v>57</v>
      </c>
      <c r="N34" s="1">
        <v>58</v>
      </c>
      <c r="O34" s="1">
        <v>324</v>
      </c>
      <c r="P34" s="1">
        <v>406</v>
      </c>
      <c r="Q34" s="1">
        <v>134</v>
      </c>
      <c r="R34" s="1">
        <v>86</v>
      </c>
      <c r="S34" s="1">
        <v>165</v>
      </c>
      <c r="T34" s="69">
        <f t="shared" si="89"/>
        <v>791</v>
      </c>
      <c r="U34" s="1">
        <v>87</v>
      </c>
      <c r="V34" s="1">
        <v>98</v>
      </c>
      <c r="W34" s="1">
        <v>156</v>
      </c>
      <c r="X34" s="1">
        <v>63</v>
      </c>
      <c r="Y34" s="1">
        <v>19</v>
      </c>
      <c r="Z34" s="1">
        <v>94</v>
      </c>
      <c r="AA34" s="1">
        <v>15</v>
      </c>
      <c r="AB34" s="69">
        <f t="shared" si="90"/>
        <v>128</v>
      </c>
      <c r="AC34" s="27">
        <v>660.5</v>
      </c>
      <c r="AD34" s="13">
        <v>223.7</v>
      </c>
      <c r="AE34" s="13">
        <v>170.3</v>
      </c>
      <c r="AF34" s="13">
        <v>251.6</v>
      </c>
      <c r="AG34" s="41">
        <f t="shared" si="91"/>
        <v>1306.0999999999999</v>
      </c>
      <c r="AH34" s="27">
        <v>2763.6</v>
      </c>
      <c r="AI34" s="13">
        <v>952.2</v>
      </c>
      <c r="AJ34" s="13">
        <v>2604</v>
      </c>
      <c r="AK34" s="13">
        <v>731.7</v>
      </c>
      <c r="AL34" s="41">
        <f t="shared" si="92"/>
        <v>7051.5</v>
      </c>
      <c r="AM34" s="32">
        <v>14241</v>
      </c>
      <c r="AN34" s="31">
        <v>33388</v>
      </c>
      <c r="AO34" s="35">
        <f>1370+170.8+12.1</f>
        <v>1552.8999999999999</v>
      </c>
      <c r="AP34" s="35">
        <f>1028.7+10.1+512.8+15695.7+1452.9+6210.5+127.2+473.5</f>
        <v>25511.4</v>
      </c>
      <c r="AQ34" s="1">
        <v>89267</v>
      </c>
      <c r="AR34" s="30" t="e">
        <f>AZ34/#REF!</f>
        <v>#REF!</v>
      </c>
      <c r="AS34" s="74" t="e">
        <f>AY34/#REF!</f>
        <v>#REF!</v>
      </c>
      <c r="AT34" s="13">
        <f>precipitacion!P10</f>
        <v>841</v>
      </c>
      <c r="AU34" s="13">
        <f>precipitacion!O10</f>
        <v>1627</v>
      </c>
      <c r="AV34" s="13">
        <f>precipitacion!Q10</f>
        <v>230</v>
      </c>
      <c r="AW34" s="13">
        <f>precipitacion!R10</f>
        <v>385</v>
      </c>
      <c r="AX34" s="13">
        <f>precipitacion!G10</f>
        <v>317</v>
      </c>
      <c r="AY34" s="13">
        <v>590.1</v>
      </c>
      <c r="AZ34" s="13">
        <v>3080.3</v>
      </c>
      <c r="BA34" s="49">
        <v>218147</v>
      </c>
      <c r="BB34" s="51">
        <v>142451</v>
      </c>
      <c r="BC34" s="52">
        <v>452532</v>
      </c>
      <c r="BD34" s="72">
        <f t="shared" si="8"/>
        <v>0.48205872733861915</v>
      </c>
      <c r="BE34" s="72">
        <f t="shared" si="9"/>
        <v>0.76745303843491397</v>
      </c>
      <c r="BF34" s="72">
        <f t="shared" si="10"/>
        <v>0.31478657862869364</v>
      </c>
      <c r="BG34" s="72">
        <f t="shared" si="11"/>
        <v>0.59566390750244902</v>
      </c>
      <c r="BH34" s="49">
        <v>71427</v>
      </c>
      <c r="BI34" s="51">
        <v>25051</v>
      </c>
      <c r="BJ34" s="52">
        <v>98933</v>
      </c>
      <c r="BK34" s="71">
        <f t="shared" si="12"/>
        <v>0.72197345678388403</v>
      </c>
      <c r="BL34" s="72">
        <f t="shared" si="13"/>
        <v>1.0153974974781181</v>
      </c>
      <c r="BM34" s="71">
        <f t="shared" si="14"/>
        <v>0.25321176958143388</v>
      </c>
      <c r="BN34" s="72">
        <f t="shared" si="15"/>
        <v>0.52729953432150012</v>
      </c>
      <c r="BO34" s="51">
        <v>0</v>
      </c>
      <c r="BP34" s="51">
        <v>86211</v>
      </c>
      <c r="BQ34" s="52">
        <v>108969</v>
      </c>
      <c r="BR34" s="48">
        <f t="shared" si="16"/>
        <v>0</v>
      </c>
      <c r="BS34" s="71">
        <f t="shared" si="17"/>
        <v>0.79115161192632766</v>
      </c>
      <c r="BT34" s="72">
        <f t="shared" si="18"/>
        <v>1.0961776224444275</v>
      </c>
      <c r="BU34" s="51">
        <v>0</v>
      </c>
      <c r="BV34" s="51">
        <v>57897</v>
      </c>
      <c r="BW34" s="52">
        <v>104108</v>
      </c>
      <c r="BX34" s="48">
        <f t="shared" si="19"/>
        <v>0</v>
      </c>
      <c r="BY34" s="71">
        <f t="shared" si="20"/>
        <v>0.55612440926729934</v>
      </c>
      <c r="BZ34" s="72">
        <f t="shared" si="21"/>
        <v>0.84164110533481007</v>
      </c>
      <c r="CA34" s="51">
        <v>0</v>
      </c>
      <c r="CB34" s="51">
        <v>53540</v>
      </c>
      <c r="CC34" s="52">
        <v>88087</v>
      </c>
      <c r="CD34" s="48">
        <f t="shared" si="22"/>
        <v>0</v>
      </c>
      <c r="CE34" s="71">
        <f t="shared" si="23"/>
        <v>0.60780818963070604</v>
      </c>
      <c r="CF34" s="72">
        <f t="shared" si="24"/>
        <v>0.89405966978994211</v>
      </c>
      <c r="CG34" s="51">
        <v>0</v>
      </c>
      <c r="CH34" s="51">
        <v>905</v>
      </c>
      <c r="CI34" s="52">
        <v>17391</v>
      </c>
      <c r="CJ34" s="48">
        <f t="shared" si="25"/>
        <v>0</v>
      </c>
      <c r="CK34" s="71">
        <f t="shared" si="26"/>
        <v>5.2038410672186765E-2</v>
      </c>
      <c r="CL34" s="72">
        <f t="shared" si="27"/>
        <v>0.23014560359233904</v>
      </c>
      <c r="CM34" s="51">
        <v>0</v>
      </c>
      <c r="CN34" s="51">
        <v>166324</v>
      </c>
      <c r="CO34" s="52">
        <v>175335</v>
      </c>
      <c r="CP34" s="48">
        <f t="shared" si="28"/>
        <v>0</v>
      </c>
      <c r="CQ34" s="71">
        <f t="shared" si="29"/>
        <v>0.94860695240539539</v>
      </c>
      <c r="CR34" s="72">
        <f t="shared" si="30"/>
        <v>1.3421078440194605</v>
      </c>
      <c r="CS34" s="47">
        <v>0</v>
      </c>
      <c r="CT34" s="47">
        <v>42573</v>
      </c>
      <c r="CU34" s="48">
        <v>46494</v>
      </c>
      <c r="CV34" s="48">
        <f t="shared" si="31"/>
        <v>0</v>
      </c>
      <c r="CW34" s="72">
        <f t="shared" si="32"/>
        <v>0.91566653761775718</v>
      </c>
      <c r="CX34" s="72">
        <f t="shared" si="33"/>
        <v>1.2761491579954376</v>
      </c>
      <c r="CY34" s="51">
        <v>0</v>
      </c>
      <c r="CZ34" s="51">
        <v>11672</v>
      </c>
      <c r="DA34" s="52">
        <v>42940</v>
      </c>
      <c r="DB34" s="48">
        <f t="shared" si="34"/>
        <v>0</v>
      </c>
      <c r="DC34" s="71">
        <f t="shared" si="35"/>
        <v>0.27182114578481603</v>
      </c>
      <c r="DD34" s="72">
        <f t="shared" si="36"/>
        <v>0.54844942226058746</v>
      </c>
      <c r="DE34" s="47">
        <v>0</v>
      </c>
      <c r="DF34" s="47">
        <v>17615</v>
      </c>
      <c r="DG34" s="48">
        <v>32160</v>
      </c>
      <c r="DH34" s="48">
        <f t="shared" si="37"/>
        <v>0</v>
      </c>
      <c r="DI34" s="71">
        <f t="shared" si="38"/>
        <v>0.54773009950248752</v>
      </c>
      <c r="DJ34" s="72">
        <f t="shared" si="39"/>
        <v>0.83320105306549586</v>
      </c>
      <c r="DK34" s="47">
        <v>0</v>
      </c>
      <c r="DL34" s="47">
        <v>45860</v>
      </c>
      <c r="DM34" s="48">
        <v>63619</v>
      </c>
      <c r="DN34" s="48">
        <f t="shared" si="40"/>
        <v>0</v>
      </c>
      <c r="DO34" s="71">
        <f t="shared" si="41"/>
        <v>0.72085383297442585</v>
      </c>
      <c r="DP34" s="72">
        <f t="shared" si="42"/>
        <v>1.014148762639292</v>
      </c>
      <c r="DQ34" s="51">
        <v>0</v>
      </c>
      <c r="DR34" s="51">
        <v>144906</v>
      </c>
      <c r="DS34" s="52">
        <v>160953</v>
      </c>
      <c r="DT34" s="71">
        <f t="shared" si="43"/>
        <v>0</v>
      </c>
      <c r="DU34" s="72">
        <f t="shared" si="44"/>
        <v>0</v>
      </c>
      <c r="DV34" s="71">
        <f t="shared" si="45"/>
        <v>0.90030008760321334</v>
      </c>
      <c r="DW34" s="72">
        <f t="shared" si="46"/>
        <v>1.24954625246088</v>
      </c>
      <c r="DX34" s="51">
        <v>7300</v>
      </c>
      <c r="DY34" s="51">
        <v>59681</v>
      </c>
      <c r="DZ34" s="52">
        <v>127216</v>
      </c>
      <c r="EA34" s="71">
        <f t="shared" si="47"/>
        <v>5.7382719154823292E-2</v>
      </c>
      <c r="EB34" s="72">
        <f t="shared" si="48"/>
        <v>0.24189914042984584</v>
      </c>
      <c r="EC34" s="71">
        <f t="shared" si="49"/>
        <v>0.46913124135328887</v>
      </c>
      <c r="ED34" s="72">
        <f t="shared" si="50"/>
        <v>0.75450976155315874</v>
      </c>
      <c r="EE34" s="51">
        <v>0</v>
      </c>
      <c r="EF34" s="51">
        <v>68990</v>
      </c>
      <c r="EG34" s="52">
        <v>80452</v>
      </c>
      <c r="EH34" s="48">
        <f t="shared" si="51"/>
        <v>0</v>
      </c>
      <c r="EI34" s="71">
        <f t="shared" si="52"/>
        <v>0.85752995575001245</v>
      </c>
      <c r="EJ34" s="72">
        <f t="shared" si="53"/>
        <v>1.1837530660547932</v>
      </c>
      <c r="EK34" s="51">
        <v>0</v>
      </c>
      <c r="EL34" s="51">
        <v>9713</v>
      </c>
      <c r="EM34" s="52">
        <v>24889</v>
      </c>
      <c r="EN34" s="48">
        <f t="shared" si="54"/>
        <v>0</v>
      </c>
      <c r="EO34" s="71">
        <f t="shared" si="55"/>
        <v>0.3902527220860621</v>
      </c>
      <c r="EP34" s="72">
        <f t="shared" si="56"/>
        <v>0.67474998234337891</v>
      </c>
      <c r="EQ34" s="49">
        <v>1380374</v>
      </c>
      <c r="ER34" s="51">
        <v>1290457</v>
      </c>
      <c r="ES34" s="52">
        <v>2718487</v>
      </c>
      <c r="ET34" s="68">
        <f t="shared" si="57"/>
        <v>0.50777288984644764</v>
      </c>
      <c r="EU34" s="68">
        <f t="shared" si="99"/>
        <v>0</v>
      </c>
      <c r="EV34" s="68">
        <f t="shared" si="58"/>
        <v>0.47469677066691879</v>
      </c>
      <c r="EW34" s="51">
        <v>404730</v>
      </c>
      <c r="EX34" s="51">
        <v>900063</v>
      </c>
      <c r="EY34" s="52">
        <v>1365508</v>
      </c>
      <c r="EZ34" s="68">
        <f t="shared" si="59"/>
        <v>0.29639518772500784</v>
      </c>
      <c r="FA34" s="68">
        <f t="shared" si="60"/>
        <v>0.57569975196260581</v>
      </c>
      <c r="FB34" s="68">
        <f t="shared" si="61"/>
        <v>0.65914150631120438</v>
      </c>
      <c r="FC34" s="51">
        <v>1917</v>
      </c>
      <c r="FD34" s="51">
        <v>302531</v>
      </c>
      <c r="FE34" s="52">
        <v>313251</v>
      </c>
      <c r="FF34" s="68">
        <f t="shared" si="62"/>
        <v>6.3365407181412816E-3</v>
      </c>
      <c r="FG34" s="68">
        <f t="shared" si="63"/>
        <v>7.968669932995423E-2</v>
      </c>
      <c r="FH34" s="68">
        <f t="shared" si="100"/>
        <v>0.96577824172947568</v>
      </c>
      <c r="FI34" s="51">
        <v>281994</v>
      </c>
      <c r="FJ34" s="19">
        <v>462238</v>
      </c>
      <c r="FK34" s="52">
        <v>770019</v>
      </c>
      <c r="FL34" s="68">
        <f t="shared" si="88"/>
        <v>0.36621693750413953</v>
      </c>
      <c r="FM34" s="68">
        <f t="shared" si="64"/>
        <v>0.64996507890201793</v>
      </c>
      <c r="FN34" s="68">
        <f t="shared" si="65"/>
        <v>0.60029427845286931</v>
      </c>
      <c r="FO34" s="46">
        <f t="shared" si="101"/>
        <v>2069015</v>
      </c>
      <c r="FP34" s="46">
        <f t="shared" si="102"/>
        <v>2955289</v>
      </c>
      <c r="FQ34" s="48">
        <f t="shared" si="103"/>
        <v>5167265</v>
      </c>
      <c r="FR34" s="48">
        <v>5174769</v>
      </c>
      <c r="FS34" s="68">
        <f t="shared" si="66"/>
        <v>0.40040814628241439</v>
      </c>
      <c r="FT34" s="68">
        <f t="shared" si="67"/>
        <v>0.68513573019110108</v>
      </c>
      <c r="FU34" s="68">
        <f t="shared" si="104"/>
        <v>0.57192518672837567</v>
      </c>
      <c r="FV34" s="68">
        <f t="shared" si="68"/>
        <v>0.85757374598855585</v>
      </c>
      <c r="FW34" s="19">
        <v>0</v>
      </c>
      <c r="FX34" s="19">
        <v>73659</v>
      </c>
      <c r="FY34" s="52">
        <v>179212</v>
      </c>
      <c r="FZ34" s="48">
        <f t="shared" si="69"/>
        <v>0</v>
      </c>
      <c r="GA34" s="71">
        <f t="shared" si="70"/>
        <v>0.41101600339262995</v>
      </c>
      <c r="GB34" s="68">
        <f t="shared" si="71"/>
        <v>0.69593761708603485</v>
      </c>
      <c r="GC34" s="19">
        <v>0</v>
      </c>
      <c r="GD34" s="19">
        <v>107551</v>
      </c>
      <c r="GE34" s="52">
        <v>131340</v>
      </c>
      <c r="GF34" s="48">
        <f t="shared" si="72"/>
        <v>0</v>
      </c>
      <c r="GG34" s="68">
        <f t="shared" si="73"/>
        <v>0</v>
      </c>
      <c r="GH34" s="71">
        <f t="shared" si="74"/>
        <v>0.81887467641236489</v>
      </c>
      <c r="GI34" s="68">
        <f t="shared" si="75"/>
        <v>1.1311845261827971</v>
      </c>
      <c r="GJ34" s="19">
        <v>0</v>
      </c>
      <c r="GK34" s="19">
        <v>543907</v>
      </c>
      <c r="GL34" s="52">
        <v>561052</v>
      </c>
      <c r="GM34" s="71">
        <f t="shared" si="76"/>
        <v>0</v>
      </c>
      <c r="GN34" s="68">
        <f t="shared" si="77"/>
        <v>0</v>
      </c>
      <c r="GO34" s="71">
        <f t="shared" si="78"/>
        <v>0.96944133520600584</v>
      </c>
      <c r="GP34" s="68">
        <f t="shared" si="79"/>
        <v>1.3950831594220847</v>
      </c>
      <c r="GQ34" s="19">
        <v>5147</v>
      </c>
      <c r="GR34" s="19">
        <v>487267</v>
      </c>
      <c r="GS34" s="52">
        <v>496858</v>
      </c>
      <c r="GT34" s="71">
        <f t="shared" si="80"/>
        <v>1.0359096562800639E-2</v>
      </c>
      <c r="GU34" s="68">
        <f t="shared" si="81"/>
        <v>0.10195619553549039</v>
      </c>
      <c r="GV34" s="71">
        <f t="shared" si="82"/>
        <v>0.98069669805054971</v>
      </c>
      <c r="GW34" s="68">
        <f t="shared" si="83"/>
        <v>1.4314090871670522</v>
      </c>
      <c r="GX34" s="40">
        <v>5147</v>
      </c>
      <c r="GY34" s="40">
        <v>1138725</v>
      </c>
      <c r="GZ34">
        <v>1189250</v>
      </c>
      <c r="HA34" s="126">
        <f t="shared" si="84"/>
        <v>4.3279377759091863E-3</v>
      </c>
      <c r="HB34" s="126">
        <f t="shared" si="85"/>
        <v>0.95751524069791882</v>
      </c>
      <c r="HC34" s="68">
        <f t="shared" si="86"/>
        <v>1.3631899025472416</v>
      </c>
    </row>
    <row r="35" spans="1:211" x14ac:dyDescent="0.2">
      <c r="A35">
        <v>1994</v>
      </c>
      <c r="B35" s="25">
        <v>1378</v>
      </c>
      <c r="C35" s="1">
        <v>1228</v>
      </c>
      <c r="D35" s="1">
        <v>3542</v>
      </c>
      <c r="E35" s="1">
        <v>2332</v>
      </c>
      <c r="F35" s="69">
        <f t="shared" si="87"/>
        <v>8480</v>
      </c>
      <c r="G35" s="23">
        <f t="shared" si="7"/>
        <v>8477.5</v>
      </c>
      <c r="H35" s="1">
        <v>991</v>
      </c>
      <c r="I35" s="1">
        <v>246</v>
      </c>
      <c r="J35" s="1">
        <v>137</v>
      </c>
      <c r="K35" s="1">
        <v>882</v>
      </c>
      <c r="L35" s="1">
        <v>111</v>
      </c>
      <c r="M35" s="1">
        <v>83</v>
      </c>
      <c r="N35" s="1">
        <v>89</v>
      </c>
      <c r="O35" s="1">
        <v>588</v>
      </c>
      <c r="P35" s="1">
        <v>549</v>
      </c>
      <c r="Q35" s="1">
        <v>246</v>
      </c>
      <c r="R35" s="1">
        <v>178</v>
      </c>
      <c r="S35" s="1">
        <v>247</v>
      </c>
      <c r="T35" s="69">
        <f t="shared" si="89"/>
        <v>1220</v>
      </c>
      <c r="U35" s="1">
        <v>133</v>
      </c>
      <c r="V35" s="1">
        <v>174</v>
      </c>
      <c r="W35" s="1">
        <v>211</v>
      </c>
      <c r="X35" s="1">
        <v>108</v>
      </c>
      <c r="Y35" s="1">
        <v>44</v>
      </c>
      <c r="Z35" s="1">
        <v>25</v>
      </c>
      <c r="AA35" s="1">
        <v>15</v>
      </c>
      <c r="AB35" s="69">
        <f t="shared" si="90"/>
        <v>84</v>
      </c>
      <c r="AC35" s="27">
        <v>164.2</v>
      </c>
      <c r="AD35" s="13">
        <v>133.80000000000001</v>
      </c>
      <c r="AE35" s="13">
        <v>1155.3</v>
      </c>
      <c r="AF35" s="13">
        <v>278.8</v>
      </c>
      <c r="AG35" s="41">
        <f t="shared" si="91"/>
        <v>1732.1</v>
      </c>
      <c r="AH35" s="27">
        <v>568.9</v>
      </c>
      <c r="AI35" s="13">
        <v>1610.5</v>
      </c>
      <c r="AJ35" s="13">
        <v>11746.9</v>
      </c>
      <c r="AK35" s="13">
        <v>1470.8</v>
      </c>
      <c r="AL35" s="41">
        <f t="shared" si="92"/>
        <v>15397.099999999999</v>
      </c>
      <c r="AM35" s="32">
        <v>19263</v>
      </c>
      <c r="AN35" s="31">
        <v>250433</v>
      </c>
      <c r="AO35" s="35">
        <f>732.9+633.4+207</f>
        <v>1573.3</v>
      </c>
      <c r="AP35" s="35">
        <f>5770.8+6.1+2110.4+148309.8+28715.9+30379.7+3180.3+335</f>
        <v>218807.99999999997</v>
      </c>
      <c r="AQ35" s="1">
        <v>437635</v>
      </c>
      <c r="AR35" s="30" t="e">
        <f>AZ35/#REF!</f>
        <v>#REF!</v>
      </c>
      <c r="AS35" s="74" t="e">
        <f>AY35/#REF!</f>
        <v>#REF!</v>
      </c>
      <c r="AT35" s="13">
        <f>precipitacion!P11</f>
        <v>667</v>
      </c>
      <c r="AU35" s="13">
        <f>precipitacion!O11</f>
        <v>1871</v>
      </c>
      <c r="AV35" s="13">
        <f>precipitacion!Q11</f>
        <v>246</v>
      </c>
      <c r="AW35" s="13">
        <f>precipitacion!R11</f>
        <v>662</v>
      </c>
      <c r="AX35" s="13">
        <f>precipitacion!G11</f>
        <v>278</v>
      </c>
      <c r="AY35" s="13">
        <v>664.3</v>
      </c>
      <c r="AZ35" s="13">
        <v>4258.7</v>
      </c>
      <c r="BA35" s="56">
        <v>338386</v>
      </c>
      <c r="BB35" s="57">
        <v>183507</v>
      </c>
      <c r="BC35" s="58">
        <v>622624</v>
      </c>
      <c r="BD35" s="72">
        <f t="shared" si="8"/>
        <v>0.54348370766305187</v>
      </c>
      <c r="BE35" s="72">
        <f t="shared" si="9"/>
        <v>0.82893687207755828</v>
      </c>
      <c r="BF35" s="72">
        <f t="shared" si="10"/>
        <v>0.29473165184766409</v>
      </c>
      <c r="BG35" s="72">
        <f t="shared" si="11"/>
        <v>0.57387687956024225</v>
      </c>
      <c r="BH35" s="56">
        <v>295278</v>
      </c>
      <c r="BI35" s="57">
        <v>55177</v>
      </c>
      <c r="BJ35" s="58">
        <v>354401</v>
      </c>
      <c r="BK35" s="71">
        <f t="shared" si="12"/>
        <v>0.83317484995809832</v>
      </c>
      <c r="BL35" s="72">
        <f t="shared" si="13"/>
        <v>1.1500494041665155</v>
      </c>
      <c r="BM35" s="71">
        <f t="shared" si="14"/>
        <v>0.15569086994675524</v>
      </c>
      <c r="BN35" s="72">
        <f t="shared" si="15"/>
        <v>0.40560726225974209</v>
      </c>
      <c r="BO35" s="57">
        <v>0</v>
      </c>
      <c r="BP35" s="57">
        <v>113490</v>
      </c>
      <c r="BQ35" s="58">
        <v>173058</v>
      </c>
      <c r="BR35" s="48">
        <f t="shared" si="16"/>
        <v>0</v>
      </c>
      <c r="BS35" s="71">
        <f t="shared" si="17"/>
        <v>0.65579169989252162</v>
      </c>
      <c r="BT35" s="72">
        <f t="shared" si="18"/>
        <v>0.94382762890611616</v>
      </c>
      <c r="BU35" s="57">
        <v>0</v>
      </c>
      <c r="BV35" s="57">
        <v>58069</v>
      </c>
      <c r="BW35" s="58">
        <v>126486</v>
      </c>
      <c r="BX35" s="48">
        <f t="shared" si="19"/>
        <v>0</v>
      </c>
      <c r="BY35" s="71">
        <f t="shared" si="20"/>
        <v>0.45909428711477951</v>
      </c>
      <c r="BZ35" s="72">
        <f t="shared" si="21"/>
        <v>0.74444668145751725</v>
      </c>
      <c r="CA35" s="57">
        <v>0</v>
      </c>
      <c r="CB35" s="57">
        <v>59734</v>
      </c>
      <c r="CC35" s="58">
        <v>109727</v>
      </c>
      <c r="CD35" s="48">
        <f t="shared" si="22"/>
        <v>0</v>
      </c>
      <c r="CE35" s="71">
        <f t="shared" si="23"/>
        <v>0.54438743426868497</v>
      </c>
      <c r="CF35" s="72">
        <f t="shared" si="24"/>
        <v>0.82984410813529186</v>
      </c>
      <c r="CG35" s="57">
        <v>0</v>
      </c>
      <c r="CH35" s="57">
        <v>845</v>
      </c>
      <c r="CI35" s="58">
        <v>15074</v>
      </c>
      <c r="CJ35" s="48">
        <f t="shared" si="25"/>
        <v>0</v>
      </c>
      <c r="CK35" s="71">
        <f t="shared" si="26"/>
        <v>5.6056786519835478E-2</v>
      </c>
      <c r="CL35" s="72">
        <f t="shared" si="27"/>
        <v>0.23903291017512832</v>
      </c>
      <c r="CM35" s="57">
        <v>0</v>
      </c>
      <c r="CN35" s="57">
        <v>222542</v>
      </c>
      <c r="CO35" s="58">
        <v>244839</v>
      </c>
      <c r="CP35" s="48">
        <f t="shared" si="28"/>
        <v>0</v>
      </c>
      <c r="CQ35" s="71">
        <f t="shared" si="29"/>
        <v>0.90893199204375119</v>
      </c>
      <c r="CR35" s="72">
        <f t="shared" si="30"/>
        <v>1.2642426693326614</v>
      </c>
      <c r="CS35" s="47">
        <v>0</v>
      </c>
      <c r="CT35" s="47">
        <v>61488</v>
      </c>
      <c r="CU35" s="48">
        <v>68721</v>
      </c>
      <c r="CV35" s="48">
        <f t="shared" si="31"/>
        <v>0</v>
      </c>
      <c r="CW35" s="72">
        <f t="shared" si="32"/>
        <v>0.89474833020474087</v>
      </c>
      <c r="CX35" s="72">
        <f t="shared" si="33"/>
        <v>1.2403923961656951</v>
      </c>
      <c r="CY35" s="57">
        <v>0</v>
      </c>
      <c r="CZ35" s="57">
        <v>15690</v>
      </c>
      <c r="DA35" s="58">
        <v>59892</v>
      </c>
      <c r="DB35" s="48">
        <f t="shared" si="34"/>
        <v>0</v>
      </c>
      <c r="DC35" s="71">
        <f t="shared" si="35"/>
        <v>0.26197154878781809</v>
      </c>
      <c r="DD35" s="72">
        <f t="shared" si="36"/>
        <v>0.5373154301737022</v>
      </c>
      <c r="DE35" s="47">
        <v>0</v>
      </c>
      <c r="DF35" s="47">
        <v>42402</v>
      </c>
      <c r="DG35" s="48">
        <v>67047</v>
      </c>
      <c r="DH35" s="48">
        <f t="shared" si="37"/>
        <v>0</v>
      </c>
      <c r="DI35" s="71">
        <f t="shared" si="38"/>
        <v>0.63242203230569605</v>
      </c>
      <c r="DJ35" s="72">
        <f t="shared" si="39"/>
        <v>0.91941926783913352</v>
      </c>
      <c r="DK35" s="47">
        <v>0</v>
      </c>
      <c r="DL35" s="47">
        <v>36120</v>
      </c>
      <c r="DM35" s="48">
        <v>46527</v>
      </c>
      <c r="DN35" s="48">
        <f t="shared" si="40"/>
        <v>0</v>
      </c>
      <c r="DO35" s="71">
        <f t="shared" si="41"/>
        <v>0.77632342510800179</v>
      </c>
      <c r="DP35" s="72">
        <f t="shared" si="42"/>
        <v>1.078166569888124</v>
      </c>
      <c r="DQ35" s="57">
        <v>1</v>
      </c>
      <c r="DR35" s="57">
        <v>128869</v>
      </c>
      <c r="DS35" s="58">
        <v>140678</v>
      </c>
      <c r="DT35" s="71">
        <f t="shared" si="43"/>
        <v>7.1084320220645726E-6</v>
      </c>
      <c r="DU35" s="72">
        <f t="shared" si="44"/>
        <v>2.6661674488668249E-3</v>
      </c>
      <c r="DV35" s="71">
        <f t="shared" si="45"/>
        <v>0.91605652625143941</v>
      </c>
      <c r="DW35" s="72">
        <f t="shared" si="46"/>
        <v>1.2768515992676988</v>
      </c>
      <c r="DX35" s="57">
        <v>19356</v>
      </c>
      <c r="DY35" s="57">
        <v>71421</v>
      </c>
      <c r="DZ35" s="58">
        <v>171965</v>
      </c>
      <c r="EA35" s="71">
        <f t="shared" si="47"/>
        <v>0.11255778792196086</v>
      </c>
      <c r="EB35" s="72">
        <f t="shared" si="48"/>
        <v>0.34213204784067247</v>
      </c>
      <c r="EC35" s="71">
        <f t="shared" si="49"/>
        <v>0.4153228854708807</v>
      </c>
      <c r="ED35" s="72">
        <f t="shared" si="50"/>
        <v>0.7003109651316809</v>
      </c>
      <c r="EE35" s="57">
        <v>0</v>
      </c>
      <c r="EF35" s="57">
        <v>117603</v>
      </c>
      <c r="EG35" s="58">
        <v>140085</v>
      </c>
      <c r="EH35" s="48">
        <f t="shared" si="51"/>
        <v>0</v>
      </c>
      <c r="EI35" s="71">
        <f t="shared" si="52"/>
        <v>0.83951172502409255</v>
      </c>
      <c r="EJ35" s="72">
        <f t="shared" si="53"/>
        <v>1.1586139517202221</v>
      </c>
      <c r="EK35" s="57">
        <v>0</v>
      </c>
      <c r="EL35" s="57">
        <v>29721</v>
      </c>
      <c r="EM35" s="58">
        <v>31013</v>
      </c>
      <c r="EN35" s="48">
        <f t="shared" si="54"/>
        <v>0</v>
      </c>
      <c r="EO35" s="71">
        <f t="shared" si="55"/>
        <v>0.95834005094637731</v>
      </c>
      <c r="EP35" s="72">
        <f t="shared" si="56"/>
        <v>1.3652442049115763</v>
      </c>
      <c r="EQ35" s="56">
        <v>907229</v>
      </c>
      <c r="ER35" s="59">
        <v>962566</v>
      </c>
      <c r="ES35" s="58">
        <v>1900939</v>
      </c>
      <c r="ET35" s="68">
        <f t="shared" si="57"/>
        <v>0.47725308387065551</v>
      </c>
      <c r="EU35" s="68">
        <f t="shared" si="99"/>
        <v>0</v>
      </c>
      <c r="EV35" s="68">
        <f t="shared" si="58"/>
        <v>0.50636343407126694</v>
      </c>
      <c r="EW35" s="57">
        <v>409369</v>
      </c>
      <c r="EX35" s="57">
        <v>896139</v>
      </c>
      <c r="EY35" s="58">
        <v>1368377</v>
      </c>
      <c r="EZ35" s="68">
        <f t="shared" si="59"/>
        <v>0.2991639000070887</v>
      </c>
      <c r="FA35" s="68">
        <f t="shared" si="60"/>
        <v>0.57872711647500541</v>
      </c>
      <c r="FB35" s="68">
        <f t="shared" si="61"/>
        <v>0.65489189017354132</v>
      </c>
      <c r="FC35" s="57">
        <v>4804</v>
      </c>
      <c r="FD35" s="57">
        <v>295275</v>
      </c>
      <c r="FE35" s="58">
        <v>310933</v>
      </c>
      <c r="FF35" s="68">
        <f t="shared" si="62"/>
        <v>1.6269579205825078E-2</v>
      </c>
      <c r="FG35" s="68">
        <f t="shared" si="63"/>
        <v>0.12790068797414111</v>
      </c>
      <c r="FH35" s="68">
        <f t="shared" si="100"/>
        <v>0.94964188426445573</v>
      </c>
      <c r="FI35" s="57">
        <v>385773</v>
      </c>
      <c r="FJ35" s="57">
        <v>365035</v>
      </c>
      <c r="FK35" s="58">
        <v>775996</v>
      </c>
      <c r="FL35" s="68">
        <f t="shared" si="88"/>
        <v>0.49713271717895452</v>
      </c>
      <c r="FM35" s="68">
        <f t="shared" si="64"/>
        <v>0.7825308648609548</v>
      </c>
      <c r="FN35" s="68">
        <f t="shared" si="65"/>
        <v>0.47040835262037434</v>
      </c>
      <c r="FO35" s="46">
        <f t="shared" si="101"/>
        <v>1707175</v>
      </c>
      <c r="FP35" s="46">
        <f t="shared" si="102"/>
        <v>2519015</v>
      </c>
      <c r="FQ35" s="48">
        <f t="shared" si="103"/>
        <v>4356245</v>
      </c>
      <c r="FR35" s="48">
        <v>5167265</v>
      </c>
      <c r="FS35" s="68">
        <f t="shared" si="66"/>
        <v>0.39189141106618197</v>
      </c>
      <c r="FT35" s="68">
        <f t="shared" si="67"/>
        <v>0.67642900062702693</v>
      </c>
      <c r="FU35" s="68">
        <f t="shared" si="104"/>
        <v>0.57825374835437404</v>
      </c>
      <c r="FV35" s="68">
        <f t="shared" si="68"/>
        <v>0.86397495096244381</v>
      </c>
      <c r="FW35" s="57">
        <v>0</v>
      </c>
      <c r="FX35" s="57">
        <v>115281</v>
      </c>
      <c r="FY35" s="58">
        <v>211855</v>
      </c>
      <c r="FZ35" s="48">
        <f t="shared" si="69"/>
        <v>0</v>
      </c>
      <c r="GA35" s="71">
        <f t="shared" si="70"/>
        <v>0.54415048028132451</v>
      </c>
      <c r="GB35" s="68">
        <f t="shared" si="71"/>
        <v>0.82960621991278194</v>
      </c>
      <c r="GC35" s="57">
        <v>0</v>
      </c>
      <c r="GD35" s="57">
        <v>107950</v>
      </c>
      <c r="GE35" s="58">
        <v>122359</v>
      </c>
      <c r="GF35" s="48">
        <f t="shared" si="72"/>
        <v>0</v>
      </c>
      <c r="GG35" s="68">
        <f t="shared" si="73"/>
        <v>0</v>
      </c>
      <c r="GH35" s="71">
        <f t="shared" si="74"/>
        <v>0.88223996600168353</v>
      </c>
      <c r="GI35" s="68">
        <f t="shared" si="75"/>
        <v>1.2205152615076267</v>
      </c>
      <c r="GJ35" s="57">
        <v>0</v>
      </c>
      <c r="GK35" s="57">
        <v>657508</v>
      </c>
      <c r="GL35" s="58">
        <v>665332</v>
      </c>
      <c r="GM35" s="71">
        <f t="shared" si="76"/>
        <v>0</v>
      </c>
      <c r="GN35" s="68">
        <f t="shared" si="77"/>
        <v>0</v>
      </c>
      <c r="GO35" s="71">
        <f t="shared" si="78"/>
        <v>0.98824045739570621</v>
      </c>
      <c r="GP35" s="68">
        <f t="shared" si="79"/>
        <v>1.4621412324698599</v>
      </c>
      <c r="GQ35" s="57">
        <v>20290</v>
      </c>
      <c r="GR35" s="57">
        <v>596127</v>
      </c>
      <c r="GS35" s="58">
        <v>618230</v>
      </c>
      <c r="GT35" s="71">
        <f t="shared" si="80"/>
        <v>3.2819500833023312E-2</v>
      </c>
      <c r="GU35" s="68">
        <f t="shared" si="81"/>
        <v>0.18216739833468673</v>
      </c>
      <c r="GV35" s="71">
        <f t="shared" si="82"/>
        <v>0.96424793361693872</v>
      </c>
      <c r="GW35" s="68">
        <f t="shared" si="83"/>
        <v>1.3805689568546546</v>
      </c>
      <c r="GX35" s="40">
        <v>20290</v>
      </c>
      <c r="GY35" s="40">
        <v>1361585</v>
      </c>
      <c r="GZ35">
        <v>1405921</v>
      </c>
      <c r="HA35" s="126">
        <f t="shared" si="84"/>
        <v>1.4431820849108877E-2</v>
      </c>
      <c r="HB35" s="126">
        <f t="shared" si="85"/>
        <v>0.96846479994252876</v>
      </c>
      <c r="HC35" s="68">
        <f t="shared" si="86"/>
        <v>1.3922679521817167</v>
      </c>
    </row>
    <row r="36" spans="1:211" x14ac:dyDescent="0.2">
      <c r="A36">
        <v>1995</v>
      </c>
      <c r="B36" s="25">
        <v>5009</v>
      </c>
      <c r="C36" s="1">
        <v>2465</v>
      </c>
      <c r="D36" s="1">
        <v>3605</v>
      </c>
      <c r="E36" s="1">
        <v>4174</v>
      </c>
      <c r="F36" s="69">
        <f t="shared" si="87"/>
        <v>15253</v>
      </c>
      <c r="G36" s="23">
        <f t="shared" si="7"/>
        <v>15250.500000000002</v>
      </c>
      <c r="H36" s="1">
        <v>1762</v>
      </c>
      <c r="I36" s="1">
        <v>475</v>
      </c>
      <c r="J36" s="1">
        <v>247</v>
      </c>
      <c r="K36" s="1">
        <v>691</v>
      </c>
      <c r="L36" s="1">
        <v>102</v>
      </c>
      <c r="M36" s="1">
        <v>69</v>
      </c>
      <c r="N36" s="1">
        <v>96</v>
      </c>
      <c r="O36" s="1">
        <v>422</v>
      </c>
      <c r="P36" s="1">
        <v>274</v>
      </c>
      <c r="Q36" s="1">
        <v>216</v>
      </c>
      <c r="R36" s="1">
        <v>72</v>
      </c>
      <c r="S36" s="1">
        <v>191</v>
      </c>
      <c r="T36" s="69">
        <f t="shared" si="89"/>
        <v>753</v>
      </c>
      <c r="U36" s="1">
        <v>131</v>
      </c>
      <c r="V36" s="1">
        <v>109</v>
      </c>
      <c r="W36" s="1">
        <v>271</v>
      </c>
      <c r="X36" s="1">
        <v>177</v>
      </c>
      <c r="Y36" s="1">
        <v>97</v>
      </c>
      <c r="Z36" s="1">
        <v>101</v>
      </c>
      <c r="AA36" s="1">
        <v>57</v>
      </c>
      <c r="AB36" s="69">
        <f t="shared" si="90"/>
        <v>255</v>
      </c>
      <c r="AC36" s="27">
        <v>3936.5</v>
      </c>
      <c r="AD36" s="13">
        <v>1148.0999999999999</v>
      </c>
      <c r="AE36" s="13">
        <v>2878.4</v>
      </c>
      <c r="AF36" s="13">
        <v>3913.6</v>
      </c>
      <c r="AG36" s="41">
        <f t="shared" si="91"/>
        <v>11876.6</v>
      </c>
      <c r="AH36" s="27">
        <v>10725.7</v>
      </c>
      <c r="AI36" s="13">
        <v>7387</v>
      </c>
      <c r="AJ36" s="13">
        <v>18207</v>
      </c>
      <c r="AK36" s="13">
        <v>10365.799999999999</v>
      </c>
      <c r="AL36" s="41">
        <f t="shared" si="92"/>
        <v>46685.5</v>
      </c>
      <c r="AM36" s="32">
        <v>25827</v>
      </c>
      <c r="AN36" s="31">
        <v>42389</v>
      </c>
      <c r="AO36" s="35">
        <f>5902.7+891.8+9.4</f>
        <v>6803.9</v>
      </c>
      <c r="AP36" s="35">
        <f>2770+26.5+1957.7+7021.4+553+10996.2+2884.7+1109.6</f>
        <v>27319.1</v>
      </c>
      <c r="AQ36" s="85">
        <v>143484</v>
      </c>
      <c r="AR36" s="30" t="e">
        <f>AZ36/#REF!</f>
        <v>#REF!</v>
      </c>
      <c r="AS36" s="74" t="e">
        <f>AY36/#REF!</f>
        <v>#REF!</v>
      </c>
      <c r="AT36" s="13">
        <f>precipitacion!P12</f>
        <v>470</v>
      </c>
      <c r="AU36" s="13">
        <f>precipitacion!O12</f>
        <v>1911</v>
      </c>
      <c r="AV36" s="13">
        <f>precipitacion!Q12</f>
        <v>184</v>
      </c>
      <c r="AW36" s="13">
        <f>precipitacion!R12</f>
        <v>626</v>
      </c>
      <c r="AX36" s="13">
        <f>precipitacion!G12</f>
        <v>123</v>
      </c>
      <c r="AY36" s="13">
        <v>5533.6</v>
      </c>
      <c r="AZ36" s="13">
        <v>22382.3</v>
      </c>
      <c r="BA36" s="56">
        <v>398473</v>
      </c>
      <c r="BB36" s="57">
        <v>213232</v>
      </c>
      <c r="BC36" s="58">
        <v>725497</v>
      </c>
      <c r="BD36" s="72">
        <f t="shared" si="8"/>
        <v>0.54924141657374181</v>
      </c>
      <c r="BE36" s="72">
        <f t="shared" si="9"/>
        <v>0.83471952706349417</v>
      </c>
      <c r="BF36" s="72">
        <f t="shared" si="10"/>
        <v>0.2939116219639778</v>
      </c>
      <c r="BG36" s="72">
        <f t="shared" si="11"/>
        <v>0.57297720532767471</v>
      </c>
      <c r="BH36" s="56">
        <v>491648</v>
      </c>
      <c r="BI36" s="57">
        <v>40397</v>
      </c>
      <c r="BJ36" s="58">
        <v>535154</v>
      </c>
      <c r="BK36" s="71">
        <f t="shared" si="12"/>
        <v>0.91870377498813427</v>
      </c>
      <c r="BL36" s="72">
        <f t="shared" si="13"/>
        <v>1.2816595620384101</v>
      </c>
      <c r="BM36" s="71">
        <f t="shared" si="14"/>
        <v>7.5486682338168076E-2</v>
      </c>
      <c r="BN36" s="72">
        <f t="shared" si="15"/>
        <v>0.2783280207096096</v>
      </c>
      <c r="BO36" s="57">
        <v>0</v>
      </c>
      <c r="BP36" s="57">
        <v>79921</v>
      </c>
      <c r="BQ36" s="58">
        <v>111333</v>
      </c>
      <c r="BR36" s="48">
        <f t="shared" si="16"/>
        <v>0</v>
      </c>
      <c r="BS36" s="71">
        <f t="shared" si="17"/>
        <v>0.71785544268096613</v>
      </c>
      <c r="BT36" s="72">
        <f t="shared" si="18"/>
        <v>1.0108121246444257</v>
      </c>
      <c r="BU36" s="57">
        <v>0</v>
      </c>
      <c r="BV36" s="57">
        <v>80103</v>
      </c>
      <c r="BW36" s="58">
        <v>155647</v>
      </c>
      <c r="BX36" s="48">
        <f t="shared" si="19"/>
        <v>0</v>
      </c>
      <c r="BY36" s="71">
        <f t="shared" si="20"/>
        <v>0.51464531921591805</v>
      </c>
      <c r="BZ36" s="72">
        <f t="shared" si="21"/>
        <v>0.8000455775601264</v>
      </c>
      <c r="CA36" s="57">
        <v>0</v>
      </c>
      <c r="CB36" s="57">
        <v>37226</v>
      </c>
      <c r="CC36" s="58">
        <v>71168</v>
      </c>
      <c r="CD36" s="48">
        <f t="shared" si="22"/>
        <v>0</v>
      </c>
      <c r="CE36" s="71">
        <f t="shared" si="23"/>
        <v>0.5230721672661871</v>
      </c>
      <c r="CF36" s="72">
        <f t="shared" si="24"/>
        <v>0.80847852644526497</v>
      </c>
      <c r="CG36" s="57">
        <v>0</v>
      </c>
      <c r="CH36" s="57">
        <v>313</v>
      </c>
      <c r="CI36" s="58">
        <v>23620</v>
      </c>
      <c r="CJ36" s="48">
        <f t="shared" si="25"/>
        <v>0</v>
      </c>
      <c r="CK36" s="71">
        <f t="shared" si="26"/>
        <v>1.3251481795088907E-2</v>
      </c>
      <c r="CL36" s="72">
        <f t="shared" si="27"/>
        <v>0.11537084970643592</v>
      </c>
      <c r="CM36" s="57">
        <v>0</v>
      </c>
      <c r="CN36" s="57">
        <v>182921</v>
      </c>
      <c r="CO36" s="58">
        <v>208007</v>
      </c>
      <c r="CP36" s="48">
        <f t="shared" si="28"/>
        <v>0</v>
      </c>
      <c r="CQ36" s="71">
        <f t="shared" si="29"/>
        <v>0.87939828948064247</v>
      </c>
      <c r="CR36" s="72">
        <f t="shared" si="30"/>
        <v>1.2161299024643015</v>
      </c>
      <c r="CS36" s="47">
        <v>0</v>
      </c>
      <c r="CT36" s="47">
        <v>57445</v>
      </c>
      <c r="CU36" s="48">
        <v>65688</v>
      </c>
      <c r="CV36" s="48">
        <f t="shared" si="31"/>
        <v>0</v>
      </c>
      <c r="CW36" s="72">
        <f t="shared" si="32"/>
        <v>0.87451284861770795</v>
      </c>
      <c r="CX36" s="72">
        <f t="shared" si="33"/>
        <v>1.208693313002223</v>
      </c>
      <c r="CY36" s="57">
        <v>0</v>
      </c>
      <c r="CZ36" s="57">
        <v>9901</v>
      </c>
      <c r="DA36" s="58">
        <v>62017</v>
      </c>
      <c r="DB36" s="48">
        <f t="shared" si="34"/>
        <v>0</v>
      </c>
      <c r="DC36" s="71">
        <f t="shared" si="35"/>
        <v>0.15964977344921555</v>
      </c>
      <c r="DD36" s="72">
        <f t="shared" si="36"/>
        <v>0.41103897358693336</v>
      </c>
      <c r="DE36" s="47">
        <v>0</v>
      </c>
      <c r="DF36" s="47">
        <v>32137</v>
      </c>
      <c r="DG36" s="48">
        <v>58893</v>
      </c>
      <c r="DH36" s="48">
        <f t="shared" si="37"/>
        <v>0</v>
      </c>
      <c r="DI36" s="71">
        <f t="shared" si="38"/>
        <v>0.54568454655052379</v>
      </c>
      <c r="DJ36" s="72">
        <f t="shared" si="39"/>
        <v>0.83114651473956769</v>
      </c>
      <c r="DK36" s="47">
        <v>0</v>
      </c>
      <c r="DL36" s="47">
        <v>57390</v>
      </c>
      <c r="DM36" s="48">
        <v>75857</v>
      </c>
      <c r="DN36" s="48">
        <f t="shared" si="40"/>
        <v>0</v>
      </c>
      <c r="DO36" s="71">
        <f t="shared" si="41"/>
        <v>0.75655509709057833</v>
      </c>
      <c r="DP36" s="72">
        <f t="shared" si="42"/>
        <v>1.0548003903403309</v>
      </c>
      <c r="DQ36" s="57">
        <v>233</v>
      </c>
      <c r="DR36" s="57">
        <v>317882</v>
      </c>
      <c r="DS36" s="58">
        <v>338897</v>
      </c>
      <c r="DT36" s="71">
        <f t="shared" si="43"/>
        <v>6.8752452810145852E-4</v>
      </c>
      <c r="DU36" s="72">
        <f t="shared" si="44"/>
        <v>2.6223694423705202E-2</v>
      </c>
      <c r="DV36" s="71">
        <f t="shared" si="45"/>
        <v>0.93799000876372463</v>
      </c>
      <c r="DW36" s="72">
        <f t="shared" si="46"/>
        <v>1.3191300885126143</v>
      </c>
      <c r="DX36" s="57">
        <v>9140</v>
      </c>
      <c r="DY36" s="57">
        <v>71229</v>
      </c>
      <c r="DZ36" s="58">
        <v>176276</v>
      </c>
      <c r="EA36" s="71">
        <f t="shared" si="47"/>
        <v>5.1850507159227573E-2</v>
      </c>
      <c r="EB36" s="72">
        <f t="shared" si="48"/>
        <v>0.22972223506333986</v>
      </c>
      <c r="EC36" s="71">
        <f t="shared" si="49"/>
        <v>0.404076561755429</v>
      </c>
      <c r="ED36" s="72">
        <f t="shared" si="50"/>
        <v>0.68887634669533415</v>
      </c>
      <c r="EE36" s="57">
        <v>0</v>
      </c>
      <c r="EF36" s="57">
        <v>156680</v>
      </c>
      <c r="EG36" s="58">
        <v>174981</v>
      </c>
      <c r="EH36" s="48">
        <f t="shared" si="51"/>
        <v>0</v>
      </c>
      <c r="EI36" s="71">
        <f t="shared" si="52"/>
        <v>0.89541150182019758</v>
      </c>
      <c r="EJ36" s="72">
        <f t="shared" si="53"/>
        <v>1.2414744184875062</v>
      </c>
      <c r="EK36" s="57">
        <v>0</v>
      </c>
      <c r="EL36" s="57">
        <v>12369</v>
      </c>
      <c r="EM36" s="58">
        <v>13140</v>
      </c>
      <c r="EN36" s="48">
        <f t="shared" si="54"/>
        <v>0</v>
      </c>
      <c r="EO36" s="71">
        <f t="shared" si="55"/>
        <v>0.94132420091324198</v>
      </c>
      <c r="EP36" s="72">
        <f t="shared" si="56"/>
        <v>1.3261317756286843</v>
      </c>
      <c r="EQ36" s="56">
        <v>1362215</v>
      </c>
      <c r="ER36" s="59">
        <v>1240704</v>
      </c>
      <c r="ES36" s="58">
        <v>2620989</v>
      </c>
      <c r="ET36" s="68">
        <f t="shared" si="57"/>
        <v>0.51973319994856904</v>
      </c>
      <c r="EU36" s="68">
        <f t="shared" si="99"/>
        <v>0</v>
      </c>
      <c r="EV36" s="68">
        <f t="shared" si="58"/>
        <v>0.47337245596986482</v>
      </c>
      <c r="EW36" s="57">
        <v>457728</v>
      </c>
      <c r="EX36" s="57">
        <v>1068957</v>
      </c>
      <c r="EY36" s="58">
        <v>1579764</v>
      </c>
      <c r="EZ36" s="68">
        <f t="shared" si="59"/>
        <v>0.28974454412178019</v>
      </c>
      <c r="FA36" s="68">
        <f t="shared" si="60"/>
        <v>0.56839398006439767</v>
      </c>
      <c r="FB36" s="68">
        <f t="shared" si="61"/>
        <v>0.67665613344778086</v>
      </c>
      <c r="FC36" s="57">
        <v>4451</v>
      </c>
      <c r="FD36" s="57">
        <v>384354</v>
      </c>
      <c r="FE36" s="58">
        <v>411467</v>
      </c>
      <c r="FF36" s="68">
        <f t="shared" si="62"/>
        <v>1.1580470087471446E-2</v>
      </c>
      <c r="FG36" s="68">
        <f t="shared" si="63"/>
        <v>0.10782138323406942</v>
      </c>
      <c r="FH36" s="68">
        <f t="shared" si="100"/>
        <v>0.93410650185798616</v>
      </c>
      <c r="FI36" s="57">
        <v>518990</v>
      </c>
      <c r="FJ36" s="57">
        <v>424155</v>
      </c>
      <c r="FK36" s="58">
        <v>972900</v>
      </c>
      <c r="FL36" s="68">
        <f t="shared" si="88"/>
        <v>0.53344639736869159</v>
      </c>
      <c r="FM36" s="68">
        <f t="shared" si="64"/>
        <v>0.81886955459088451</v>
      </c>
      <c r="FN36" s="68">
        <f t="shared" si="65"/>
        <v>0.43596978106691336</v>
      </c>
      <c r="FO36" s="46">
        <f t="shared" si="101"/>
        <v>2343384</v>
      </c>
      <c r="FP36" s="46">
        <f t="shared" si="102"/>
        <v>3118170</v>
      </c>
      <c r="FQ36" s="48">
        <f t="shared" si="103"/>
        <v>5585120</v>
      </c>
      <c r="FR36" s="48">
        <v>4356245</v>
      </c>
      <c r="FS36" s="68">
        <f t="shared" si="66"/>
        <v>0.41957630274729996</v>
      </c>
      <c r="FT36" s="68">
        <f t="shared" si="67"/>
        <v>0.70462358002445757</v>
      </c>
      <c r="FU36" s="68">
        <f t="shared" si="104"/>
        <v>0.55829955309823243</v>
      </c>
      <c r="FV36" s="68">
        <f t="shared" si="68"/>
        <v>0.84383063176236928</v>
      </c>
      <c r="FW36" s="57">
        <v>0</v>
      </c>
      <c r="FX36" s="57">
        <v>88419</v>
      </c>
      <c r="FY36" s="58">
        <v>195968</v>
      </c>
      <c r="FZ36" s="48">
        <f t="shared" si="69"/>
        <v>0</v>
      </c>
      <c r="GA36" s="71">
        <f t="shared" si="70"/>
        <v>0.45119101077726975</v>
      </c>
      <c r="GB36" s="68">
        <f t="shared" si="71"/>
        <v>0.73651132085830329</v>
      </c>
      <c r="GC36" s="57">
        <v>0</v>
      </c>
      <c r="GD36" s="57">
        <v>151000</v>
      </c>
      <c r="GE36" s="58">
        <v>170823</v>
      </c>
      <c r="GF36" s="48">
        <f t="shared" si="72"/>
        <v>0</v>
      </c>
      <c r="GG36" s="68">
        <f t="shared" si="73"/>
        <v>0</v>
      </c>
      <c r="GH36" s="71">
        <f t="shared" si="74"/>
        <v>0.8839559075768485</v>
      </c>
      <c r="GI36" s="68">
        <f t="shared" si="75"/>
        <v>1.2231855592917671</v>
      </c>
      <c r="GJ36" s="57">
        <v>0</v>
      </c>
      <c r="GK36" s="57">
        <v>765998</v>
      </c>
      <c r="GL36" s="58">
        <v>781497</v>
      </c>
      <c r="GM36" s="71">
        <f t="shared" si="76"/>
        <v>0</v>
      </c>
      <c r="GN36" s="68">
        <f t="shared" si="77"/>
        <v>0</v>
      </c>
      <c r="GO36" s="71">
        <f t="shared" si="78"/>
        <v>0.98016755022732016</v>
      </c>
      <c r="GP36" s="68">
        <f t="shared" si="79"/>
        <v>1.4294988987530797</v>
      </c>
      <c r="GQ36" s="57">
        <v>33590</v>
      </c>
      <c r="GR36" s="57">
        <v>749156</v>
      </c>
      <c r="GS36" s="58">
        <v>786670</v>
      </c>
      <c r="GT36" s="71">
        <f t="shared" si="80"/>
        <v>4.2698971614527056E-2</v>
      </c>
      <c r="GU36" s="68">
        <f t="shared" si="81"/>
        <v>0.20813682347178208</v>
      </c>
      <c r="GV36" s="71">
        <f t="shared" si="82"/>
        <v>0.95231291392833084</v>
      </c>
      <c r="GW36" s="68">
        <f t="shared" si="83"/>
        <v>1.3506486580328965</v>
      </c>
      <c r="GX36" s="40">
        <v>33590</v>
      </c>
      <c r="GY36" s="40">
        <v>1666154</v>
      </c>
      <c r="GZ36">
        <v>1738990</v>
      </c>
      <c r="HA36" s="126">
        <f t="shared" si="84"/>
        <v>1.9315809751637443E-2</v>
      </c>
      <c r="HB36" s="126">
        <f t="shared" si="85"/>
        <v>0.95811591786036721</v>
      </c>
      <c r="HC36" s="68">
        <f t="shared" si="86"/>
        <v>1.3646840615227225</v>
      </c>
    </row>
    <row r="37" spans="1:211" x14ac:dyDescent="0.2">
      <c r="A37">
        <v>1996</v>
      </c>
      <c r="B37" s="25">
        <v>2305</v>
      </c>
      <c r="C37" s="1">
        <v>1187</v>
      </c>
      <c r="D37" s="1">
        <v>3994</v>
      </c>
      <c r="E37" s="1">
        <v>2775</v>
      </c>
      <c r="F37" s="69">
        <f t="shared" si="87"/>
        <v>10261</v>
      </c>
      <c r="G37" s="23">
        <f t="shared" si="7"/>
        <v>10258.5</v>
      </c>
      <c r="H37" s="1">
        <v>706</v>
      </c>
      <c r="I37" s="1">
        <v>309</v>
      </c>
      <c r="J37" s="1">
        <v>106</v>
      </c>
      <c r="K37" s="1">
        <v>399</v>
      </c>
      <c r="L37" s="1">
        <v>31</v>
      </c>
      <c r="M37" s="1">
        <v>43</v>
      </c>
      <c r="N37" s="1">
        <v>120</v>
      </c>
      <c r="O37" s="1">
        <v>518</v>
      </c>
      <c r="P37" s="1">
        <v>127</v>
      </c>
      <c r="Q37" s="1">
        <v>164</v>
      </c>
      <c r="R37" s="1">
        <v>69</v>
      </c>
      <c r="S37" s="1">
        <v>103</v>
      </c>
      <c r="T37" s="69">
        <f t="shared" si="89"/>
        <v>463</v>
      </c>
      <c r="U37" s="1">
        <v>107</v>
      </c>
      <c r="V37" s="1">
        <v>69</v>
      </c>
      <c r="W37" s="1">
        <v>185</v>
      </c>
      <c r="X37" s="1">
        <v>78</v>
      </c>
      <c r="Y37" s="1">
        <v>22</v>
      </c>
      <c r="Z37" s="1">
        <v>89</v>
      </c>
      <c r="AA37" s="1">
        <v>48</v>
      </c>
      <c r="AB37" s="69">
        <f t="shared" si="90"/>
        <v>159</v>
      </c>
      <c r="AC37" s="27">
        <v>836.9</v>
      </c>
      <c r="AD37" s="13">
        <v>338.6</v>
      </c>
      <c r="AE37" s="13">
        <v>1633.2</v>
      </c>
      <c r="AF37" s="13">
        <v>660.6</v>
      </c>
      <c r="AG37" s="41">
        <f t="shared" si="91"/>
        <v>3469.2999999999997</v>
      </c>
      <c r="AH37" s="27">
        <v>2593.1</v>
      </c>
      <c r="AI37" s="13">
        <v>2279.5</v>
      </c>
      <c r="AJ37" s="13">
        <v>16946.599999999999</v>
      </c>
      <c r="AK37" s="13">
        <v>2194.9</v>
      </c>
      <c r="AL37" s="41">
        <f t="shared" si="92"/>
        <v>24014.1</v>
      </c>
      <c r="AM37" s="32">
        <v>16772</v>
      </c>
      <c r="AN37" s="31">
        <v>10538</v>
      </c>
      <c r="AO37" s="35">
        <f>1392+131.2+0.2</f>
        <v>1523.4</v>
      </c>
      <c r="AP37" s="35">
        <f>637.4+38.4+194.5+1251.3+182.3+2424.7+75.5+648.1</f>
        <v>5452.2000000000007</v>
      </c>
      <c r="AQ37" s="1">
        <v>59825</v>
      </c>
      <c r="AR37" s="30" t="e">
        <f>AZ37/#REF!</f>
        <v>#REF!</v>
      </c>
      <c r="AS37" s="74" t="e">
        <f>AY37/#REF!</f>
        <v>#REF!</v>
      </c>
      <c r="AT37" s="13">
        <f>precipitacion!P13</f>
        <v>601</v>
      </c>
      <c r="AU37" s="13">
        <f>precipitacion!O13</f>
        <v>1977</v>
      </c>
      <c r="AV37" s="13">
        <f>precipitacion!Q13</f>
        <v>231</v>
      </c>
      <c r="AW37" s="13">
        <f>precipitacion!R13</f>
        <v>867</v>
      </c>
      <c r="AX37" s="13">
        <f>precipitacion!G13</f>
        <v>130</v>
      </c>
      <c r="AY37" s="13">
        <v>1344.3</v>
      </c>
      <c r="AZ37" s="13">
        <v>7238.1</v>
      </c>
      <c r="BA37" s="56">
        <v>313883</v>
      </c>
      <c r="BB37" s="57">
        <v>143514</v>
      </c>
      <c r="BC37" s="58">
        <v>575248</v>
      </c>
      <c r="BD37" s="72">
        <f t="shared" si="8"/>
        <v>0.54564813784663313</v>
      </c>
      <c r="BE37" s="72">
        <f t="shared" si="9"/>
        <v>0.83110995322447678</v>
      </c>
      <c r="BF37" s="72">
        <f t="shared" si="10"/>
        <v>0.24948196256223404</v>
      </c>
      <c r="BG37" s="72">
        <f t="shared" si="11"/>
        <v>0.52300039061851034</v>
      </c>
      <c r="BH37" s="56">
        <v>246283</v>
      </c>
      <c r="BI37" s="57">
        <v>43506</v>
      </c>
      <c r="BJ37" s="58">
        <v>295866</v>
      </c>
      <c r="BK37" s="71">
        <f t="shared" si="12"/>
        <v>0.83241399822892792</v>
      </c>
      <c r="BL37" s="72">
        <f t="shared" si="13"/>
        <v>1.1490299305083906</v>
      </c>
      <c r="BM37" s="71">
        <f t="shared" si="14"/>
        <v>0.14704629798625055</v>
      </c>
      <c r="BN37" s="72">
        <f t="shared" si="15"/>
        <v>0.39354645179081471</v>
      </c>
      <c r="BO37" s="57">
        <v>0</v>
      </c>
      <c r="BP37" s="57">
        <v>75240</v>
      </c>
      <c r="BQ37" s="58">
        <v>107975</v>
      </c>
      <c r="BR37" s="48">
        <f t="shared" si="16"/>
        <v>0</v>
      </c>
      <c r="BS37" s="71">
        <f t="shared" si="17"/>
        <v>0.6968279694373698</v>
      </c>
      <c r="BT37" s="72">
        <f t="shared" si="18"/>
        <v>0.98770080192211307</v>
      </c>
      <c r="BU37" s="57">
        <v>0</v>
      </c>
      <c r="BV37" s="57">
        <v>64646</v>
      </c>
      <c r="BW37" s="58">
        <v>109126</v>
      </c>
      <c r="BX37" s="48">
        <f t="shared" si="19"/>
        <v>0</v>
      </c>
      <c r="BY37" s="71">
        <f t="shared" si="20"/>
        <v>0.59239777871451349</v>
      </c>
      <c r="BZ37" s="72">
        <f t="shared" si="21"/>
        <v>0.8783300798300514</v>
      </c>
      <c r="CA37" s="57">
        <v>0</v>
      </c>
      <c r="CB37" s="57">
        <v>169961</v>
      </c>
      <c r="CC37" s="58">
        <v>195607</v>
      </c>
      <c r="CD37" s="48">
        <f t="shared" si="22"/>
        <v>0</v>
      </c>
      <c r="CE37" s="71">
        <f t="shared" si="23"/>
        <v>0.86889017264208335</v>
      </c>
      <c r="CF37" s="72">
        <f t="shared" si="24"/>
        <v>1.2002862855059055</v>
      </c>
      <c r="CG37" s="57">
        <v>0</v>
      </c>
      <c r="CH37" s="57">
        <v>889</v>
      </c>
      <c r="CI37" s="58">
        <v>16784</v>
      </c>
      <c r="CJ37" s="48">
        <f t="shared" si="25"/>
        <v>0</v>
      </c>
      <c r="CK37" s="71">
        <f t="shared" si="26"/>
        <v>5.2967111534795046E-2</v>
      </c>
      <c r="CL37" s="72">
        <f t="shared" si="27"/>
        <v>0.23222755173436005</v>
      </c>
      <c r="CM37" s="57">
        <v>0</v>
      </c>
      <c r="CN37" s="57">
        <v>175141</v>
      </c>
      <c r="CO37" s="58">
        <v>200622</v>
      </c>
      <c r="CP37" s="48">
        <f t="shared" si="28"/>
        <v>0</v>
      </c>
      <c r="CQ37" s="71">
        <f t="shared" si="29"/>
        <v>0.87299000109658964</v>
      </c>
      <c r="CR37" s="72">
        <f t="shared" si="30"/>
        <v>1.2064007511603405</v>
      </c>
      <c r="CS37" s="47">
        <v>0</v>
      </c>
      <c r="CT37" s="47">
        <v>34779</v>
      </c>
      <c r="CU37" s="48">
        <v>39907</v>
      </c>
      <c r="CV37" s="48">
        <f t="shared" si="31"/>
        <v>0</v>
      </c>
      <c r="CW37" s="72">
        <f t="shared" si="32"/>
        <v>0.87150124038389254</v>
      </c>
      <c r="CX37" s="72">
        <f t="shared" si="33"/>
        <v>1.2041708310220911</v>
      </c>
      <c r="CY37" s="57">
        <v>0</v>
      </c>
      <c r="CZ37" s="57">
        <v>31933</v>
      </c>
      <c r="DA37" s="58">
        <v>74782</v>
      </c>
      <c r="DB37" s="48">
        <f t="shared" si="34"/>
        <v>0</v>
      </c>
      <c r="DC37" s="71">
        <f t="shared" si="35"/>
        <v>0.42701452221122732</v>
      </c>
      <c r="DD37" s="72">
        <f t="shared" si="36"/>
        <v>0.71215097849205233</v>
      </c>
      <c r="DE37" s="47">
        <v>0</v>
      </c>
      <c r="DF37" s="47">
        <v>27633</v>
      </c>
      <c r="DG37" s="48">
        <v>47633</v>
      </c>
      <c r="DH37" s="48">
        <f t="shared" si="37"/>
        <v>0</v>
      </c>
      <c r="DI37" s="71">
        <f t="shared" si="38"/>
        <v>0.58012302395398152</v>
      </c>
      <c r="DJ37" s="72">
        <f t="shared" si="39"/>
        <v>0.86586812194718299</v>
      </c>
      <c r="DK37" s="47">
        <v>0</v>
      </c>
      <c r="DL37" s="47">
        <v>41253</v>
      </c>
      <c r="DM37" s="48">
        <v>60947</v>
      </c>
      <c r="DN37" s="48">
        <f t="shared" si="40"/>
        <v>0</v>
      </c>
      <c r="DO37" s="71">
        <f t="shared" si="41"/>
        <v>0.6768667858959424</v>
      </c>
      <c r="DP37" s="72">
        <f t="shared" si="42"/>
        <v>0.9661780397593922</v>
      </c>
      <c r="DQ37" s="57">
        <v>297</v>
      </c>
      <c r="DR37" s="57">
        <v>197959</v>
      </c>
      <c r="DS37" s="58">
        <v>216598</v>
      </c>
      <c r="DT37" s="71">
        <f t="shared" si="43"/>
        <v>1.3712037968956316E-3</v>
      </c>
      <c r="DU37" s="72">
        <f t="shared" si="44"/>
        <v>3.7038236849501194E-2</v>
      </c>
      <c r="DV37" s="71">
        <f t="shared" si="45"/>
        <v>0.91394657383724687</v>
      </c>
      <c r="DW37" s="72">
        <f t="shared" si="46"/>
        <v>1.2730686182257633</v>
      </c>
      <c r="DX37" s="57">
        <v>3432</v>
      </c>
      <c r="DY37" s="57">
        <v>83725</v>
      </c>
      <c r="DZ37" s="58">
        <v>194697</v>
      </c>
      <c r="EA37" s="71">
        <f t="shared" si="47"/>
        <v>1.7627390252546265E-2</v>
      </c>
      <c r="EB37" s="72">
        <f t="shared" si="48"/>
        <v>0.13316136874510873</v>
      </c>
      <c r="EC37" s="71">
        <f t="shared" si="49"/>
        <v>0.43002717042378669</v>
      </c>
      <c r="ED37" s="72">
        <f t="shared" si="50"/>
        <v>0.71519489660922653</v>
      </c>
      <c r="EE37" s="57">
        <v>0</v>
      </c>
      <c r="EF37" s="57">
        <v>91052</v>
      </c>
      <c r="EG37" s="58">
        <v>105298</v>
      </c>
      <c r="EH37" s="48">
        <f t="shared" si="51"/>
        <v>0</v>
      </c>
      <c r="EI37" s="71">
        <f t="shared" si="52"/>
        <v>0.86470778172424922</v>
      </c>
      <c r="EJ37" s="72">
        <f t="shared" si="53"/>
        <v>1.1941317684588209</v>
      </c>
      <c r="EK37" s="57">
        <v>0</v>
      </c>
      <c r="EL37" s="57">
        <v>6301</v>
      </c>
      <c r="EM37" s="58">
        <v>7605</v>
      </c>
      <c r="EN37" s="48">
        <f t="shared" si="54"/>
        <v>0</v>
      </c>
      <c r="EO37" s="71">
        <f t="shared" si="55"/>
        <v>0.82853385930309009</v>
      </c>
      <c r="EP37" s="72">
        <f t="shared" si="56"/>
        <v>1.143859312333549</v>
      </c>
      <c r="EQ37" s="56">
        <v>1391280</v>
      </c>
      <c r="ER37" s="59">
        <v>1310810</v>
      </c>
      <c r="ES37" s="58">
        <v>2723815</v>
      </c>
      <c r="ET37" s="68">
        <f t="shared" si="57"/>
        <v>0.51078358845956862</v>
      </c>
      <c r="EU37" s="68">
        <f t="shared" si="99"/>
        <v>0</v>
      </c>
      <c r="EV37" s="68">
        <f t="shared" si="58"/>
        <v>0.48124046603752457</v>
      </c>
      <c r="EW37" s="57">
        <v>467493</v>
      </c>
      <c r="EX37" s="57">
        <v>1128946</v>
      </c>
      <c r="EY37" s="58">
        <v>1660260</v>
      </c>
      <c r="EZ37" s="68">
        <f t="shared" si="59"/>
        <v>0.28157818654909472</v>
      </c>
      <c r="FA37" s="68">
        <f t="shared" si="60"/>
        <v>0.55935476994498268</v>
      </c>
      <c r="FB37" s="68">
        <f t="shared" si="61"/>
        <v>0.67998144868875954</v>
      </c>
      <c r="FC37" s="57">
        <v>4546</v>
      </c>
      <c r="FD37" s="57">
        <v>405951</v>
      </c>
      <c r="FE37" s="58">
        <v>437819</v>
      </c>
      <c r="FF37" s="68">
        <f t="shared" si="62"/>
        <v>1.1198395865510863E-2</v>
      </c>
      <c r="FG37" s="68">
        <f t="shared" si="63"/>
        <v>0.10602098231742346</v>
      </c>
      <c r="FH37" s="68">
        <f t="shared" si="100"/>
        <v>0.9272119300441507</v>
      </c>
      <c r="FI37" s="57">
        <v>530065</v>
      </c>
      <c r="FJ37" s="57">
        <v>447950</v>
      </c>
      <c r="FK37" s="58">
        <v>1013790</v>
      </c>
      <c r="FL37" s="68">
        <f t="shared" si="88"/>
        <v>0.52285483186853288</v>
      </c>
      <c r="FM37" s="68">
        <f t="shared" si="64"/>
        <v>0.80826096147103077</v>
      </c>
      <c r="FN37" s="68">
        <f t="shared" si="65"/>
        <v>0.44185679479971196</v>
      </c>
      <c r="FO37" s="46">
        <f t="shared" si="101"/>
        <v>2393384</v>
      </c>
      <c r="FP37" s="46">
        <f t="shared" si="102"/>
        <v>3293657</v>
      </c>
      <c r="FQ37" s="48">
        <f t="shared" si="103"/>
        <v>5835684</v>
      </c>
      <c r="FR37" s="48">
        <v>5585120</v>
      </c>
      <c r="FS37" s="68">
        <f t="shared" si="66"/>
        <v>0.41012912967871462</v>
      </c>
      <c r="FT37" s="68">
        <f t="shared" si="67"/>
        <v>0.69503620844769576</v>
      </c>
      <c r="FU37" s="68">
        <f t="shared" si="104"/>
        <v>0.56439947742201257</v>
      </c>
      <c r="FV37" s="68">
        <f t="shared" si="68"/>
        <v>0.84997703895752907</v>
      </c>
      <c r="FW37" s="57">
        <v>0</v>
      </c>
      <c r="FX37" s="57">
        <v>83317</v>
      </c>
      <c r="FY37" s="58">
        <v>178561</v>
      </c>
      <c r="FZ37" s="48">
        <f t="shared" si="69"/>
        <v>0</v>
      </c>
      <c r="GA37" s="71">
        <f t="shared" si="70"/>
        <v>0.46660244958305563</v>
      </c>
      <c r="GB37" s="68">
        <f t="shared" si="71"/>
        <v>0.75197572864969819</v>
      </c>
      <c r="GC37" s="57">
        <v>0</v>
      </c>
      <c r="GD37" s="57">
        <v>136489</v>
      </c>
      <c r="GE37" s="58">
        <v>145366</v>
      </c>
      <c r="GF37" s="48">
        <f t="shared" si="72"/>
        <v>0</v>
      </c>
      <c r="GG37" s="68">
        <f t="shared" si="73"/>
        <v>0</v>
      </c>
      <c r="GH37" s="71">
        <f t="shared" si="74"/>
        <v>0.93893345073813683</v>
      </c>
      <c r="GI37" s="68">
        <f t="shared" si="75"/>
        <v>1.3210930299236325</v>
      </c>
      <c r="GJ37" s="57">
        <v>253</v>
      </c>
      <c r="GK37" s="57">
        <v>704238</v>
      </c>
      <c r="GL37" s="58">
        <v>715010</v>
      </c>
      <c r="GM37" s="71">
        <f t="shared" si="76"/>
        <v>3.5384120501811162E-4</v>
      </c>
      <c r="GN37" s="68">
        <f t="shared" si="77"/>
        <v>1.8811776828057427E-2</v>
      </c>
      <c r="GO37" s="71">
        <f t="shared" si="78"/>
        <v>0.98493447644088894</v>
      </c>
      <c r="GP37" s="68">
        <f t="shared" si="79"/>
        <v>1.4477443293535184</v>
      </c>
      <c r="GQ37" s="57">
        <v>20022</v>
      </c>
      <c r="GR37" s="57">
        <v>742592</v>
      </c>
      <c r="GS37" s="58">
        <v>765040</v>
      </c>
      <c r="GT37" s="71">
        <f t="shared" si="80"/>
        <v>2.6171180591864476E-2</v>
      </c>
      <c r="GU37" s="68">
        <f t="shared" si="81"/>
        <v>0.16248917564466092</v>
      </c>
      <c r="GV37" s="71">
        <f t="shared" si="82"/>
        <v>0.97065774338596678</v>
      </c>
      <c r="GW37" s="68">
        <f t="shared" si="83"/>
        <v>1.3986515515802611</v>
      </c>
      <c r="GX37" s="40">
        <v>20275</v>
      </c>
      <c r="GY37" s="40">
        <v>1583319</v>
      </c>
      <c r="GZ37">
        <v>1625416</v>
      </c>
      <c r="HA37" s="126">
        <f t="shared" si="84"/>
        <v>1.2473729802093741E-2</v>
      </c>
      <c r="HB37" s="126">
        <f t="shared" si="85"/>
        <v>0.97410078404543821</v>
      </c>
      <c r="HC37" s="68">
        <f t="shared" si="86"/>
        <v>1.4091610999293425</v>
      </c>
    </row>
    <row r="38" spans="1:211" x14ac:dyDescent="0.2">
      <c r="A38">
        <v>1997</v>
      </c>
      <c r="B38" s="25">
        <v>3902</v>
      </c>
      <c r="C38" s="1">
        <v>1968</v>
      </c>
      <c r="D38" s="1">
        <v>3730</v>
      </c>
      <c r="E38" s="1">
        <v>4717</v>
      </c>
      <c r="F38" s="69">
        <f t="shared" si="87"/>
        <v>14317</v>
      </c>
      <c r="G38" s="23">
        <f t="shared" si="7"/>
        <v>14314.5</v>
      </c>
      <c r="H38" s="1">
        <v>503</v>
      </c>
      <c r="I38" s="1">
        <v>72</v>
      </c>
      <c r="J38" s="1">
        <v>58</v>
      </c>
      <c r="K38" s="1">
        <v>110</v>
      </c>
      <c r="L38" s="1">
        <v>14</v>
      </c>
      <c r="M38" s="1">
        <v>34</v>
      </c>
      <c r="N38" s="1">
        <v>57</v>
      </c>
      <c r="O38" s="1">
        <v>152</v>
      </c>
      <c r="P38" s="1">
        <v>221</v>
      </c>
      <c r="Q38" s="1">
        <v>210</v>
      </c>
      <c r="R38" s="1">
        <v>59</v>
      </c>
      <c r="S38" s="1">
        <v>96</v>
      </c>
      <c r="T38" s="69">
        <f t="shared" si="89"/>
        <v>586</v>
      </c>
      <c r="U38" s="1">
        <v>71</v>
      </c>
      <c r="V38" s="1">
        <v>88</v>
      </c>
      <c r="W38" s="1"/>
      <c r="X38" s="1">
        <v>80</v>
      </c>
      <c r="Y38" s="1">
        <v>40</v>
      </c>
      <c r="Z38" s="1">
        <v>42</v>
      </c>
      <c r="AA38" s="1">
        <v>12</v>
      </c>
      <c r="AB38" s="69">
        <f t="shared" si="90"/>
        <v>94</v>
      </c>
      <c r="AC38" s="27">
        <v>1696.59</v>
      </c>
      <c r="AD38" s="13">
        <v>905.9</v>
      </c>
      <c r="AE38" s="13">
        <v>1619.85</v>
      </c>
      <c r="AF38" s="13">
        <v>1364.51</v>
      </c>
      <c r="AG38" s="41">
        <f t="shared" si="91"/>
        <v>5586.85</v>
      </c>
      <c r="AH38" s="27">
        <v>2949.98</v>
      </c>
      <c r="AI38" s="13">
        <v>5577.5</v>
      </c>
      <c r="AJ38" s="13">
        <v>11192.59</v>
      </c>
      <c r="AK38" s="13">
        <v>3380.1</v>
      </c>
      <c r="AL38" s="41">
        <f t="shared" si="92"/>
        <v>23100.17</v>
      </c>
      <c r="AM38" s="32">
        <v>22319</v>
      </c>
      <c r="AN38" s="31">
        <v>21326</v>
      </c>
      <c r="AO38" s="35">
        <f>3367.41+8.21+22.04</f>
        <v>3397.66</v>
      </c>
      <c r="AP38" s="35">
        <f>1354.9+1.1+108.35+1130.3+123.35+4998.21+223.75+643.26</f>
        <v>8583.2199999999993</v>
      </c>
      <c r="AQ38" s="1">
        <v>98503</v>
      </c>
      <c r="AR38" s="30" t="e">
        <f>AZ38/#REF!</f>
        <v>#REF!</v>
      </c>
      <c r="AS38" s="74" t="e">
        <f>AY38/#REF!</f>
        <v>#REF!</v>
      </c>
      <c r="AT38" s="13">
        <f>precipitacion!P14</f>
        <v>549</v>
      </c>
      <c r="AU38" s="13">
        <f>precipitacion!O14</f>
        <v>1901</v>
      </c>
      <c r="AV38" s="13">
        <f>precipitacion!Q14</f>
        <v>213</v>
      </c>
      <c r="AW38" s="13">
        <f>precipitacion!R14</f>
        <v>399</v>
      </c>
      <c r="AX38" s="13">
        <f>precipitacion!G14</f>
        <v>268</v>
      </c>
      <c r="AY38" s="13">
        <v>5049.8999999999996</v>
      </c>
      <c r="AZ38" s="13">
        <v>24402.2</v>
      </c>
      <c r="BA38" s="56"/>
      <c r="BB38" s="57"/>
      <c r="BC38" s="58"/>
      <c r="BD38" s="72"/>
      <c r="BE38" s="72"/>
      <c r="BF38" s="72"/>
      <c r="BG38" s="72"/>
      <c r="BH38" s="56"/>
      <c r="BI38" s="57"/>
      <c r="BJ38" s="58"/>
      <c r="BK38" s="71"/>
      <c r="BL38" s="72"/>
      <c r="BM38" s="71"/>
      <c r="BN38" s="72"/>
      <c r="BO38" s="57"/>
      <c r="BP38" s="57"/>
      <c r="BQ38" s="58"/>
      <c r="BR38" s="48"/>
      <c r="BS38" s="71"/>
      <c r="BT38" s="72"/>
      <c r="BU38" s="57"/>
      <c r="BV38" s="57"/>
      <c r="BW38" s="58"/>
      <c r="BX38" s="48"/>
      <c r="BY38" s="71"/>
      <c r="BZ38" s="72"/>
      <c r="CA38" s="57"/>
      <c r="CB38" s="57"/>
      <c r="CC38" s="58"/>
      <c r="CD38" s="48"/>
      <c r="CE38" s="71"/>
      <c r="CF38" s="72"/>
      <c r="CG38" s="57"/>
      <c r="CH38" s="57"/>
      <c r="CI38" s="58"/>
      <c r="CJ38" s="48"/>
      <c r="CK38" s="71"/>
      <c r="CL38" s="72"/>
      <c r="CM38" s="57"/>
      <c r="CN38" s="57"/>
      <c r="CO38" s="58"/>
      <c r="CP38" s="48"/>
      <c r="CQ38" s="71"/>
      <c r="CR38" s="72"/>
      <c r="CS38" s="47"/>
      <c r="CT38" s="47"/>
      <c r="CU38" s="48"/>
      <c r="CV38" s="48"/>
      <c r="CW38" s="72"/>
      <c r="CX38" s="72"/>
      <c r="CY38" s="57"/>
      <c r="CZ38" s="57"/>
      <c r="DA38" s="58"/>
      <c r="DB38" s="48"/>
      <c r="DC38" s="71"/>
      <c r="DD38" s="72"/>
      <c r="DE38" s="47"/>
      <c r="DF38" s="47"/>
      <c r="DG38" s="48"/>
      <c r="DH38" s="48"/>
      <c r="DI38" s="71"/>
      <c r="DJ38" s="72"/>
      <c r="DK38" s="47"/>
      <c r="DL38" s="47"/>
      <c r="DM38" s="48"/>
      <c r="DN38" s="48"/>
      <c r="DO38" s="71"/>
      <c r="DP38" s="72"/>
      <c r="DQ38" s="57"/>
      <c r="DR38" s="57"/>
      <c r="DS38" s="58"/>
      <c r="DT38" s="71"/>
      <c r="DU38" s="72"/>
      <c r="DV38" s="71"/>
      <c r="DW38" s="72"/>
      <c r="DX38" s="57"/>
      <c r="DY38" s="57"/>
      <c r="DZ38" s="58"/>
      <c r="EA38" s="71"/>
      <c r="EB38" s="72"/>
      <c r="EC38" s="71"/>
      <c r="ED38" s="72"/>
      <c r="EE38" s="57"/>
      <c r="EF38" s="57"/>
      <c r="EG38" s="58"/>
      <c r="EH38" s="48"/>
      <c r="EI38" s="71"/>
      <c r="EJ38" s="72"/>
      <c r="EK38" s="57"/>
      <c r="EL38" s="57"/>
      <c r="EM38" s="58"/>
      <c r="EN38" s="48"/>
      <c r="EO38" s="71"/>
      <c r="EP38" s="72"/>
      <c r="EQ38" s="56"/>
      <c r="ER38" s="59"/>
      <c r="ES38" s="58"/>
      <c r="ET38" s="68"/>
      <c r="EU38" s="68"/>
      <c r="EV38" s="68"/>
      <c r="EW38" s="57"/>
      <c r="EX38" s="57"/>
      <c r="EY38" s="58"/>
      <c r="EZ38" s="68"/>
      <c r="FA38" s="68"/>
      <c r="FB38" s="68"/>
      <c r="FC38" s="57"/>
      <c r="FD38" s="57"/>
      <c r="FE38" s="58"/>
      <c r="FF38" s="68"/>
      <c r="FG38" s="68"/>
      <c r="FH38" s="68"/>
      <c r="FI38" s="57"/>
      <c r="FJ38" s="57"/>
      <c r="FK38" s="58"/>
      <c r="FL38" s="68"/>
      <c r="FM38" s="68"/>
      <c r="FN38" s="68"/>
      <c r="FO38" s="46"/>
      <c r="FP38" s="46"/>
      <c r="FQ38" s="48"/>
      <c r="FR38" s="48">
        <v>5835684</v>
      </c>
      <c r="FS38" s="68"/>
      <c r="FT38" s="68"/>
      <c r="FU38" s="68"/>
      <c r="FV38" s="68"/>
      <c r="FW38" s="57"/>
      <c r="FX38" s="57"/>
      <c r="FY38" s="58"/>
      <c r="FZ38" s="48"/>
      <c r="GA38" s="71"/>
      <c r="GB38" s="68"/>
      <c r="GC38" s="57"/>
      <c r="GD38" s="57"/>
      <c r="GE38" s="58"/>
      <c r="GF38" s="48"/>
      <c r="GG38" s="68"/>
      <c r="GH38" s="71"/>
      <c r="GI38" s="68"/>
      <c r="GJ38" s="57"/>
      <c r="GK38" s="57"/>
      <c r="GL38" s="58"/>
      <c r="GM38" s="71"/>
      <c r="GN38" s="68"/>
      <c r="GO38" s="71"/>
      <c r="GP38" s="68"/>
      <c r="GQ38" s="57"/>
      <c r="GR38" s="57"/>
      <c r="GS38" s="58"/>
      <c r="GT38" s="71"/>
      <c r="GU38" s="68"/>
      <c r="GV38" s="71"/>
      <c r="GW38" s="68"/>
      <c r="HA38" s="126"/>
      <c r="HB38" s="126"/>
      <c r="HC38" s="68"/>
    </row>
    <row r="39" spans="1:211" x14ac:dyDescent="0.2">
      <c r="A39">
        <v>1998</v>
      </c>
      <c r="B39" s="25">
        <v>2756</v>
      </c>
      <c r="C39" s="1">
        <v>1787</v>
      </c>
      <c r="D39" s="1">
        <v>4431</v>
      </c>
      <c r="E39" s="1">
        <v>4222</v>
      </c>
      <c r="F39" s="69">
        <f t="shared" si="87"/>
        <v>13196</v>
      </c>
      <c r="G39" s="23">
        <f t="shared" si="7"/>
        <v>13193.5</v>
      </c>
      <c r="H39" s="1">
        <v>961</v>
      </c>
      <c r="I39" s="1">
        <v>245</v>
      </c>
      <c r="J39" s="1">
        <v>220</v>
      </c>
      <c r="K39" s="1">
        <v>694</v>
      </c>
      <c r="L39" s="1">
        <v>45</v>
      </c>
      <c r="M39" s="1">
        <v>80</v>
      </c>
      <c r="N39" s="1">
        <v>46</v>
      </c>
      <c r="O39" s="1">
        <v>709</v>
      </c>
      <c r="P39" s="1">
        <v>363</v>
      </c>
      <c r="Q39" s="1">
        <v>261</v>
      </c>
      <c r="R39" s="1">
        <v>153</v>
      </c>
      <c r="S39" s="1">
        <v>184</v>
      </c>
      <c r="T39" s="69">
        <f t="shared" si="89"/>
        <v>961</v>
      </c>
      <c r="U39" s="1">
        <v>133</v>
      </c>
      <c r="V39" s="1">
        <v>93</v>
      </c>
      <c r="W39" s="1">
        <v>443</v>
      </c>
      <c r="X39" s="1">
        <v>126</v>
      </c>
      <c r="Y39" s="1">
        <v>58</v>
      </c>
      <c r="Z39" s="1">
        <v>93</v>
      </c>
      <c r="AA39" s="1">
        <v>116</v>
      </c>
      <c r="AB39" s="69">
        <f t="shared" si="90"/>
        <v>267</v>
      </c>
      <c r="AC39" s="27">
        <v>2960.73</v>
      </c>
      <c r="AD39" s="13">
        <v>906.4</v>
      </c>
      <c r="AE39" s="13">
        <v>4045.88</v>
      </c>
      <c r="AF39" s="13">
        <v>3180.55</v>
      </c>
      <c r="AG39" s="41">
        <f t="shared" si="91"/>
        <v>11093.560000000001</v>
      </c>
      <c r="AH39" s="27">
        <v>5515.22</v>
      </c>
      <c r="AI39" s="13">
        <v>6062.82</v>
      </c>
      <c r="AJ39" s="13">
        <v>25279.200000000001</v>
      </c>
      <c r="AK39" s="13">
        <v>12132.59</v>
      </c>
      <c r="AL39" s="41">
        <f t="shared" si="92"/>
        <v>48989.83</v>
      </c>
      <c r="AM39" s="32">
        <v>22338</v>
      </c>
      <c r="AN39" s="31">
        <v>42659</v>
      </c>
      <c r="AO39" s="35">
        <f>4355.07+384.51+1.1</f>
        <v>4740.68</v>
      </c>
      <c r="AP39" s="35">
        <f>1099.4+27.83+384.04+3862.42+10228.22+10943.07+3613.41+664.12</f>
        <v>30822.51</v>
      </c>
      <c r="AQ39" s="1">
        <v>132813</v>
      </c>
      <c r="AR39" s="30" t="e">
        <f>AZ39/#REF!</f>
        <v>#REF!</v>
      </c>
      <c r="AS39" s="74" t="e">
        <f>AY39/#REF!</f>
        <v>#REF!</v>
      </c>
      <c r="AT39" s="13">
        <f>precipitacion!P15</f>
        <v>876</v>
      </c>
      <c r="AU39" s="13">
        <f>precipitacion!O15</f>
        <v>1441</v>
      </c>
      <c r="AV39" s="13">
        <f>precipitacion!Q15</f>
        <v>280</v>
      </c>
      <c r="AW39" s="13">
        <f>precipitacion!R15</f>
        <v>786</v>
      </c>
      <c r="AX39" s="13">
        <f>precipitacion!G15</f>
        <v>49</v>
      </c>
      <c r="AY39" s="13">
        <v>2290.3000000000002</v>
      </c>
      <c r="AZ39" s="13">
        <v>11001.6</v>
      </c>
      <c r="BA39" s="56">
        <v>342404</v>
      </c>
      <c r="BB39" s="57">
        <v>163538</v>
      </c>
      <c r="BC39" s="58">
        <v>623262</v>
      </c>
      <c r="BD39" s="72">
        <f t="shared" si="8"/>
        <v>0.54937409949587812</v>
      </c>
      <c r="BE39" s="72">
        <f t="shared" si="9"/>
        <v>0.83485285990227043</v>
      </c>
      <c r="BF39" s="72">
        <f t="shared" si="10"/>
        <v>0.26239045537831601</v>
      </c>
      <c r="BG39" s="72">
        <f t="shared" si="11"/>
        <v>0.5377916546378938</v>
      </c>
      <c r="BH39" s="56">
        <v>484721</v>
      </c>
      <c r="BI39" s="57">
        <v>65638</v>
      </c>
      <c r="BJ39" s="58">
        <v>555665</v>
      </c>
      <c r="BK39" s="71">
        <f t="shared" si="12"/>
        <v>0.87232595178749783</v>
      </c>
      <c r="BL39" s="72">
        <f t="shared" si="13"/>
        <v>1.2054047432909458</v>
      </c>
      <c r="BM39" s="71">
        <f t="shared" si="14"/>
        <v>0.11812512934951815</v>
      </c>
      <c r="BN39" s="72">
        <f t="shared" si="15"/>
        <v>0.35084703434032249</v>
      </c>
      <c r="BO39" s="57">
        <v>0</v>
      </c>
      <c r="BP39" s="57">
        <v>134708</v>
      </c>
      <c r="BQ39" s="58">
        <v>200784</v>
      </c>
      <c r="BR39" s="48">
        <f t="shared" si="16"/>
        <v>0</v>
      </c>
      <c r="BS39" s="71">
        <f t="shared" si="17"/>
        <v>0.67091003267192606</v>
      </c>
      <c r="BT39" s="72">
        <f t="shared" si="18"/>
        <v>0.95982463345033631</v>
      </c>
      <c r="BU39" s="57">
        <v>0</v>
      </c>
      <c r="BV39" s="57">
        <v>59993</v>
      </c>
      <c r="BW39" s="58">
        <v>135463</v>
      </c>
      <c r="BX39" s="48">
        <f t="shared" si="19"/>
        <v>0</v>
      </c>
      <c r="BY39" s="71">
        <f t="shared" si="20"/>
        <v>0.44287369982947372</v>
      </c>
      <c r="BZ39" s="72">
        <f t="shared" si="21"/>
        <v>0.7281468429197121</v>
      </c>
      <c r="CA39" s="57">
        <v>0</v>
      </c>
      <c r="CB39" s="57">
        <v>90951</v>
      </c>
      <c r="CC39" s="58">
        <v>164312</v>
      </c>
      <c r="CD39" s="48">
        <f t="shared" si="22"/>
        <v>0</v>
      </c>
      <c r="CE39" s="71">
        <f t="shared" si="23"/>
        <v>0.55352621841374949</v>
      </c>
      <c r="CF39" s="72">
        <f t="shared" si="24"/>
        <v>0.83902714976060122</v>
      </c>
      <c r="CG39" s="57">
        <v>0</v>
      </c>
      <c r="CH39" s="57">
        <v>32291</v>
      </c>
      <c r="CI39" s="58">
        <v>72746</v>
      </c>
      <c r="CJ39" s="48">
        <f t="shared" si="25"/>
        <v>0</v>
      </c>
      <c r="CK39" s="71">
        <f t="shared" si="26"/>
        <v>0.443886949110604</v>
      </c>
      <c r="CL39" s="72">
        <f t="shared" si="27"/>
        <v>0.72916665206323927</v>
      </c>
      <c r="CM39" s="57">
        <v>0</v>
      </c>
      <c r="CN39" s="57">
        <v>259845</v>
      </c>
      <c r="CO39" s="58">
        <v>278475</v>
      </c>
      <c r="CP39" s="48">
        <f t="shared" si="28"/>
        <v>0</v>
      </c>
      <c r="CQ39" s="71">
        <f t="shared" si="29"/>
        <v>0.933099919202801</v>
      </c>
      <c r="CR39" s="72">
        <f t="shared" si="30"/>
        <v>1.3091714263541905</v>
      </c>
      <c r="CS39" s="47">
        <v>0</v>
      </c>
      <c r="CT39" s="47">
        <v>57479</v>
      </c>
      <c r="CU39" s="48">
        <v>62737</v>
      </c>
      <c r="CV39" s="48">
        <f t="shared" si="31"/>
        <v>0</v>
      </c>
      <c r="CW39" s="72">
        <f t="shared" si="32"/>
        <v>0.91618980824712692</v>
      </c>
      <c r="CX39" s="72">
        <f t="shared" si="33"/>
        <v>1.277092004313892</v>
      </c>
      <c r="CY39" s="57">
        <v>0</v>
      </c>
      <c r="CZ39" s="57">
        <v>67276</v>
      </c>
      <c r="DA39" s="58">
        <v>116275</v>
      </c>
      <c r="DB39" s="48">
        <f t="shared" si="34"/>
        <v>0</v>
      </c>
      <c r="DC39" s="71">
        <f t="shared" si="35"/>
        <v>0.57859385078477743</v>
      </c>
      <c r="DD39" s="72">
        <f t="shared" si="36"/>
        <v>0.8643193156646698</v>
      </c>
      <c r="DE39" s="47">
        <v>0</v>
      </c>
      <c r="DF39" s="47">
        <v>51205</v>
      </c>
      <c r="DG39" s="48">
        <v>83151</v>
      </c>
      <c r="DH39" s="48">
        <f t="shared" si="37"/>
        <v>0</v>
      </c>
      <c r="DI39" s="71">
        <f t="shared" si="38"/>
        <v>0.61580738656179723</v>
      </c>
      <c r="DJ39" s="72">
        <f t="shared" si="39"/>
        <v>0.90226679631666806</v>
      </c>
      <c r="DK39" s="47">
        <v>0</v>
      </c>
      <c r="DL39" s="47">
        <v>54221</v>
      </c>
      <c r="DM39" s="48">
        <v>65335</v>
      </c>
      <c r="DN39" s="48">
        <f t="shared" si="40"/>
        <v>0</v>
      </c>
      <c r="DO39" s="71">
        <f t="shared" si="41"/>
        <v>0.8298920945894237</v>
      </c>
      <c r="DP39" s="72">
        <f t="shared" si="42"/>
        <v>1.1456639304421627</v>
      </c>
      <c r="DQ39" s="57">
        <v>225</v>
      </c>
      <c r="DR39" s="57">
        <v>341101</v>
      </c>
      <c r="DS39" s="58">
        <v>361452</v>
      </c>
      <c r="DT39" s="71">
        <f t="shared" si="43"/>
        <v>6.2248929318415723E-4</v>
      </c>
      <c r="DU39" s="72">
        <f t="shared" si="44"/>
        <v>2.495232454882404E-2</v>
      </c>
      <c r="DV39" s="71">
        <f t="shared" si="45"/>
        <v>0.94369653508626317</v>
      </c>
      <c r="DW39" s="72">
        <f t="shared" si="46"/>
        <v>1.3312277859255539</v>
      </c>
      <c r="DX39" s="57">
        <v>3523</v>
      </c>
      <c r="DY39" s="57">
        <v>68563</v>
      </c>
      <c r="DZ39" s="58">
        <v>129425</v>
      </c>
      <c r="EA39" s="71">
        <f t="shared" si="47"/>
        <v>2.7220397913849718E-2</v>
      </c>
      <c r="EB39" s="72">
        <f t="shared" si="48"/>
        <v>0.16574387121069259</v>
      </c>
      <c r="EC39" s="71">
        <f t="shared" si="49"/>
        <v>0.52975082093876757</v>
      </c>
      <c r="ED39" s="72">
        <f t="shared" si="50"/>
        <v>0.81516656755702843</v>
      </c>
      <c r="EE39" s="57">
        <v>0</v>
      </c>
      <c r="EF39" s="57">
        <v>73726</v>
      </c>
      <c r="EG39" s="58">
        <v>83908</v>
      </c>
      <c r="EH39" s="48">
        <f t="shared" si="51"/>
        <v>0</v>
      </c>
      <c r="EI39" s="71">
        <f t="shared" si="52"/>
        <v>0.87865281022071795</v>
      </c>
      <c r="EJ39" s="72">
        <f t="shared" si="53"/>
        <v>1.2149868702512376</v>
      </c>
      <c r="EK39" s="57">
        <v>0</v>
      </c>
      <c r="EL39" s="57">
        <v>10942</v>
      </c>
      <c r="EM39" s="58">
        <v>11655</v>
      </c>
      <c r="EN39" s="48">
        <f t="shared" si="54"/>
        <v>0</v>
      </c>
      <c r="EO39" s="71">
        <f t="shared" si="55"/>
        <v>0.93882453882453887</v>
      </c>
      <c r="EP39" s="72">
        <f t="shared" si="56"/>
        <v>1.3208657058767077</v>
      </c>
      <c r="EQ39" s="56">
        <v>1016659</v>
      </c>
      <c r="ER39" s="59">
        <v>1096563</v>
      </c>
      <c r="ES39" s="58">
        <v>2131563</v>
      </c>
      <c r="ET39" s="68">
        <f t="shared" si="57"/>
        <v>0.47695470413025559</v>
      </c>
      <c r="EU39" s="68">
        <f t="shared" ref="EU39:EU53" si="105">ASIN(SQRT(CP39))</f>
        <v>0</v>
      </c>
      <c r="EV39" s="68">
        <f t="shared" si="58"/>
        <v>0.51444081174236933</v>
      </c>
      <c r="EW39" s="57">
        <v>875479</v>
      </c>
      <c r="EX39" s="57">
        <v>1011224</v>
      </c>
      <c r="EY39" s="58">
        <v>1941704</v>
      </c>
      <c r="EZ39" s="68">
        <f t="shared" si="59"/>
        <v>0.45088180278765455</v>
      </c>
      <c r="FA39" s="68">
        <f t="shared" si="60"/>
        <v>0.73620061950306059</v>
      </c>
      <c r="FB39" s="68">
        <f t="shared" si="61"/>
        <v>0.52079204657352507</v>
      </c>
      <c r="FC39" s="57">
        <v>7587</v>
      </c>
      <c r="FD39" s="57">
        <v>301926</v>
      </c>
      <c r="FE39" s="58">
        <v>337532</v>
      </c>
      <c r="FF39" s="68">
        <f t="shared" si="62"/>
        <v>2.5128673913475487E-2</v>
      </c>
      <c r="FG39" s="68">
        <f t="shared" si="63"/>
        <v>0.15919178565625033</v>
      </c>
      <c r="FH39" s="68">
        <f t="shared" ref="FH39:FH53" si="106">FD39/FE39</f>
        <v>0.89451074268513797</v>
      </c>
      <c r="FI39" s="57">
        <v>865133</v>
      </c>
      <c r="FJ39" s="57">
        <v>540946</v>
      </c>
      <c r="FK39" s="58">
        <v>1427489</v>
      </c>
      <c r="FL39" s="68">
        <f t="shared" si="88"/>
        <v>0.60605230583212899</v>
      </c>
      <c r="FM39" s="68">
        <f t="shared" si="64"/>
        <v>0.89226219900673287</v>
      </c>
      <c r="FN39" s="68">
        <f t="shared" si="65"/>
        <v>0.37894932990727076</v>
      </c>
      <c r="FO39" s="46">
        <f>EQ39+EW39+FC39+FI39</f>
        <v>2764858</v>
      </c>
      <c r="FP39" s="46">
        <f>ER39+EX39+FD39+FJ39</f>
        <v>2950659</v>
      </c>
      <c r="FQ39" s="48">
        <f>ES39+EY39+FE39+FK39</f>
        <v>5838288</v>
      </c>
      <c r="FR39" s="48"/>
      <c r="FS39" s="68">
        <f t="shared" si="66"/>
        <v>0.47357341741277581</v>
      </c>
      <c r="FT39" s="68">
        <f t="shared" si="67"/>
        <v>0.75895926173084105</v>
      </c>
      <c r="FU39" s="68">
        <f t="shared" ref="FU39:FU53" si="107">FP39/FQ39</f>
        <v>0.50539798653303847</v>
      </c>
      <c r="FV39" s="68">
        <f t="shared" si="68"/>
        <v>0.79079625479460525</v>
      </c>
      <c r="FW39" s="57">
        <v>0</v>
      </c>
      <c r="FX39" s="57">
        <v>166818</v>
      </c>
      <c r="FY39" s="58">
        <v>255267</v>
      </c>
      <c r="FZ39" s="48">
        <f t="shared" si="69"/>
        <v>0</v>
      </c>
      <c r="GA39" s="71">
        <f t="shared" si="70"/>
        <v>0.6535039781875448</v>
      </c>
      <c r="GB39" s="68">
        <f t="shared" si="71"/>
        <v>0.9414219437384499</v>
      </c>
      <c r="GC39" s="57">
        <v>0</v>
      </c>
      <c r="GD39" s="57">
        <v>189879</v>
      </c>
      <c r="GE39" s="58">
        <v>224456</v>
      </c>
      <c r="GF39" s="48">
        <f t="shared" si="72"/>
        <v>0</v>
      </c>
      <c r="GG39" s="68">
        <f t="shared" si="73"/>
        <v>0</v>
      </c>
      <c r="GH39" s="71">
        <f t="shared" si="74"/>
        <v>0.84595199059058346</v>
      </c>
      <c r="GI39" s="68">
        <f t="shared" si="75"/>
        <v>1.1674595949679658</v>
      </c>
      <c r="GJ39" s="57">
        <v>1604</v>
      </c>
      <c r="GK39" s="57">
        <v>818915</v>
      </c>
      <c r="GL39" s="58">
        <v>828720</v>
      </c>
      <c r="GM39" s="71">
        <f t="shared" si="76"/>
        <v>1.9355150111014577E-3</v>
      </c>
      <c r="GN39" s="68">
        <f t="shared" si="77"/>
        <v>4.4008692791338559E-2</v>
      </c>
      <c r="GO39" s="71">
        <f t="shared" si="78"/>
        <v>0.98816850082054253</v>
      </c>
      <c r="GP39" s="68">
        <f t="shared" si="79"/>
        <v>1.4618079910172561</v>
      </c>
      <c r="GQ39" s="57">
        <v>60188</v>
      </c>
      <c r="GR39" s="57">
        <v>847998</v>
      </c>
      <c r="GS39" s="58">
        <v>912772</v>
      </c>
      <c r="GT39" s="71">
        <f t="shared" si="80"/>
        <v>6.5939796575705659E-2</v>
      </c>
      <c r="GU39" s="68">
        <f t="shared" si="81"/>
        <v>0.25969672079090222</v>
      </c>
      <c r="GV39" s="71">
        <f t="shared" si="82"/>
        <v>0.92903594764081288</v>
      </c>
      <c r="GW39" s="68">
        <f t="shared" si="83"/>
        <v>1.3011497626937998</v>
      </c>
      <c r="GX39" s="40">
        <v>61792</v>
      </c>
      <c r="GY39" s="40">
        <v>1856792</v>
      </c>
      <c r="GZ39">
        <v>1965948</v>
      </c>
      <c r="HA39" s="126">
        <f t="shared" si="84"/>
        <v>3.1431146703778536E-2</v>
      </c>
      <c r="HB39" s="126">
        <f t="shared" si="85"/>
        <v>0.94447665960645955</v>
      </c>
      <c r="HC39" s="68">
        <f t="shared" si="86"/>
        <v>1.3329255314821324</v>
      </c>
    </row>
    <row r="40" spans="1:211" x14ac:dyDescent="0.2">
      <c r="A40">
        <v>1999</v>
      </c>
      <c r="B40" s="25">
        <v>1910</v>
      </c>
      <c r="C40" s="1">
        <v>1119</v>
      </c>
      <c r="D40" s="1">
        <v>3153</v>
      </c>
      <c r="E40" s="1">
        <v>2411</v>
      </c>
      <c r="F40" s="69">
        <f t="shared" si="87"/>
        <v>8593</v>
      </c>
      <c r="G40" s="23">
        <f t="shared" si="7"/>
        <v>8590.5</v>
      </c>
      <c r="H40" s="1">
        <v>1512</v>
      </c>
      <c r="I40" s="1">
        <v>381</v>
      </c>
      <c r="J40" s="1">
        <v>215</v>
      </c>
      <c r="K40" s="1">
        <v>757</v>
      </c>
      <c r="L40" s="1">
        <v>78</v>
      </c>
      <c r="M40" s="1">
        <v>103</v>
      </c>
      <c r="N40" s="1">
        <v>87</v>
      </c>
      <c r="O40" s="1">
        <v>540</v>
      </c>
      <c r="P40" s="1">
        <v>376</v>
      </c>
      <c r="Q40" s="1">
        <v>198</v>
      </c>
      <c r="R40" s="1">
        <v>130</v>
      </c>
      <c r="S40" s="1">
        <v>139</v>
      </c>
      <c r="T40" s="69">
        <f t="shared" si="89"/>
        <v>843</v>
      </c>
      <c r="U40" s="1">
        <v>137</v>
      </c>
      <c r="V40" s="1">
        <v>124</v>
      </c>
      <c r="W40" s="1">
        <v>294</v>
      </c>
      <c r="X40" s="1">
        <v>102</v>
      </c>
      <c r="Y40" s="1">
        <v>55</v>
      </c>
      <c r="Z40" s="1">
        <v>63</v>
      </c>
      <c r="AA40" s="1">
        <v>81</v>
      </c>
      <c r="AB40" s="69">
        <f t="shared" si="90"/>
        <v>199</v>
      </c>
      <c r="AC40" s="27">
        <v>261.94</v>
      </c>
      <c r="AD40" s="13">
        <v>388.06</v>
      </c>
      <c r="AE40" s="13">
        <v>1313.67</v>
      </c>
      <c r="AF40" s="13">
        <v>497.74</v>
      </c>
      <c r="AG40" s="41">
        <f t="shared" si="91"/>
        <v>2461.41</v>
      </c>
      <c r="AH40" s="27">
        <v>821.26</v>
      </c>
      <c r="AI40" s="13">
        <v>1953.49</v>
      </c>
      <c r="AJ40" s="13">
        <v>6085.71</v>
      </c>
      <c r="AK40" s="13">
        <v>1654.59</v>
      </c>
      <c r="AL40" s="41">
        <f t="shared" si="92"/>
        <v>10515.05</v>
      </c>
      <c r="AM40" s="32">
        <v>18237</v>
      </c>
      <c r="AN40" s="31">
        <v>24034</v>
      </c>
      <c r="AO40" s="35">
        <f>1164.77+48.31+1.16</f>
        <v>1214.24</v>
      </c>
      <c r="AP40" s="35">
        <f>1431.48+11.8+1006.93+5734.56+368.15+6041.85+74.85+543.32</f>
        <v>15212.94</v>
      </c>
      <c r="AQ40" s="1">
        <v>82216</v>
      </c>
      <c r="AR40" s="30" t="e">
        <f>AZ40/#REF!</f>
        <v>#REF!</v>
      </c>
      <c r="AS40" s="74" t="e">
        <f>AY40/#REF!</f>
        <v>#REF!</v>
      </c>
      <c r="AT40" s="13">
        <f>precipitacion!P16</f>
        <v>903</v>
      </c>
      <c r="AU40" s="13">
        <f>precipitacion!O16</f>
        <v>1664</v>
      </c>
      <c r="AV40" s="13">
        <f>precipitacion!Q16</f>
        <v>393</v>
      </c>
      <c r="AW40" s="13">
        <f>precipitacion!R16</f>
        <v>592</v>
      </c>
      <c r="AX40" s="13">
        <f>precipitacion!G16</f>
        <v>115</v>
      </c>
      <c r="AY40" s="13">
        <v>1985.7</v>
      </c>
      <c r="AZ40" s="13">
        <v>8209.9</v>
      </c>
      <c r="BA40" s="56">
        <v>353074</v>
      </c>
      <c r="BB40" s="57">
        <v>148993</v>
      </c>
      <c r="BC40" s="58">
        <v>634899</v>
      </c>
      <c r="BD40" s="72">
        <f t="shared" si="8"/>
        <v>0.55611049946526925</v>
      </c>
      <c r="BE40" s="72">
        <f t="shared" si="9"/>
        <v>0.84162710708768518</v>
      </c>
      <c r="BF40" s="72">
        <f t="shared" si="10"/>
        <v>0.23467197144742707</v>
      </c>
      <c r="BG40" s="72">
        <f t="shared" si="11"/>
        <v>0.50571095992067971</v>
      </c>
      <c r="BH40" s="56">
        <v>428529</v>
      </c>
      <c r="BI40" s="57">
        <v>81496</v>
      </c>
      <c r="BJ40" s="58">
        <v>513450</v>
      </c>
      <c r="BK40" s="71">
        <f t="shared" si="12"/>
        <v>0.83460706982179378</v>
      </c>
      <c r="BL40" s="72">
        <f t="shared" si="13"/>
        <v>1.1519735117217669</v>
      </c>
      <c r="BM40" s="71">
        <f t="shared" si="14"/>
        <v>0.15872236829292044</v>
      </c>
      <c r="BN40" s="72">
        <f t="shared" si="15"/>
        <v>0.40977150428647408</v>
      </c>
      <c r="BO40" s="57">
        <v>0</v>
      </c>
      <c r="BP40" s="57">
        <v>159544</v>
      </c>
      <c r="BQ40" s="58">
        <v>215652</v>
      </c>
      <c r="BR40" s="48">
        <f t="shared" si="16"/>
        <v>0</v>
      </c>
      <c r="BS40" s="71">
        <f t="shared" si="17"/>
        <v>0.73982156437222935</v>
      </c>
      <c r="BT40" s="72">
        <f t="shared" si="18"/>
        <v>1.035522143117652</v>
      </c>
      <c r="BU40" s="57">
        <v>0</v>
      </c>
      <c r="BV40" s="57">
        <v>159544</v>
      </c>
      <c r="BW40" s="58">
        <v>244932</v>
      </c>
      <c r="BX40" s="48">
        <f t="shared" si="19"/>
        <v>0</v>
      </c>
      <c r="BY40" s="71">
        <f t="shared" si="20"/>
        <v>0.65138079140332827</v>
      </c>
      <c r="BZ40" s="72">
        <f t="shared" si="21"/>
        <v>0.93919261461604242</v>
      </c>
      <c r="CA40" s="57">
        <v>0</v>
      </c>
      <c r="CB40" s="57">
        <v>177462</v>
      </c>
      <c r="CC40" s="58">
        <v>236458</v>
      </c>
      <c r="CD40" s="48">
        <f t="shared" si="22"/>
        <v>0</v>
      </c>
      <c r="CE40" s="71">
        <f t="shared" si="23"/>
        <v>0.75050114608091079</v>
      </c>
      <c r="CF40" s="72">
        <f t="shared" si="24"/>
        <v>1.0477764184380578</v>
      </c>
      <c r="CG40" s="57">
        <v>0</v>
      </c>
      <c r="CH40" s="57">
        <v>65908</v>
      </c>
      <c r="CI40" s="58">
        <v>100082</v>
      </c>
      <c r="CJ40" s="48">
        <f t="shared" si="25"/>
        <v>0</v>
      </c>
      <c r="CK40" s="71">
        <f t="shared" si="26"/>
        <v>0.65853999720229417</v>
      </c>
      <c r="CL40" s="72">
        <f t="shared" si="27"/>
        <v>0.94672267172439717</v>
      </c>
      <c r="CM40" s="57">
        <v>0</v>
      </c>
      <c r="CN40" s="57">
        <v>287822</v>
      </c>
      <c r="CO40" s="58">
        <v>317239</v>
      </c>
      <c r="CP40" s="48">
        <f t="shared" si="28"/>
        <v>0</v>
      </c>
      <c r="CQ40" s="71">
        <f t="shared" si="29"/>
        <v>0.90727180453853407</v>
      </c>
      <c r="CR40" s="72">
        <f t="shared" si="30"/>
        <v>1.2613691722583757</v>
      </c>
      <c r="CS40" s="47">
        <v>0</v>
      </c>
      <c r="CT40" s="47">
        <v>67037</v>
      </c>
      <c r="CU40" s="48">
        <v>78653</v>
      </c>
      <c r="CV40" s="48">
        <f t="shared" si="31"/>
        <v>0</v>
      </c>
      <c r="CW40" s="72">
        <f t="shared" si="32"/>
        <v>0.85231332562012896</v>
      </c>
      <c r="CX40" s="72">
        <f t="shared" si="33"/>
        <v>1.1763465896075054</v>
      </c>
      <c r="CY40" s="57">
        <v>0</v>
      </c>
      <c r="CZ40" s="57">
        <v>24706</v>
      </c>
      <c r="DA40" s="58">
        <v>67567</v>
      </c>
      <c r="DB40" s="48">
        <f t="shared" si="34"/>
        <v>0</v>
      </c>
      <c r="DC40" s="71">
        <f t="shared" si="35"/>
        <v>0.36565187147572037</v>
      </c>
      <c r="DD40" s="72">
        <f t="shared" si="36"/>
        <v>0.64937853500880627</v>
      </c>
      <c r="DE40" s="47">
        <v>0</v>
      </c>
      <c r="DF40" s="47">
        <v>16938</v>
      </c>
      <c r="DG40" s="48">
        <v>44877</v>
      </c>
      <c r="DH40" s="48">
        <f t="shared" si="37"/>
        <v>0</v>
      </c>
      <c r="DI40" s="71">
        <f t="shared" si="38"/>
        <v>0.37743164650043454</v>
      </c>
      <c r="DJ40" s="72">
        <f t="shared" si="39"/>
        <v>0.66156781368495066</v>
      </c>
      <c r="DK40" s="47">
        <v>0</v>
      </c>
      <c r="DL40" s="47">
        <v>42393</v>
      </c>
      <c r="DM40" s="48">
        <v>51211</v>
      </c>
      <c r="DN40" s="48">
        <f t="shared" si="40"/>
        <v>0</v>
      </c>
      <c r="DO40" s="71">
        <f t="shared" si="41"/>
        <v>0.8278104313526391</v>
      </c>
      <c r="DP40" s="72">
        <f t="shared" si="42"/>
        <v>1.1429004452447602</v>
      </c>
      <c r="DQ40" s="57">
        <v>474</v>
      </c>
      <c r="DR40" s="57">
        <v>152493</v>
      </c>
      <c r="DS40" s="58">
        <v>172631</v>
      </c>
      <c r="DT40" s="71">
        <f t="shared" si="43"/>
        <v>2.7457409155945342E-3</v>
      </c>
      <c r="DU40" s="72">
        <f t="shared" si="44"/>
        <v>5.24238269609539E-2</v>
      </c>
      <c r="DV40" s="71">
        <f t="shared" si="45"/>
        <v>0.88334656000370737</v>
      </c>
      <c r="DW40" s="72">
        <f t="shared" si="46"/>
        <v>1.2222353613158989</v>
      </c>
      <c r="DX40" s="57">
        <v>8722</v>
      </c>
      <c r="DY40" s="57">
        <v>80611</v>
      </c>
      <c r="DZ40" s="58">
        <v>148835</v>
      </c>
      <c r="EA40" s="71">
        <f t="shared" si="47"/>
        <v>5.8601807370578157E-2</v>
      </c>
      <c r="EB40" s="72">
        <f t="shared" si="48"/>
        <v>0.24450708674893412</v>
      </c>
      <c r="EC40" s="71">
        <f t="shared" si="49"/>
        <v>0.54161319582087541</v>
      </c>
      <c r="ED40" s="72">
        <f t="shared" si="50"/>
        <v>0.82705954946234161</v>
      </c>
      <c r="EE40" s="57">
        <v>0</v>
      </c>
      <c r="EF40" s="57">
        <v>55288</v>
      </c>
      <c r="EG40" s="58">
        <v>62757</v>
      </c>
      <c r="EH40" s="48">
        <f t="shared" si="51"/>
        <v>0</v>
      </c>
      <c r="EI40" s="71">
        <f t="shared" si="52"/>
        <v>0.8809853880841978</v>
      </c>
      <c r="EJ40" s="72">
        <f t="shared" si="53"/>
        <v>1.2185735820084509</v>
      </c>
      <c r="EK40" s="57">
        <v>0</v>
      </c>
      <c r="EL40" s="57">
        <v>9236</v>
      </c>
      <c r="EM40" s="58">
        <v>10460</v>
      </c>
      <c r="EN40" s="48">
        <f t="shared" si="54"/>
        <v>0</v>
      </c>
      <c r="EO40" s="71">
        <f t="shared" si="55"/>
        <v>0.88298279158699811</v>
      </c>
      <c r="EP40" s="72">
        <f t="shared" si="56"/>
        <v>1.2216691387319256</v>
      </c>
      <c r="EQ40" s="56">
        <v>1029875</v>
      </c>
      <c r="ER40" s="59">
        <v>1110818</v>
      </c>
      <c r="ES40" s="58">
        <v>2159273</v>
      </c>
      <c r="ET40" s="68">
        <f t="shared" si="57"/>
        <v>0.47695451200473493</v>
      </c>
      <c r="EU40" s="68">
        <f t="shared" si="105"/>
        <v>0</v>
      </c>
      <c r="EV40" s="68">
        <f t="shared" si="58"/>
        <v>0.51444074000832685</v>
      </c>
      <c r="EW40" s="57">
        <v>886861</v>
      </c>
      <c r="EX40" s="57">
        <v>1024371</v>
      </c>
      <c r="EY40" s="58">
        <v>1966948</v>
      </c>
      <c r="EZ40" s="68">
        <f t="shared" si="59"/>
        <v>0.45088177216682901</v>
      </c>
      <c r="FA40" s="68">
        <f t="shared" si="60"/>
        <v>0.73620058873340544</v>
      </c>
      <c r="FB40" s="68">
        <f t="shared" si="61"/>
        <v>0.52079211041674711</v>
      </c>
      <c r="FC40" s="57">
        <v>7685</v>
      </c>
      <c r="FD40" s="57">
        <v>305851</v>
      </c>
      <c r="FE40" s="58">
        <v>341919</v>
      </c>
      <c r="FF40" s="68">
        <f t="shared" si="62"/>
        <v>2.5126613939467256E-2</v>
      </c>
      <c r="FG40" s="68">
        <f t="shared" si="63"/>
        <v>0.15918520480638854</v>
      </c>
      <c r="FH40" s="68">
        <f t="shared" si="106"/>
        <v>0.89451302793936571</v>
      </c>
      <c r="FI40" s="57">
        <v>876379</v>
      </c>
      <c r="FJ40" s="57">
        <v>547977</v>
      </c>
      <c r="FK40" s="58">
        <v>1446045</v>
      </c>
      <c r="FL40" s="68">
        <f t="shared" si="88"/>
        <v>0.6060523704310723</v>
      </c>
      <c r="FM40" s="68">
        <f t="shared" si="64"/>
        <v>0.89226226510972051</v>
      </c>
      <c r="FN40" s="68">
        <f t="shared" si="65"/>
        <v>0.37894878790079145</v>
      </c>
      <c r="FO40" s="46">
        <v>2800800</v>
      </c>
      <c r="FP40" s="46">
        <v>2989017</v>
      </c>
      <c r="FQ40" s="58">
        <v>5914185</v>
      </c>
      <c r="FR40" s="58">
        <v>5838288</v>
      </c>
      <c r="FS40" s="68">
        <f t="shared" si="66"/>
        <v>0.47357328186385783</v>
      </c>
      <c r="FT40" s="68">
        <f t="shared" si="67"/>
        <v>0.7589591259921995</v>
      </c>
      <c r="FU40" s="68">
        <f t="shared" si="107"/>
        <v>0.50539795424052514</v>
      </c>
      <c r="FV40" s="68">
        <f t="shared" si="68"/>
        <v>0.79079622250020987</v>
      </c>
      <c r="FW40" s="57">
        <v>0</v>
      </c>
      <c r="FX40" s="57">
        <v>177092</v>
      </c>
      <c r="FY40" s="58">
        <v>286786</v>
      </c>
      <c r="FZ40" s="48">
        <f t="shared" si="69"/>
        <v>0</v>
      </c>
      <c r="GA40" s="71">
        <f t="shared" si="70"/>
        <v>0.61750573598432279</v>
      </c>
      <c r="GB40" s="68">
        <f t="shared" si="71"/>
        <v>0.90401334869963246</v>
      </c>
      <c r="GC40" s="57">
        <v>0</v>
      </c>
      <c r="GD40" s="57">
        <v>172608</v>
      </c>
      <c r="GE40" s="58">
        <v>182546</v>
      </c>
      <c r="GF40" s="48">
        <f t="shared" si="72"/>
        <v>0</v>
      </c>
      <c r="GG40" s="68">
        <f t="shared" si="73"/>
        <v>0</v>
      </c>
      <c r="GH40" s="71">
        <f t="shared" si="74"/>
        <v>0.94555892761276605</v>
      </c>
      <c r="GI40" s="68">
        <f t="shared" si="75"/>
        <v>1.3352995211374787</v>
      </c>
      <c r="GJ40" s="57">
        <v>0</v>
      </c>
      <c r="GK40" s="57">
        <v>508058</v>
      </c>
      <c r="GL40" s="58">
        <v>535397</v>
      </c>
      <c r="GM40" s="71">
        <f t="shared" si="76"/>
        <v>0</v>
      </c>
      <c r="GN40" s="68">
        <f t="shared" si="77"/>
        <v>0</v>
      </c>
      <c r="GO40" s="71">
        <f t="shared" si="78"/>
        <v>0.94893695706176917</v>
      </c>
      <c r="GP40" s="68">
        <f t="shared" si="79"/>
        <v>1.3428562819772911</v>
      </c>
      <c r="GQ40" s="57">
        <v>52696</v>
      </c>
      <c r="GR40" s="57">
        <v>691664</v>
      </c>
      <c r="GS40" s="58">
        <v>750075</v>
      </c>
      <c r="GT40" s="71">
        <f t="shared" si="80"/>
        <v>7.0254307902543084E-2</v>
      </c>
      <c r="GU40" s="68">
        <f t="shared" si="81"/>
        <v>0.26826126500866038</v>
      </c>
      <c r="GV40" s="71">
        <f t="shared" si="82"/>
        <v>0.92212645402126459</v>
      </c>
      <c r="GW40" s="68">
        <f t="shared" si="83"/>
        <v>1.2879829940974248</v>
      </c>
      <c r="GX40" s="40">
        <v>52696</v>
      </c>
      <c r="GY40" s="40">
        <v>1372330</v>
      </c>
      <c r="GZ40">
        <v>1468018</v>
      </c>
      <c r="HA40" s="126">
        <f t="shared" si="84"/>
        <v>3.5896017623762107E-2</v>
      </c>
      <c r="HB40" s="126">
        <f t="shared" si="85"/>
        <v>0.93481823792351315</v>
      </c>
      <c r="HC40" s="68">
        <f t="shared" si="86"/>
        <v>1.3126309160484706</v>
      </c>
    </row>
    <row r="41" spans="1:211" x14ac:dyDescent="0.2">
      <c r="A41">
        <v>2000</v>
      </c>
      <c r="B41" s="25">
        <v>2289</v>
      </c>
      <c r="C41" s="1">
        <v>1940</v>
      </c>
      <c r="D41" s="1">
        <v>5317</v>
      </c>
      <c r="E41" s="1">
        <v>3043</v>
      </c>
      <c r="F41" s="69">
        <f t="shared" si="87"/>
        <v>12589</v>
      </c>
      <c r="G41" s="23">
        <f t="shared" si="7"/>
        <v>12586.5</v>
      </c>
      <c r="H41" s="1">
        <v>1971</v>
      </c>
      <c r="I41" s="1">
        <v>359</v>
      </c>
      <c r="J41" s="1">
        <v>400</v>
      </c>
      <c r="K41" s="1">
        <v>1050</v>
      </c>
      <c r="L41" s="1">
        <v>51</v>
      </c>
      <c r="M41" s="1">
        <v>62</v>
      </c>
      <c r="N41" s="1">
        <v>131</v>
      </c>
      <c r="O41" s="1">
        <v>660</v>
      </c>
      <c r="P41" s="1">
        <v>315</v>
      </c>
      <c r="Q41" s="1">
        <v>226</v>
      </c>
      <c r="R41" s="1">
        <v>114</v>
      </c>
      <c r="S41" s="1">
        <v>135</v>
      </c>
      <c r="T41" s="69">
        <f t="shared" si="89"/>
        <v>790</v>
      </c>
      <c r="U41" s="1">
        <v>170</v>
      </c>
      <c r="V41" s="1">
        <v>133</v>
      </c>
      <c r="W41" s="1">
        <v>544</v>
      </c>
      <c r="X41" s="1">
        <v>197</v>
      </c>
      <c r="Y41" s="1">
        <v>71</v>
      </c>
      <c r="Z41" s="1">
        <v>72</v>
      </c>
      <c r="AA41" s="1">
        <v>68</v>
      </c>
      <c r="AB41" s="69">
        <f t="shared" si="90"/>
        <v>211</v>
      </c>
      <c r="AC41" s="27">
        <v>1198.8399999999999</v>
      </c>
      <c r="AD41" s="13">
        <v>1813.72</v>
      </c>
      <c r="AE41" s="13">
        <v>6305.21</v>
      </c>
      <c r="AF41" s="13">
        <v>820.61</v>
      </c>
      <c r="AG41" s="41">
        <f t="shared" si="91"/>
        <v>10138.380000000001</v>
      </c>
      <c r="AH41" s="27">
        <v>3376.07</v>
      </c>
      <c r="AI41" s="13">
        <v>8265.33</v>
      </c>
      <c r="AJ41" s="13">
        <v>31779.75</v>
      </c>
      <c r="AK41" s="13">
        <v>2531.4299999999998</v>
      </c>
      <c r="AL41" s="41">
        <f t="shared" si="92"/>
        <v>45952.58</v>
      </c>
      <c r="AM41" s="32">
        <v>24117</v>
      </c>
      <c r="AN41" s="31">
        <v>45358</v>
      </c>
      <c r="AO41" s="35">
        <f>2125.81+419.01+0.6+80.72</f>
        <v>2626.1399999999994</v>
      </c>
      <c r="AP41" s="35">
        <f>2183.09+0.78+888.75+8127.57+3012.11+12059.95+3797.57+1323.9</f>
        <v>31393.72</v>
      </c>
      <c r="AQ41" s="1">
        <v>187026</v>
      </c>
      <c r="AR41" s="30" t="e">
        <f>AZ41/#REF!</f>
        <v>#REF!</v>
      </c>
      <c r="AS41" s="74" t="e">
        <f>AY41/#REF!</f>
        <v>#REF!</v>
      </c>
      <c r="AT41" s="13">
        <f>precipitacion!P17</f>
        <v>842</v>
      </c>
      <c r="AU41" s="13">
        <f>precipitacion!O17</f>
        <v>2243</v>
      </c>
      <c r="AV41" s="13">
        <f>precipitacion!Q17</f>
        <v>259</v>
      </c>
      <c r="AW41" s="13">
        <f>precipitacion!R17</f>
        <v>557</v>
      </c>
      <c r="AX41" s="13">
        <f>precipitacion!G17</f>
        <v>131</v>
      </c>
      <c r="AY41" s="13">
        <v>3361.4</v>
      </c>
      <c r="AZ41" s="13">
        <v>12796.4</v>
      </c>
      <c r="BA41" s="56">
        <v>476555</v>
      </c>
      <c r="BB41" s="57">
        <v>184547</v>
      </c>
      <c r="BC41" s="58">
        <v>763858</v>
      </c>
      <c r="BD41" s="72">
        <f t="shared" si="8"/>
        <v>0.62387904558177043</v>
      </c>
      <c r="BE41" s="72">
        <f t="shared" si="9"/>
        <v>0.91058091904974903</v>
      </c>
      <c r="BF41" s="72">
        <f t="shared" si="10"/>
        <v>0.24159856936760499</v>
      </c>
      <c r="BG41" s="72">
        <f t="shared" si="11"/>
        <v>0.5138420617230065</v>
      </c>
      <c r="BH41" s="56">
        <v>462137</v>
      </c>
      <c r="BI41" s="57">
        <v>53704</v>
      </c>
      <c r="BJ41" s="58">
        <v>522945</v>
      </c>
      <c r="BK41" s="71">
        <f t="shared" si="12"/>
        <v>0.8837200852862156</v>
      </c>
      <c r="BL41" s="72">
        <f t="shared" si="13"/>
        <v>1.2228175688581764</v>
      </c>
      <c r="BM41" s="71">
        <f t="shared" si="14"/>
        <v>0.10269531212651425</v>
      </c>
      <c r="BN41" s="72">
        <f t="shared" si="15"/>
        <v>0.3262162113641715</v>
      </c>
      <c r="BO41" s="57">
        <v>0</v>
      </c>
      <c r="BP41" s="57">
        <v>81963</v>
      </c>
      <c r="BQ41" s="58">
        <v>136668</v>
      </c>
      <c r="BR41" s="48">
        <f t="shared" si="16"/>
        <v>0</v>
      </c>
      <c r="BS41" s="71">
        <f t="shared" si="17"/>
        <v>0.59972341733251378</v>
      </c>
      <c r="BT41" s="72">
        <f t="shared" si="18"/>
        <v>0.88579485403852598</v>
      </c>
      <c r="BU41" s="57">
        <v>0</v>
      </c>
      <c r="BV41" s="57">
        <v>99838</v>
      </c>
      <c r="BW41" s="58">
        <v>191306</v>
      </c>
      <c r="BX41" s="48">
        <f t="shared" si="19"/>
        <v>0</v>
      </c>
      <c r="BY41" s="71">
        <f t="shared" si="20"/>
        <v>0.52187594743499943</v>
      </c>
      <c r="BZ41" s="72">
        <f t="shared" si="21"/>
        <v>0.80728109611088894</v>
      </c>
      <c r="CA41" s="57">
        <v>0</v>
      </c>
      <c r="CB41" s="57">
        <v>147761</v>
      </c>
      <c r="CC41" s="58">
        <v>179703</v>
      </c>
      <c r="CD41" s="48">
        <f t="shared" si="22"/>
        <v>0</v>
      </c>
      <c r="CE41" s="71">
        <f t="shared" si="23"/>
        <v>0.82225115885655775</v>
      </c>
      <c r="CF41" s="72">
        <f t="shared" si="24"/>
        <v>1.1355842639484159</v>
      </c>
      <c r="CG41" s="57">
        <v>0</v>
      </c>
      <c r="CH41" s="57">
        <v>58667</v>
      </c>
      <c r="CI41" s="58">
        <v>104056</v>
      </c>
      <c r="CJ41" s="48">
        <f t="shared" si="25"/>
        <v>0</v>
      </c>
      <c r="CK41" s="71">
        <f t="shared" si="26"/>
        <v>0.56380218343968636</v>
      </c>
      <c r="CL41" s="72">
        <f t="shared" si="27"/>
        <v>0.84937477512863069</v>
      </c>
      <c r="CM41" s="57">
        <v>0</v>
      </c>
      <c r="CN41" s="57">
        <v>257000</v>
      </c>
      <c r="CO41" s="58">
        <v>276304</v>
      </c>
      <c r="CP41" s="48">
        <f t="shared" si="28"/>
        <v>0</v>
      </c>
      <c r="CQ41" s="71">
        <f t="shared" si="29"/>
        <v>0.93013492385198915</v>
      </c>
      <c r="CR41" s="72">
        <f t="shared" si="30"/>
        <v>1.3032975217081979</v>
      </c>
      <c r="CS41" s="47">
        <v>0</v>
      </c>
      <c r="CT41" s="47">
        <v>72559</v>
      </c>
      <c r="CU41" s="48">
        <v>78369</v>
      </c>
      <c r="CV41" s="48">
        <f t="shared" si="31"/>
        <v>0</v>
      </c>
      <c r="CW41" s="72">
        <f t="shared" si="32"/>
        <v>0.92586354298255691</v>
      </c>
      <c r="CX41" s="72">
        <f t="shared" si="33"/>
        <v>1.2950344498521071</v>
      </c>
      <c r="CY41" s="57">
        <v>0</v>
      </c>
      <c r="CZ41" s="57">
        <v>27010</v>
      </c>
      <c r="DA41" s="58">
        <v>73386</v>
      </c>
      <c r="DB41" s="48">
        <f t="shared" si="34"/>
        <v>0</v>
      </c>
      <c r="DC41" s="71">
        <f t="shared" si="35"/>
        <v>0.36805385223339604</v>
      </c>
      <c r="DD41" s="72">
        <f t="shared" si="36"/>
        <v>0.65187049922034701</v>
      </c>
      <c r="DE41" s="47">
        <v>0</v>
      </c>
      <c r="DF41" s="47">
        <v>12031</v>
      </c>
      <c r="DG41" s="48">
        <v>40452</v>
      </c>
      <c r="DH41" s="48">
        <f t="shared" si="37"/>
        <v>0</v>
      </c>
      <c r="DI41" s="71">
        <f t="shared" si="38"/>
        <v>0.29741421932166517</v>
      </c>
      <c r="DJ41" s="72">
        <f t="shared" si="39"/>
        <v>0.57681492474891427</v>
      </c>
      <c r="DK41" s="47">
        <v>0</v>
      </c>
      <c r="DL41" s="47">
        <v>28491</v>
      </c>
      <c r="DM41" s="48">
        <v>39914</v>
      </c>
      <c r="DN41" s="48">
        <f t="shared" si="40"/>
        <v>0</v>
      </c>
      <c r="DO41" s="71">
        <f t="shared" si="41"/>
        <v>0.71380969083529588</v>
      </c>
      <c r="DP41" s="72">
        <f t="shared" si="42"/>
        <v>1.006326955527221</v>
      </c>
      <c r="DQ41" s="57">
        <v>238</v>
      </c>
      <c r="DR41" s="57">
        <v>222748</v>
      </c>
      <c r="DS41" s="58">
        <v>242002</v>
      </c>
      <c r="DT41" s="71">
        <f t="shared" si="43"/>
        <v>9.8346294658721838E-4</v>
      </c>
      <c r="DU41" s="72">
        <f t="shared" si="44"/>
        <v>3.1365355339711569E-2</v>
      </c>
      <c r="DV41" s="71">
        <f t="shared" si="45"/>
        <v>0.92043867406054491</v>
      </c>
      <c r="DW41" s="72">
        <f t="shared" si="46"/>
        <v>1.2848492764428439</v>
      </c>
      <c r="DX41" s="57">
        <v>6476</v>
      </c>
      <c r="DY41" s="57">
        <v>109030</v>
      </c>
      <c r="DZ41" s="58">
        <v>185929</v>
      </c>
      <c r="EA41" s="71">
        <f t="shared" si="47"/>
        <v>3.4830499814445297E-2</v>
      </c>
      <c r="EB41" s="72">
        <f t="shared" si="48"/>
        <v>0.18773005145350935</v>
      </c>
      <c r="EC41" s="71">
        <f t="shared" si="49"/>
        <v>0.58640663909341739</v>
      </c>
      <c r="ED41" s="72">
        <f t="shared" si="50"/>
        <v>0.87224076804935025</v>
      </c>
      <c r="EE41" s="57">
        <v>0</v>
      </c>
      <c r="EF41" s="57">
        <v>95036</v>
      </c>
      <c r="EG41" s="58">
        <v>97870</v>
      </c>
      <c r="EH41" s="48">
        <f t="shared" si="51"/>
        <v>0</v>
      </c>
      <c r="EI41" s="71">
        <f t="shared" si="52"/>
        <v>0.97104322059875348</v>
      </c>
      <c r="EJ41" s="72">
        <f t="shared" si="53"/>
        <v>1.3997972733845199</v>
      </c>
      <c r="EK41" s="57">
        <v>0</v>
      </c>
      <c r="EL41" s="57">
        <v>7400</v>
      </c>
      <c r="EM41" s="58">
        <v>8392</v>
      </c>
      <c r="EN41" s="48">
        <f t="shared" si="54"/>
        <v>0</v>
      </c>
      <c r="EO41" s="71">
        <f t="shared" si="55"/>
        <v>0.88179218303145857</v>
      </c>
      <c r="EP41" s="72">
        <f t="shared" si="56"/>
        <v>1.2198212157757946</v>
      </c>
      <c r="EQ41" s="56">
        <v>1107853</v>
      </c>
      <c r="ER41" s="59">
        <v>1104494</v>
      </c>
      <c r="ES41" s="58">
        <v>2233500</v>
      </c>
      <c r="ET41" s="68">
        <f t="shared" si="57"/>
        <v>0.49601656592791582</v>
      </c>
      <c r="EU41" s="68">
        <f t="shared" si="105"/>
        <v>0</v>
      </c>
      <c r="EV41" s="68">
        <f t="shared" si="58"/>
        <v>0.49451264830982761</v>
      </c>
      <c r="EW41" s="57">
        <v>654150</v>
      </c>
      <c r="EX41" s="57">
        <v>734734</v>
      </c>
      <c r="EY41" s="58">
        <v>1477698</v>
      </c>
      <c r="EZ41" s="68">
        <f t="shared" si="59"/>
        <v>0.44268179289678944</v>
      </c>
      <c r="FA41" s="68">
        <f t="shared" si="60"/>
        <v>0.72795366674930184</v>
      </c>
      <c r="FB41" s="68">
        <f t="shared" si="61"/>
        <v>0.4972152631999231</v>
      </c>
      <c r="FC41" s="57">
        <v>9868</v>
      </c>
      <c r="FD41" s="57">
        <v>405419</v>
      </c>
      <c r="FE41" s="58">
        <v>445073</v>
      </c>
      <c r="FF41" s="68">
        <f t="shared" si="62"/>
        <v>2.4340250456934678E-2</v>
      </c>
      <c r="FG41" s="68">
        <f t="shared" si="63"/>
        <v>0.15665355881429754</v>
      </c>
      <c r="FH41" s="68">
        <f t="shared" si="106"/>
        <v>0.91090450330619921</v>
      </c>
      <c r="FI41" s="57">
        <v>906498</v>
      </c>
      <c r="FJ41" s="57">
        <v>647257</v>
      </c>
      <c r="FK41" s="58">
        <v>1577222</v>
      </c>
      <c r="FL41" s="68">
        <f t="shared" si="88"/>
        <v>0.57474344131644117</v>
      </c>
      <c r="FM41" s="68">
        <f t="shared" si="64"/>
        <v>0.86042281538314236</v>
      </c>
      <c r="FN41" s="68">
        <f t="shared" si="65"/>
        <v>0.41037786690776568</v>
      </c>
      <c r="FO41" s="46">
        <v>2678069</v>
      </c>
      <c r="FP41" s="46">
        <v>2891904</v>
      </c>
      <c r="FQ41" s="58">
        <v>5733493</v>
      </c>
      <c r="FR41" s="58">
        <v>5914185</v>
      </c>
      <c r="FS41" s="68">
        <f t="shared" si="66"/>
        <v>0.46709205016906796</v>
      </c>
      <c r="FT41" s="68">
        <f t="shared" si="67"/>
        <v>0.75246640906217865</v>
      </c>
      <c r="FU41" s="68">
        <f t="shared" si="107"/>
        <v>0.50438781385099796</v>
      </c>
      <c r="FV41" s="68">
        <f t="shared" si="68"/>
        <v>0.78978603356918942</v>
      </c>
      <c r="FW41" s="57">
        <v>0</v>
      </c>
      <c r="FX41" s="57">
        <v>104140</v>
      </c>
      <c r="FY41" s="58">
        <v>198498</v>
      </c>
      <c r="FZ41" s="48">
        <f t="shared" si="69"/>
        <v>0</v>
      </c>
      <c r="GA41" s="71">
        <f t="shared" si="70"/>
        <v>0.52464004675110076</v>
      </c>
      <c r="GB41" s="68">
        <f t="shared" si="71"/>
        <v>0.81004819423571717</v>
      </c>
      <c r="GC41" s="57">
        <v>15</v>
      </c>
      <c r="GD41" s="57">
        <v>110568</v>
      </c>
      <c r="GE41" s="58">
        <v>118500</v>
      </c>
      <c r="GF41" s="48">
        <f t="shared" si="72"/>
        <v>1.2658227848101267E-4</v>
      </c>
      <c r="GG41" s="68">
        <f t="shared" si="73"/>
        <v>1.1251116383098435E-2</v>
      </c>
      <c r="GH41" s="71">
        <f t="shared" si="74"/>
        <v>0.93306329113924047</v>
      </c>
      <c r="GI41" s="68">
        <f t="shared" si="75"/>
        <v>1.3090981352278541</v>
      </c>
      <c r="GJ41" s="57">
        <v>3076</v>
      </c>
      <c r="GK41" s="57">
        <v>354280</v>
      </c>
      <c r="GL41" s="58">
        <v>367205</v>
      </c>
      <c r="GM41" s="71">
        <f t="shared" si="76"/>
        <v>8.3767922550074207E-3</v>
      </c>
      <c r="GN41" s="68">
        <f t="shared" si="77"/>
        <v>9.1653082522808127E-2</v>
      </c>
      <c r="GO41" s="71">
        <f t="shared" si="78"/>
        <v>0.96480167753707058</v>
      </c>
      <c r="GP41" s="68">
        <f t="shared" si="79"/>
        <v>1.3820657545736645</v>
      </c>
      <c r="GQ41" s="57">
        <v>59518</v>
      </c>
      <c r="GR41" s="57">
        <v>576562</v>
      </c>
      <c r="GS41" s="58">
        <v>639032</v>
      </c>
      <c r="GT41" s="71">
        <f t="shared" si="80"/>
        <v>9.3137745840583888E-2</v>
      </c>
      <c r="GU41" s="68">
        <f t="shared" si="81"/>
        <v>0.31013245307589465</v>
      </c>
      <c r="GV41" s="71">
        <f t="shared" si="82"/>
        <v>0.90224276718536789</v>
      </c>
      <c r="GW41" s="68">
        <f t="shared" si="83"/>
        <v>1.2528025710141668</v>
      </c>
      <c r="GX41" s="40">
        <v>62609</v>
      </c>
      <c r="GY41" s="40">
        <v>1041410</v>
      </c>
      <c r="GZ41">
        <v>1124737</v>
      </c>
      <c r="HA41" s="126">
        <f t="shared" si="84"/>
        <v>5.5665457791465915E-2</v>
      </c>
      <c r="HB41" s="126">
        <f t="shared" si="85"/>
        <v>0.925914235950271</v>
      </c>
      <c r="HC41" s="68">
        <f t="shared" si="86"/>
        <v>1.2951312100238079</v>
      </c>
    </row>
    <row r="42" spans="1:211" x14ac:dyDescent="0.2">
      <c r="A42">
        <v>2001</v>
      </c>
      <c r="B42" s="25">
        <v>2640</v>
      </c>
      <c r="C42" s="1">
        <v>945</v>
      </c>
      <c r="D42" s="1">
        <v>3599</v>
      </c>
      <c r="E42" s="1">
        <f>2278+464+96+3</f>
        <v>2841</v>
      </c>
      <c r="F42" s="69">
        <f t="shared" si="87"/>
        <v>10025</v>
      </c>
      <c r="G42" s="23">
        <f t="shared" si="7"/>
        <v>10022.5</v>
      </c>
      <c r="H42" s="1">
        <v>1185</v>
      </c>
      <c r="I42" s="1">
        <v>357</v>
      </c>
      <c r="J42" s="1">
        <v>253</v>
      </c>
      <c r="K42" s="1">
        <v>733</v>
      </c>
      <c r="L42" s="1">
        <v>27</v>
      </c>
      <c r="M42" s="1">
        <v>62</v>
      </c>
      <c r="N42" s="1">
        <v>67</v>
      </c>
      <c r="O42" s="1">
        <v>483</v>
      </c>
      <c r="P42" s="1">
        <v>344</v>
      </c>
      <c r="Q42" s="1">
        <v>199</v>
      </c>
      <c r="R42" s="1">
        <v>85</v>
      </c>
      <c r="S42" s="1">
        <v>96</v>
      </c>
      <c r="T42" s="69">
        <f t="shared" si="89"/>
        <v>724</v>
      </c>
      <c r="U42" s="1">
        <v>175</v>
      </c>
      <c r="V42" s="1">
        <v>77</v>
      </c>
      <c r="W42" s="1">
        <v>448</v>
      </c>
      <c r="X42" s="1">
        <v>123</v>
      </c>
      <c r="Y42" s="1">
        <v>44</v>
      </c>
      <c r="Z42" s="1">
        <v>57</v>
      </c>
      <c r="AA42" s="1">
        <v>95</v>
      </c>
      <c r="AB42" s="69">
        <f t="shared" si="90"/>
        <v>196</v>
      </c>
      <c r="AC42" s="27">
        <v>1351.03</v>
      </c>
      <c r="AD42" s="13">
        <v>251.67</v>
      </c>
      <c r="AE42" s="13">
        <v>1355.02</v>
      </c>
      <c r="AF42" s="13">
        <v>1065.55</v>
      </c>
      <c r="AG42" s="41">
        <f t="shared" si="91"/>
        <v>4023.2700000000004</v>
      </c>
      <c r="AH42" s="36">
        <v>1655.24</v>
      </c>
      <c r="AI42" s="37">
        <v>1370.27</v>
      </c>
      <c r="AJ42" s="37">
        <v>9522.5400000000009</v>
      </c>
      <c r="AK42" s="37">
        <v>3800.4</v>
      </c>
      <c r="AL42" s="41">
        <f t="shared" si="92"/>
        <v>16348.45</v>
      </c>
      <c r="AM42" s="32">
        <v>19547</v>
      </c>
      <c r="AN42" s="31">
        <v>19363</v>
      </c>
      <c r="AO42" s="35">
        <f>1628.87+335.96+11.97+25.46</f>
        <v>2002.26</v>
      </c>
      <c r="AP42" s="35">
        <f>751.93+0.05+1194.22+3520.44+1282.15+4021.84+191.8+364.27</f>
        <v>11326.699999999999</v>
      </c>
      <c r="AQ42" s="1">
        <v>93298</v>
      </c>
      <c r="AR42" s="30" t="e">
        <f>AZ42/#REF!</f>
        <v>#REF!</v>
      </c>
      <c r="AS42" s="74" t="e">
        <f>AY42/#REF!</f>
        <v>#REF!</v>
      </c>
      <c r="AT42" s="13">
        <f>precipitacion!P18</f>
        <v>992</v>
      </c>
      <c r="AU42" s="13">
        <f>precipitacion!O18</f>
        <v>1988</v>
      </c>
      <c r="AV42" s="13">
        <f>precipitacion!Q18</f>
        <v>193</v>
      </c>
      <c r="AW42" s="13">
        <f>precipitacion!R18</f>
        <v>1215</v>
      </c>
      <c r="AX42" s="13">
        <f>precipitacion!G18</f>
        <v>139</v>
      </c>
      <c r="AY42" s="13">
        <v>1082.8</v>
      </c>
      <c r="AZ42" s="13">
        <v>3642.7</v>
      </c>
      <c r="BA42" s="56">
        <v>538436</v>
      </c>
      <c r="BB42" s="57">
        <v>140239</v>
      </c>
      <c r="BC42" s="58">
        <v>787567</v>
      </c>
      <c r="BD42" s="72">
        <f t="shared" si="8"/>
        <v>0.68367008775126437</v>
      </c>
      <c r="BE42" s="72">
        <f t="shared" si="9"/>
        <v>0.97347198344493036</v>
      </c>
      <c r="BF42" s="72">
        <f t="shared" si="10"/>
        <v>0.17806612008883055</v>
      </c>
      <c r="BG42" s="72">
        <f t="shared" si="11"/>
        <v>0.43562687726501037</v>
      </c>
      <c r="BH42" s="56">
        <v>459966</v>
      </c>
      <c r="BI42" s="57">
        <v>50654</v>
      </c>
      <c r="BJ42" s="58">
        <v>515590</v>
      </c>
      <c r="BK42" s="71">
        <f t="shared" si="12"/>
        <v>0.89211582846835669</v>
      </c>
      <c r="BL42" s="72">
        <f t="shared" si="13"/>
        <v>1.2361265774527557</v>
      </c>
      <c r="BM42" s="71">
        <f t="shared" si="14"/>
        <v>9.8244729339203626E-2</v>
      </c>
      <c r="BN42" s="72">
        <f t="shared" si="15"/>
        <v>0.31881358539003896</v>
      </c>
      <c r="BO42" s="57">
        <v>0</v>
      </c>
      <c r="BP42" s="57">
        <v>101570</v>
      </c>
      <c r="BQ42" s="58">
        <v>161338</v>
      </c>
      <c r="BR42" s="48">
        <f t="shared" si="16"/>
        <v>0</v>
      </c>
      <c r="BS42" s="71">
        <f t="shared" si="17"/>
        <v>0.62954790563909313</v>
      </c>
      <c r="BT42" s="72">
        <f t="shared" si="18"/>
        <v>0.91644112751360862</v>
      </c>
      <c r="BU42" s="57">
        <v>0</v>
      </c>
      <c r="BV42" s="57">
        <v>170974</v>
      </c>
      <c r="BW42" s="58">
        <v>248142</v>
      </c>
      <c r="BX42" s="48">
        <f t="shared" si="19"/>
        <v>0</v>
      </c>
      <c r="BY42" s="71">
        <f t="shared" si="20"/>
        <v>0.68901677265436723</v>
      </c>
      <c r="BZ42" s="72">
        <f t="shared" si="21"/>
        <v>0.97923381059839532</v>
      </c>
      <c r="CA42" s="57">
        <v>0</v>
      </c>
      <c r="CB42" s="57">
        <v>67997</v>
      </c>
      <c r="CC42" s="58">
        <v>103797</v>
      </c>
      <c r="CD42" s="48">
        <f t="shared" si="22"/>
        <v>0</v>
      </c>
      <c r="CE42" s="71">
        <f t="shared" si="23"/>
        <v>0.65509600470148466</v>
      </c>
      <c r="CF42" s="72">
        <f t="shared" si="24"/>
        <v>0.94309566223249519</v>
      </c>
      <c r="CG42" s="57">
        <v>0</v>
      </c>
      <c r="CH42" s="57">
        <v>39860</v>
      </c>
      <c r="CI42" s="58">
        <v>89958</v>
      </c>
      <c r="CJ42" s="48">
        <f t="shared" si="25"/>
        <v>0</v>
      </c>
      <c r="CK42" s="71">
        <f t="shared" si="26"/>
        <v>0.44309566686676005</v>
      </c>
      <c r="CL42" s="72">
        <f t="shared" si="27"/>
        <v>0.72837026730387311</v>
      </c>
      <c r="CM42" s="57">
        <v>0</v>
      </c>
      <c r="CN42" s="57">
        <v>226978</v>
      </c>
      <c r="CO42" s="58">
        <v>244949</v>
      </c>
      <c r="CP42" s="48">
        <f t="shared" si="28"/>
        <v>0</v>
      </c>
      <c r="CQ42" s="71">
        <f t="shared" si="29"/>
        <v>0.92663370742481088</v>
      </c>
      <c r="CR42" s="72">
        <f t="shared" si="30"/>
        <v>1.2965078002020194</v>
      </c>
      <c r="CS42" s="47">
        <v>0</v>
      </c>
      <c r="CT42" s="47">
        <v>66750</v>
      </c>
      <c r="CU42" s="48">
        <v>77710</v>
      </c>
      <c r="CV42" s="48">
        <f t="shared" si="31"/>
        <v>0</v>
      </c>
      <c r="CW42" s="72">
        <f t="shared" si="32"/>
        <v>0.85896281044910561</v>
      </c>
      <c r="CX42" s="72">
        <f t="shared" si="33"/>
        <v>1.1858070656944839</v>
      </c>
      <c r="CY42" s="57">
        <v>0</v>
      </c>
      <c r="CZ42" s="57">
        <v>39984</v>
      </c>
      <c r="DA42" s="58">
        <v>100063</v>
      </c>
      <c r="DB42" s="48">
        <f t="shared" si="34"/>
        <v>0</v>
      </c>
      <c r="DC42" s="71">
        <f t="shared" si="35"/>
        <v>0.39958825939658016</v>
      </c>
      <c r="DD42" s="72">
        <f t="shared" si="36"/>
        <v>0.68429893590583568</v>
      </c>
      <c r="DE42" s="47">
        <v>0</v>
      </c>
      <c r="DF42" s="47">
        <v>4226</v>
      </c>
      <c r="DG42" s="48">
        <v>25472</v>
      </c>
      <c r="DH42" s="48">
        <f t="shared" si="37"/>
        <v>0</v>
      </c>
      <c r="DI42" s="71">
        <f t="shared" si="38"/>
        <v>0.16590766331658291</v>
      </c>
      <c r="DJ42" s="72">
        <f t="shared" si="39"/>
        <v>0.41951509555147493</v>
      </c>
      <c r="DK42" s="47">
        <v>0</v>
      </c>
      <c r="DL42" s="47">
        <v>21020</v>
      </c>
      <c r="DM42" s="48">
        <v>28790</v>
      </c>
      <c r="DN42" s="48">
        <f t="shared" si="40"/>
        <v>0</v>
      </c>
      <c r="DO42" s="71">
        <f t="shared" si="41"/>
        <v>0.73011462313303233</v>
      </c>
      <c r="DP42" s="72">
        <f t="shared" si="42"/>
        <v>1.0245248631852912</v>
      </c>
      <c r="DQ42" s="57">
        <v>197</v>
      </c>
      <c r="DR42" s="57">
        <v>206385</v>
      </c>
      <c r="DS42" s="58">
        <v>222897</v>
      </c>
      <c r="DT42" s="71">
        <f t="shared" si="43"/>
        <v>8.8381629182985861E-4</v>
      </c>
      <c r="DU42" s="72">
        <f t="shared" si="44"/>
        <v>2.9733428858987537E-2</v>
      </c>
      <c r="DV42" s="71">
        <f t="shared" si="45"/>
        <v>0.92592094106246381</v>
      </c>
      <c r="DW42" s="72">
        <f t="shared" si="46"/>
        <v>1.295144010682886</v>
      </c>
      <c r="DX42" s="57">
        <v>23306</v>
      </c>
      <c r="DY42" s="57">
        <v>83880</v>
      </c>
      <c r="DZ42" s="58">
        <v>166389</v>
      </c>
      <c r="EA42" s="71">
        <f t="shared" si="47"/>
        <v>0.1400693555463402</v>
      </c>
      <c r="EB42" s="72">
        <f t="shared" si="48"/>
        <v>0.38359693325204464</v>
      </c>
      <c r="EC42" s="71">
        <f t="shared" si="49"/>
        <v>0.5041198636929124</v>
      </c>
      <c r="ED42" s="72">
        <f t="shared" si="50"/>
        <v>0.78951807371017646</v>
      </c>
      <c r="EE42" s="57">
        <v>0</v>
      </c>
      <c r="EF42" s="57">
        <v>75170</v>
      </c>
      <c r="EG42" s="58">
        <v>86051</v>
      </c>
      <c r="EH42" s="48">
        <f t="shared" si="51"/>
        <v>0</v>
      </c>
      <c r="EI42" s="71">
        <f t="shared" si="52"/>
        <v>0.8735517309502504</v>
      </c>
      <c r="EJ42" s="72">
        <f t="shared" si="53"/>
        <v>1.2072450283133658</v>
      </c>
      <c r="EK42" s="57">
        <v>4</v>
      </c>
      <c r="EL42" s="57">
        <v>9541</v>
      </c>
      <c r="EM42" s="58">
        <v>9741</v>
      </c>
      <c r="EN42" s="48">
        <f t="shared" si="54"/>
        <v>4.1063545837183042E-4</v>
      </c>
      <c r="EO42" s="71">
        <f t="shared" si="55"/>
        <v>0.97946822708140846</v>
      </c>
      <c r="EP42" s="72">
        <f t="shared" si="56"/>
        <v>1.4270122868629409</v>
      </c>
      <c r="EQ42" s="56">
        <v>1302856</v>
      </c>
      <c r="ER42" s="59">
        <v>588187</v>
      </c>
      <c r="ES42" s="58">
        <v>1914751</v>
      </c>
      <c r="ET42" s="68">
        <f t="shared" si="57"/>
        <v>0.68043103254679072</v>
      </c>
      <c r="EU42" s="68">
        <f t="shared" si="105"/>
        <v>0</v>
      </c>
      <c r="EV42" s="68">
        <f t="shared" si="58"/>
        <v>0.30718720084230272</v>
      </c>
      <c r="EW42" s="57">
        <v>823813</v>
      </c>
      <c r="EX42" s="57">
        <v>1261212</v>
      </c>
      <c r="EY42" s="58">
        <v>2204358</v>
      </c>
      <c r="EZ42" s="68">
        <f t="shared" si="59"/>
        <v>0.37372014890503269</v>
      </c>
      <c r="FA42" s="68">
        <f t="shared" si="60"/>
        <v>0.65773575831882469</v>
      </c>
      <c r="FB42" s="68">
        <f t="shared" si="61"/>
        <v>0.57214481495292502</v>
      </c>
      <c r="FC42" s="57">
        <v>9836</v>
      </c>
      <c r="FD42" s="57">
        <v>289864</v>
      </c>
      <c r="FE42" s="58">
        <v>332145</v>
      </c>
      <c r="FF42" s="68">
        <f t="shared" si="62"/>
        <v>3.3933154858830347E-2</v>
      </c>
      <c r="FG42" s="68">
        <f t="shared" si="63"/>
        <v>0.18526757960074608</v>
      </c>
      <c r="FH42" s="68">
        <f t="shared" si="106"/>
        <v>0.87270318686116</v>
      </c>
      <c r="FI42" s="57">
        <v>415857</v>
      </c>
      <c r="FJ42" s="57">
        <v>313654</v>
      </c>
      <c r="FK42" s="58">
        <v>744810</v>
      </c>
      <c r="FL42" s="68">
        <f t="shared" si="88"/>
        <v>0.55833971079872724</v>
      </c>
      <c r="FM42" s="68">
        <f t="shared" si="64"/>
        <v>0.84387106544922041</v>
      </c>
      <c r="FN42" s="68">
        <f t="shared" si="65"/>
        <v>0.42111948013587358</v>
      </c>
      <c r="FO42" s="46">
        <v>2552362</v>
      </c>
      <c r="FP42" s="46">
        <v>2452917</v>
      </c>
      <c r="FQ42" s="58">
        <v>5196064</v>
      </c>
      <c r="FR42" s="58">
        <v>5733493</v>
      </c>
      <c r="FS42" s="68">
        <f t="shared" si="66"/>
        <v>0.49121065483412057</v>
      </c>
      <c r="FT42" s="68">
        <f t="shared" si="67"/>
        <v>0.77660836550216883</v>
      </c>
      <c r="FU42" s="68">
        <f t="shared" si="107"/>
        <v>0.47207212998146292</v>
      </c>
      <c r="FV42" s="68">
        <f t="shared" si="68"/>
        <v>0.75745575109521279</v>
      </c>
      <c r="FW42" s="57">
        <v>0</v>
      </c>
      <c r="FX42" s="57">
        <v>78951</v>
      </c>
      <c r="FY42" s="58">
        <v>172550</v>
      </c>
      <c r="FZ42" s="48">
        <f t="shared" si="69"/>
        <v>0</v>
      </c>
      <c r="GA42" s="71">
        <f t="shared" si="70"/>
        <v>0.45755433207765867</v>
      </c>
      <c r="GB42" s="68">
        <f t="shared" si="71"/>
        <v>0.74290134837425681</v>
      </c>
      <c r="GC42" s="57">
        <v>0</v>
      </c>
      <c r="GD42" s="57">
        <v>120203</v>
      </c>
      <c r="GE42" s="58">
        <v>129715</v>
      </c>
      <c r="GF42" s="48">
        <f t="shared" si="72"/>
        <v>0</v>
      </c>
      <c r="GG42" s="68">
        <f t="shared" si="73"/>
        <v>0</v>
      </c>
      <c r="GH42" s="71">
        <f t="shared" si="74"/>
        <v>0.92667000732374827</v>
      </c>
      <c r="GI42" s="68">
        <f t="shared" si="75"/>
        <v>1.2965774183655443</v>
      </c>
      <c r="GJ42" s="57">
        <v>304</v>
      </c>
      <c r="GK42" s="57">
        <v>399072</v>
      </c>
      <c r="GL42" s="58">
        <v>408991</v>
      </c>
      <c r="GM42" s="71">
        <f t="shared" si="76"/>
        <v>7.4329263969133798E-4</v>
      </c>
      <c r="GN42" s="68">
        <f t="shared" si="77"/>
        <v>2.7266772343789564E-2</v>
      </c>
      <c r="GO42" s="71">
        <f t="shared" si="78"/>
        <v>0.97574763258849218</v>
      </c>
      <c r="GP42" s="68">
        <f t="shared" si="79"/>
        <v>1.4144281628442748</v>
      </c>
      <c r="GQ42" s="57">
        <v>101454</v>
      </c>
      <c r="GR42" s="57">
        <v>601974</v>
      </c>
      <c r="GS42" s="58">
        <v>705482</v>
      </c>
      <c r="GT42" s="71">
        <f t="shared" si="80"/>
        <v>0.14380806313981079</v>
      </c>
      <c r="GU42" s="68">
        <f t="shared" si="81"/>
        <v>0.38895354980893443</v>
      </c>
      <c r="GV42" s="71">
        <f t="shared" si="82"/>
        <v>0.85328045222982296</v>
      </c>
      <c r="GW42" s="68">
        <f t="shared" si="83"/>
        <v>1.177711400798408</v>
      </c>
      <c r="GX42" s="40">
        <v>101758</v>
      </c>
      <c r="GY42" s="40">
        <v>1121249</v>
      </c>
      <c r="GZ42">
        <v>1244188</v>
      </c>
      <c r="HA42" s="126">
        <f t="shared" si="84"/>
        <v>8.1786675325593874E-2</v>
      </c>
      <c r="HB42" s="126">
        <f t="shared" si="85"/>
        <v>0.90118937009519462</v>
      </c>
      <c r="HC42" s="68">
        <f t="shared" si="86"/>
        <v>1.2510333282889288</v>
      </c>
    </row>
    <row r="43" spans="1:211" x14ac:dyDescent="0.2">
      <c r="A43">
        <v>2002</v>
      </c>
      <c r="B43" s="25">
        <v>2326</v>
      </c>
      <c r="C43" s="1">
        <v>1275</v>
      </c>
      <c r="D43" s="1">
        <v>3896</v>
      </c>
      <c r="E43" s="1">
        <v>3276</v>
      </c>
      <c r="F43" s="69">
        <f t="shared" si="87"/>
        <v>10773</v>
      </c>
      <c r="G43" s="23">
        <f t="shared" si="7"/>
        <v>10770.499999999998</v>
      </c>
      <c r="H43" s="1">
        <v>1560</v>
      </c>
      <c r="I43" s="1">
        <v>428</v>
      </c>
      <c r="J43" s="1">
        <v>186</v>
      </c>
      <c r="K43" s="1">
        <v>445</v>
      </c>
      <c r="L43" s="1">
        <v>45</v>
      </c>
      <c r="M43" s="1">
        <v>66</v>
      </c>
      <c r="N43" s="1">
        <v>63</v>
      </c>
      <c r="O43" s="1">
        <v>370</v>
      </c>
      <c r="P43" s="1">
        <v>193</v>
      </c>
      <c r="Q43" s="1">
        <v>107</v>
      </c>
      <c r="R43" s="1">
        <v>143</v>
      </c>
      <c r="S43" s="1">
        <v>102</v>
      </c>
      <c r="T43" s="69">
        <f t="shared" si="89"/>
        <v>545</v>
      </c>
      <c r="U43" s="1">
        <v>226</v>
      </c>
      <c r="V43" s="1">
        <v>90</v>
      </c>
      <c r="W43" s="1">
        <v>119</v>
      </c>
      <c r="X43" s="1">
        <v>166</v>
      </c>
      <c r="Y43" s="1">
        <v>60</v>
      </c>
      <c r="Z43" s="1">
        <v>89</v>
      </c>
      <c r="AA43" s="1">
        <v>93</v>
      </c>
      <c r="AB43" s="69">
        <f t="shared" si="90"/>
        <v>242</v>
      </c>
      <c r="AC43" s="27">
        <v>1244.52</v>
      </c>
      <c r="AD43" s="13">
        <v>636.86</v>
      </c>
      <c r="AE43" s="13">
        <v>3804.59</v>
      </c>
      <c r="AF43" s="13">
        <v>1692.44</v>
      </c>
      <c r="AG43" s="41">
        <f t="shared" si="91"/>
        <v>7378.41</v>
      </c>
      <c r="AH43" s="27">
        <v>3757.86</v>
      </c>
      <c r="AI43" s="13">
        <v>3454.41</v>
      </c>
      <c r="AJ43" s="13">
        <v>13043.68</v>
      </c>
      <c r="AK43" s="13">
        <v>5869.25</v>
      </c>
      <c r="AL43" s="41">
        <f t="shared" si="92"/>
        <v>26125.200000000001</v>
      </c>
      <c r="AM43" s="32">
        <v>19929</v>
      </c>
      <c r="AN43" s="31">
        <v>25197</v>
      </c>
      <c r="AO43" s="35">
        <f>2936.77+68.08+116.67+2.06</f>
        <v>3123.58</v>
      </c>
      <c r="AP43" s="35">
        <f>1081.5+163.11+389.79+2614.91+176.03+7127.89+84.66+1351.11</f>
        <v>12989</v>
      </c>
      <c r="AQ43" s="1">
        <v>107472</v>
      </c>
      <c r="AR43" s="30" t="e">
        <f>AZ43/#REF!</f>
        <v>#REF!</v>
      </c>
      <c r="AS43" s="74" t="e">
        <f>AY43/#REF!</f>
        <v>#REF!</v>
      </c>
      <c r="AT43" s="13">
        <f>precipitacion!P19</f>
        <v>521</v>
      </c>
      <c r="AU43" s="13">
        <f>precipitacion!O19</f>
        <v>1879</v>
      </c>
      <c r="AV43" s="13">
        <f>precipitacion!Q19</f>
        <v>181</v>
      </c>
      <c r="AW43" s="13">
        <f>precipitacion!R19</f>
        <v>461</v>
      </c>
      <c r="AX43" s="13">
        <f>precipitacion!G19</f>
        <v>154</v>
      </c>
      <c r="AY43" s="13">
        <v>3483.2</v>
      </c>
      <c r="AZ43" s="13">
        <v>11977.2</v>
      </c>
      <c r="BA43" s="56">
        <v>496723</v>
      </c>
      <c r="BB43" s="57">
        <v>146835</v>
      </c>
      <c r="BC43" s="58">
        <v>723985</v>
      </c>
      <c r="BD43" s="72">
        <f t="shared" si="8"/>
        <v>0.68609570640275697</v>
      </c>
      <c r="BE43" s="72">
        <f t="shared" si="9"/>
        <v>0.97608263618533486</v>
      </c>
      <c r="BF43" s="72">
        <f t="shared" si="10"/>
        <v>0.20281497544838636</v>
      </c>
      <c r="BG43" s="72">
        <f t="shared" si="11"/>
        <v>0.46715711966728296</v>
      </c>
      <c r="BH43" s="56">
        <v>352088</v>
      </c>
      <c r="BI43" s="57">
        <v>26432</v>
      </c>
      <c r="BJ43" s="58">
        <v>381909</v>
      </c>
      <c r="BK43" s="71">
        <f t="shared" si="12"/>
        <v>0.92191595380051272</v>
      </c>
      <c r="BL43" s="72">
        <f t="shared" si="13"/>
        <v>1.2875904721573728</v>
      </c>
      <c r="BM43" s="71">
        <f t="shared" si="14"/>
        <v>6.9210204525161759E-2</v>
      </c>
      <c r="BN43" s="72">
        <f t="shared" si="15"/>
        <v>0.26621154012786835</v>
      </c>
      <c r="BO43" s="57">
        <v>0</v>
      </c>
      <c r="BP43" s="57">
        <v>129699</v>
      </c>
      <c r="BQ43" s="58">
        <v>167268</v>
      </c>
      <c r="BR43" s="48">
        <f t="shared" si="16"/>
        <v>0</v>
      </c>
      <c r="BS43" s="71">
        <f t="shared" si="17"/>
        <v>0.77539636989741012</v>
      </c>
      <c r="BT43" s="72">
        <f t="shared" si="18"/>
        <v>1.0770550317332985</v>
      </c>
      <c r="BU43" s="57">
        <v>0</v>
      </c>
      <c r="BV43" s="57">
        <v>158783</v>
      </c>
      <c r="BW43" s="58">
        <v>216139</v>
      </c>
      <c r="BX43" s="48">
        <f t="shared" si="19"/>
        <v>0</v>
      </c>
      <c r="BY43" s="71">
        <f t="shared" si="20"/>
        <v>0.73463373107120877</v>
      </c>
      <c r="BZ43" s="72">
        <f t="shared" si="21"/>
        <v>1.0296286866395508</v>
      </c>
      <c r="CA43" s="57">
        <v>0</v>
      </c>
      <c r="CB43" s="57">
        <v>100659</v>
      </c>
      <c r="CC43" s="58">
        <v>164478</v>
      </c>
      <c r="CD43" s="48">
        <f t="shared" si="22"/>
        <v>0</v>
      </c>
      <c r="CE43" s="71">
        <f t="shared" si="23"/>
        <v>0.61199066136504576</v>
      </c>
      <c r="CF43" s="72">
        <f t="shared" si="24"/>
        <v>0.89834700208134122</v>
      </c>
      <c r="CG43" s="57">
        <v>0</v>
      </c>
      <c r="CH43" s="57">
        <v>74223</v>
      </c>
      <c r="CI43" s="58">
        <v>86934</v>
      </c>
      <c r="CJ43" s="48">
        <f t="shared" si="25"/>
        <v>0</v>
      </c>
      <c r="CK43" s="71">
        <f t="shared" si="26"/>
        <v>0.85378563047829392</v>
      </c>
      <c r="CL43" s="72">
        <f t="shared" si="27"/>
        <v>1.1784257898565902</v>
      </c>
      <c r="CM43" s="57">
        <v>0</v>
      </c>
      <c r="CN43" s="57">
        <v>212536</v>
      </c>
      <c r="CO43" s="58">
        <v>230137</v>
      </c>
      <c r="CP43" s="48">
        <f t="shared" si="28"/>
        <v>0</v>
      </c>
      <c r="CQ43" s="71">
        <f t="shared" si="29"/>
        <v>0.92351946883812686</v>
      </c>
      <c r="CR43" s="72">
        <f t="shared" si="30"/>
        <v>1.2905929110918775</v>
      </c>
      <c r="CS43" s="47">
        <v>0</v>
      </c>
      <c r="CT43" s="47">
        <v>66310</v>
      </c>
      <c r="CU43" s="48">
        <v>75926</v>
      </c>
      <c r="CV43" s="48">
        <f t="shared" si="31"/>
        <v>0</v>
      </c>
      <c r="CW43" s="72">
        <f t="shared" si="32"/>
        <v>0.87335036746305617</v>
      </c>
      <c r="CX43" s="72">
        <f t="shared" si="33"/>
        <v>1.2069421960099251</v>
      </c>
      <c r="CY43" s="57">
        <v>0</v>
      </c>
      <c r="CZ43" s="57">
        <v>20104</v>
      </c>
      <c r="DA43" s="58">
        <v>52603</v>
      </c>
      <c r="DB43" s="48">
        <f t="shared" si="34"/>
        <v>0</v>
      </c>
      <c r="DC43" s="71">
        <f t="shared" si="35"/>
        <v>0.38218352565443037</v>
      </c>
      <c r="DD43" s="72">
        <f t="shared" si="36"/>
        <v>0.666463261251656</v>
      </c>
      <c r="DE43" s="47">
        <v>0</v>
      </c>
      <c r="DF43" s="47">
        <v>6380</v>
      </c>
      <c r="DG43" s="48">
        <v>32119</v>
      </c>
      <c r="DH43" s="48">
        <f t="shared" si="37"/>
        <v>0</v>
      </c>
      <c r="DI43" s="71">
        <f t="shared" si="38"/>
        <v>0.19863632118060962</v>
      </c>
      <c r="DJ43" s="72">
        <f t="shared" si="39"/>
        <v>0.46194082232340289</v>
      </c>
      <c r="DK43" s="47">
        <v>0</v>
      </c>
      <c r="DL43" s="47">
        <v>13838</v>
      </c>
      <c r="DM43" s="48">
        <v>16549</v>
      </c>
      <c r="DN43" s="48">
        <f t="shared" si="40"/>
        <v>0</v>
      </c>
      <c r="DO43" s="71">
        <f t="shared" si="41"/>
        <v>0.83618345519366732</v>
      </c>
      <c r="DP43" s="72">
        <f t="shared" si="42"/>
        <v>1.1540990374233688</v>
      </c>
      <c r="DQ43" s="57">
        <v>753</v>
      </c>
      <c r="DR43" s="57">
        <v>185588</v>
      </c>
      <c r="DS43" s="58">
        <v>205145</v>
      </c>
      <c r="DT43" s="71">
        <f t="shared" si="43"/>
        <v>3.6705744717151281E-3</v>
      </c>
      <c r="DU43" s="72">
        <f t="shared" si="44"/>
        <v>6.0622391270351225E-2</v>
      </c>
      <c r="DV43" s="71">
        <f t="shared" si="45"/>
        <v>0.90466743035413977</v>
      </c>
      <c r="DW43" s="72">
        <f t="shared" si="46"/>
        <v>1.2569075554082265</v>
      </c>
      <c r="DX43" s="57">
        <v>16642</v>
      </c>
      <c r="DY43" s="57">
        <v>79538</v>
      </c>
      <c r="DZ43" s="58">
        <v>150900</v>
      </c>
      <c r="EA43" s="71">
        <f t="shared" si="47"/>
        <v>0.11028495692511597</v>
      </c>
      <c r="EB43" s="72">
        <f t="shared" si="48"/>
        <v>0.33852035981983153</v>
      </c>
      <c r="EC43" s="71">
        <f t="shared" si="49"/>
        <v>0.52709078860172298</v>
      </c>
      <c r="ED43" s="72">
        <f t="shared" si="50"/>
        <v>0.81250222435534336</v>
      </c>
      <c r="EE43" s="57">
        <v>0</v>
      </c>
      <c r="EF43" s="57">
        <v>82397</v>
      </c>
      <c r="EG43" s="58">
        <v>88750</v>
      </c>
      <c r="EH43" s="48">
        <f t="shared" si="51"/>
        <v>0</v>
      </c>
      <c r="EI43" s="71">
        <f t="shared" si="52"/>
        <v>0.92841690140845068</v>
      </c>
      <c r="EJ43" s="72">
        <f t="shared" si="53"/>
        <v>1.2999467065582189</v>
      </c>
      <c r="EK43" s="57">
        <v>0</v>
      </c>
      <c r="EL43" s="57">
        <v>19444</v>
      </c>
      <c r="EM43" s="58">
        <v>19597</v>
      </c>
      <c r="EN43" s="48">
        <f t="shared" si="54"/>
        <v>0</v>
      </c>
      <c r="EO43" s="71">
        <f t="shared" si="55"/>
        <v>0.99219268255345205</v>
      </c>
      <c r="EP43" s="72">
        <f t="shared" si="56"/>
        <v>1.4823219206393987</v>
      </c>
      <c r="EQ43" s="56">
        <v>1344982</v>
      </c>
      <c r="ER43" s="59">
        <v>410725</v>
      </c>
      <c r="ES43" s="58">
        <v>1778262</v>
      </c>
      <c r="ET43" s="68">
        <f t="shared" si="57"/>
        <v>0.75634636515878984</v>
      </c>
      <c r="EU43" s="68">
        <f t="shared" si="105"/>
        <v>0</v>
      </c>
      <c r="EV43" s="68">
        <f t="shared" si="58"/>
        <v>0.23096990207292289</v>
      </c>
      <c r="EW43" s="57">
        <v>853578</v>
      </c>
      <c r="EX43" s="57">
        <v>1159327</v>
      </c>
      <c r="EY43" s="58">
        <v>2134122</v>
      </c>
      <c r="EZ43" s="68">
        <f t="shared" si="59"/>
        <v>0.39996682476446987</v>
      </c>
      <c r="FA43" s="68">
        <f t="shared" si="60"/>
        <v>0.68468534343525755</v>
      </c>
      <c r="FB43" s="68">
        <f t="shared" si="61"/>
        <v>0.54323370453985287</v>
      </c>
      <c r="FC43" s="57">
        <v>8929</v>
      </c>
      <c r="FD43" s="57">
        <v>199959</v>
      </c>
      <c r="FE43" s="58">
        <v>245699</v>
      </c>
      <c r="FF43" s="68">
        <f t="shared" si="62"/>
        <v>4.4654154101590827E-2</v>
      </c>
      <c r="FG43" s="68">
        <f t="shared" si="63"/>
        <v>0.21292044824389028</v>
      </c>
      <c r="FH43" s="68">
        <f t="shared" si="106"/>
        <v>0.81383725615488867</v>
      </c>
      <c r="FI43" s="57">
        <v>446702</v>
      </c>
      <c r="FJ43" s="57">
        <v>295042</v>
      </c>
      <c r="FK43" s="58">
        <v>751984</v>
      </c>
      <c r="FL43" s="68">
        <f t="shared" si="88"/>
        <v>0.59403125598416984</v>
      </c>
      <c r="FM43" s="68">
        <f t="shared" si="64"/>
        <v>0.87999270638825255</v>
      </c>
      <c r="FN43" s="68">
        <f t="shared" si="65"/>
        <v>0.39235143300921294</v>
      </c>
      <c r="FO43" s="46">
        <v>2654191</v>
      </c>
      <c r="FP43" s="46">
        <v>2065053</v>
      </c>
      <c r="FQ43" s="58">
        <v>4910067</v>
      </c>
      <c r="FR43" s="58">
        <v>5196064</v>
      </c>
      <c r="FS43" s="68">
        <f t="shared" si="66"/>
        <v>0.5405610554805057</v>
      </c>
      <c r="FT43" s="68">
        <f t="shared" si="67"/>
        <v>0.82600383848391778</v>
      </c>
      <c r="FU43" s="68">
        <f t="shared" si="107"/>
        <v>0.42057532005164083</v>
      </c>
      <c r="FV43" s="68">
        <f t="shared" si="68"/>
        <v>0.70563561062867131</v>
      </c>
      <c r="FW43" s="57">
        <v>0</v>
      </c>
      <c r="FX43" s="57">
        <v>129811</v>
      </c>
      <c r="FY43" s="58">
        <v>210120</v>
      </c>
      <c r="FZ43" s="48">
        <f t="shared" si="69"/>
        <v>0</v>
      </c>
      <c r="GA43" s="71">
        <f t="shared" si="70"/>
        <v>0.61779459356558153</v>
      </c>
      <c r="GB43" s="68">
        <f t="shared" si="71"/>
        <v>0.90431055091867696</v>
      </c>
      <c r="GC43" s="57">
        <v>15</v>
      </c>
      <c r="GD43" s="57">
        <v>100876</v>
      </c>
      <c r="GE43" s="58">
        <v>115457</v>
      </c>
      <c r="GF43" s="48">
        <f t="shared" si="72"/>
        <v>1.2991849779571616E-4</v>
      </c>
      <c r="GG43" s="68">
        <f t="shared" si="73"/>
        <v>1.1398426402693292E-2</v>
      </c>
      <c r="GH43" s="71">
        <f t="shared" si="74"/>
        <v>0.87371055890937754</v>
      </c>
      <c r="GI43" s="68">
        <f t="shared" si="75"/>
        <v>1.2074840365678228</v>
      </c>
      <c r="GJ43" s="57">
        <v>0</v>
      </c>
      <c r="GK43" s="57">
        <v>349959</v>
      </c>
      <c r="GL43" s="58">
        <v>354312</v>
      </c>
      <c r="GM43" s="71">
        <f t="shared" si="76"/>
        <v>0</v>
      </c>
      <c r="GN43" s="68">
        <f t="shared" si="77"/>
        <v>0</v>
      </c>
      <c r="GO43" s="71">
        <f t="shared" si="78"/>
        <v>0.98771421797737591</v>
      </c>
      <c r="GP43" s="68">
        <f t="shared" si="79"/>
        <v>1.4597268539221324</v>
      </c>
      <c r="GQ43" s="57">
        <v>39060</v>
      </c>
      <c r="GR43" s="57">
        <v>459321</v>
      </c>
      <c r="GS43" s="58">
        <v>565602</v>
      </c>
      <c r="GT43" s="71">
        <f t="shared" si="80"/>
        <v>6.9059161742709541E-2</v>
      </c>
      <c r="GU43" s="68">
        <f t="shared" si="81"/>
        <v>0.26591384026763265</v>
      </c>
      <c r="GV43" s="71">
        <f t="shared" si="82"/>
        <v>0.81209224861298224</v>
      </c>
      <c r="GW43" s="68">
        <f t="shared" si="83"/>
        <v>1.1224418082200278</v>
      </c>
      <c r="GX43" s="40">
        <v>39075</v>
      </c>
      <c r="GY43" s="40">
        <v>910156</v>
      </c>
      <c r="GZ43">
        <v>1035371</v>
      </c>
      <c r="HA43" s="126">
        <f t="shared" si="84"/>
        <v>3.7740095096347105E-2</v>
      </c>
      <c r="HB43" s="126">
        <f t="shared" si="85"/>
        <v>0.87906267415255013</v>
      </c>
      <c r="HC43" s="68">
        <f t="shared" si="86"/>
        <v>1.2156149325537369</v>
      </c>
    </row>
    <row r="44" spans="1:211" x14ac:dyDescent="0.2">
      <c r="A44">
        <v>2003</v>
      </c>
      <c r="B44" s="25">
        <v>1921</v>
      </c>
      <c r="C44" s="1">
        <v>1609</v>
      </c>
      <c r="D44" s="1">
        <v>2625</v>
      </c>
      <c r="E44" s="1">
        <f>1934+267+121+6</f>
        <v>2328</v>
      </c>
      <c r="F44" s="69">
        <f t="shared" si="87"/>
        <v>8483</v>
      </c>
      <c r="G44" s="23">
        <f t="shared" si="7"/>
        <v>8480.5</v>
      </c>
      <c r="H44" s="1">
        <v>2067</v>
      </c>
      <c r="I44" s="1">
        <v>258</v>
      </c>
      <c r="J44" s="1">
        <v>177</v>
      </c>
      <c r="K44" s="1">
        <v>452</v>
      </c>
      <c r="L44" s="1">
        <v>75</v>
      </c>
      <c r="M44" s="1">
        <v>61</v>
      </c>
      <c r="N44" s="1">
        <v>83</v>
      </c>
      <c r="O44" s="1">
        <v>283</v>
      </c>
      <c r="P44" s="1">
        <v>332</v>
      </c>
      <c r="Q44" s="1">
        <v>168</v>
      </c>
      <c r="R44" s="1">
        <v>128</v>
      </c>
      <c r="S44" s="1">
        <v>75</v>
      </c>
      <c r="T44" s="69">
        <f t="shared" si="89"/>
        <v>703</v>
      </c>
      <c r="U44" s="1">
        <v>134</v>
      </c>
      <c r="V44" s="1">
        <v>83</v>
      </c>
      <c r="W44" s="1">
        <v>277</v>
      </c>
      <c r="X44" s="1">
        <v>64</v>
      </c>
      <c r="Y44" s="1">
        <v>39</v>
      </c>
      <c r="Z44" s="1">
        <v>71</v>
      </c>
      <c r="AA44" s="1">
        <v>128</v>
      </c>
      <c r="AB44" s="69">
        <f t="shared" si="90"/>
        <v>238</v>
      </c>
      <c r="AC44" s="27">
        <v>522.86</v>
      </c>
      <c r="AD44" s="13">
        <v>2355.91</v>
      </c>
      <c r="AE44" s="13">
        <v>1291.67</v>
      </c>
      <c r="AF44" s="13">
        <v>775.51</v>
      </c>
      <c r="AG44" s="41">
        <f t="shared" si="91"/>
        <v>4945.9500000000007</v>
      </c>
      <c r="AH44" s="27">
        <v>1809.4</v>
      </c>
      <c r="AI44" s="13">
        <v>8205.2999999999993</v>
      </c>
      <c r="AJ44" s="13">
        <v>7620.7</v>
      </c>
      <c r="AK44" s="13">
        <v>2183.1999999999998</v>
      </c>
      <c r="AL44" s="41">
        <f t="shared" si="92"/>
        <v>19818.599999999999</v>
      </c>
      <c r="AM44" s="32">
        <v>18617</v>
      </c>
      <c r="AN44" s="31">
        <v>53674</v>
      </c>
      <c r="AO44" s="35">
        <f>4151.29+951.86+26.99</f>
        <v>5130.1399999999994</v>
      </c>
      <c r="AP44" s="35">
        <f>1322.19+3.11+3797.69+6743.74+626.3+15449.41+328.43+1724.98</f>
        <v>29995.85</v>
      </c>
      <c r="AQ44" s="1">
        <v>148173</v>
      </c>
      <c r="AR44" s="30" t="e">
        <f>AZ44/#REF!</f>
        <v>#REF!</v>
      </c>
      <c r="AS44" s="74" t="e">
        <f>AY44/#REF!</f>
        <v>#REF!</v>
      </c>
      <c r="AT44" s="13">
        <f>precipitacion!P20</f>
        <v>724</v>
      </c>
      <c r="AU44" s="13">
        <f>precipitacion!O20</f>
        <v>1846</v>
      </c>
      <c r="AV44" s="13">
        <f>precipitacion!Q20</f>
        <v>318</v>
      </c>
      <c r="AW44" s="13">
        <f>precipitacion!R20</f>
        <v>789</v>
      </c>
      <c r="AX44" s="13">
        <f>precipitacion!G20</f>
        <v>33</v>
      </c>
      <c r="AY44" s="20" t="e">
        <f>#REF!</f>
        <v>#REF!</v>
      </c>
      <c r="AZ44" s="20" t="e">
        <f>#REF!</f>
        <v>#REF!</v>
      </c>
      <c r="BA44" s="56">
        <v>482074</v>
      </c>
      <c r="BB44" s="57">
        <v>121136</v>
      </c>
      <c r="BC44" s="58">
        <v>662087</v>
      </c>
      <c r="BD44" s="72">
        <f t="shared" si="8"/>
        <v>0.7281127706781737</v>
      </c>
      <c r="BE44" s="72">
        <f t="shared" si="9"/>
        <v>1.0222726392080717</v>
      </c>
      <c r="BF44" s="72">
        <f t="shared" si="10"/>
        <v>0.18296084955602512</v>
      </c>
      <c r="BG44" s="72">
        <f t="shared" si="11"/>
        <v>0.44199017090648718</v>
      </c>
      <c r="BH44" s="56">
        <v>389414</v>
      </c>
      <c r="BI44" s="57">
        <v>63341</v>
      </c>
      <c r="BJ44" s="58">
        <v>454549</v>
      </c>
      <c r="BK44" s="71">
        <f t="shared" si="12"/>
        <v>0.85670411770788191</v>
      </c>
      <c r="BL44" s="72">
        <f t="shared" si="13"/>
        <v>1.1825731393876142</v>
      </c>
      <c r="BM44" s="71">
        <f t="shared" si="14"/>
        <v>0.139349113076918</v>
      </c>
      <c r="BN44" s="72">
        <f t="shared" si="15"/>
        <v>0.38255817646403928</v>
      </c>
      <c r="BO44" s="57">
        <v>0</v>
      </c>
      <c r="BP44" s="57">
        <v>131916</v>
      </c>
      <c r="BQ44" s="58">
        <v>189013</v>
      </c>
      <c r="BR44" s="48">
        <f t="shared" si="16"/>
        <v>0</v>
      </c>
      <c r="BS44" s="71">
        <f t="shared" si="17"/>
        <v>0.69792024887177073</v>
      </c>
      <c r="BT44" s="72">
        <f t="shared" si="18"/>
        <v>0.98888962703277028</v>
      </c>
      <c r="BU44" s="57">
        <v>0</v>
      </c>
      <c r="BV44" s="57">
        <v>107977</v>
      </c>
      <c r="BW44" s="58">
        <v>171225</v>
      </c>
      <c r="BX44" s="48">
        <f t="shared" si="19"/>
        <v>0</v>
      </c>
      <c r="BY44" s="71">
        <f t="shared" si="20"/>
        <v>0.6306146882756607</v>
      </c>
      <c r="BZ44" s="72">
        <f t="shared" si="21"/>
        <v>0.91754595535839811</v>
      </c>
      <c r="CA44" s="57">
        <v>0</v>
      </c>
      <c r="CB44" s="57">
        <v>106212</v>
      </c>
      <c r="CC44" s="58">
        <v>142855</v>
      </c>
      <c r="CD44" s="48">
        <f t="shared" si="22"/>
        <v>0</v>
      </c>
      <c r="CE44" s="71">
        <f t="shared" si="23"/>
        <v>0.74349515242728637</v>
      </c>
      <c r="CF44" s="72">
        <f t="shared" si="24"/>
        <v>1.0397184162017927</v>
      </c>
      <c r="CG44" s="57">
        <v>0</v>
      </c>
      <c r="CH44" s="57">
        <v>73990</v>
      </c>
      <c r="CI44" s="58">
        <v>96000</v>
      </c>
      <c r="CJ44" s="48">
        <f t="shared" si="25"/>
        <v>0</v>
      </c>
      <c r="CK44" s="71">
        <f t="shared" si="26"/>
        <v>0.77072916666666669</v>
      </c>
      <c r="CL44" s="72">
        <f t="shared" si="27"/>
        <v>1.0714835389370998</v>
      </c>
      <c r="CM44" s="57">
        <v>0</v>
      </c>
      <c r="CN44" s="57">
        <v>208430</v>
      </c>
      <c r="CO44" s="58">
        <v>255453</v>
      </c>
      <c r="CP44" s="48">
        <f t="shared" si="28"/>
        <v>0</v>
      </c>
      <c r="CQ44" s="71">
        <f t="shared" si="29"/>
        <v>0.81592308565567839</v>
      </c>
      <c r="CR44" s="72">
        <f t="shared" si="30"/>
        <v>1.1273645504479006</v>
      </c>
      <c r="CS44" s="47">
        <v>0</v>
      </c>
      <c r="CT44" s="47">
        <v>65151</v>
      </c>
      <c r="CU44" s="48">
        <v>73188</v>
      </c>
      <c r="CV44" s="48">
        <f t="shared" si="31"/>
        <v>0</v>
      </c>
      <c r="CW44" s="72">
        <f t="shared" si="32"/>
        <v>0.89018691588785048</v>
      </c>
      <c r="CX44" s="72">
        <f t="shared" si="33"/>
        <v>1.2330298762040686</v>
      </c>
      <c r="CY44" s="57">
        <v>0</v>
      </c>
      <c r="CZ44" s="57">
        <v>14653</v>
      </c>
      <c r="DA44" s="58">
        <v>47624</v>
      </c>
      <c r="DB44" s="48">
        <f t="shared" si="34"/>
        <v>0</v>
      </c>
      <c r="DC44" s="71">
        <f t="shared" si="35"/>
        <v>0.30768100117587771</v>
      </c>
      <c r="DD44" s="72">
        <f t="shared" si="36"/>
        <v>0.58799035475892014</v>
      </c>
      <c r="DE44" s="47">
        <v>0</v>
      </c>
      <c r="DF44" s="47">
        <v>1922</v>
      </c>
      <c r="DG44" s="48">
        <v>41731</v>
      </c>
      <c r="DH44" s="48">
        <f t="shared" si="37"/>
        <v>0</v>
      </c>
      <c r="DI44" s="71">
        <f t="shared" si="38"/>
        <v>4.6056888164673744E-2</v>
      </c>
      <c r="DJ44" s="72">
        <f t="shared" si="39"/>
        <v>0.21629116325468783</v>
      </c>
      <c r="DK44" s="47">
        <v>0</v>
      </c>
      <c r="DL44" s="47">
        <v>2899</v>
      </c>
      <c r="DM44" s="48">
        <v>18249</v>
      </c>
      <c r="DN44" s="48">
        <f t="shared" si="40"/>
        <v>0</v>
      </c>
      <c r="DO44" s="71">
        <f t="shared" si="41"/>
        <v>0.15885801961751328</v>
      </c>
      <c r="DP44" s="72">
        <f t="shared" si="42"/>
        <v>0.40995708380741919</v>
      </c>
      <c r="DQ44" s="57">
        <v>1115</v>
      </c>
      <c r="DR44" s="57">
        <v>193892</v>
      </c>
      <c r="DS44" s="58">
        <v>222407</v>
      </c>
      <c r="DT44" s="71">
        <f t="shared" si="43"/>
        <v>5.0133314149284867E-3</v>
      </c>
      <c r="DU44" s="72">
        <f t="shared" si="44"/>
        <v>7.0864177963582853E-2</v>
      </c>
      <c r="DV44" s="71">
        <f t="shared" si="45"/>
        <v>0.87178910735723247</v>
      </c>
      <c r="DW44" s="72">
        <f t="shared" si="46"/>
        <v>1.2046011454846646</v>
      </c>
      <c r="DX44" s="57">
        <v>21883</v>
      </c>
      <c r="DY44" s="57">
        <v>90011</v>
      </c>
      <c r="DZ44" s="58">
        <v>172497</v>
      </c>
      <c r="EA44" s="71">
        <f t="shared" si="47"/>
        <v>0.12686017727844542</v>
      </c>
      <c r="EB44" s="72">
        <f t="shared" si="48"/>
        <v>0.36417055081955896</v>
      </c>
      <c r="EC44" s="71">
        <f t="shared" si="49"/>
        <v>0.52181197354156883</v>
      </c>
      <c r="ED44" s="72">
        <f t="shared" si="50"/>
        <v>0.80721706107849334</v>
      </c>
      <c r="EE44" s="57">
        <v>0</v>
      </c>
      <c r="EF44" s="57">
        <v>91586</v>
      </c>
      <c r="EG44" s="58">
        <v>99726</v>
      </c>
      <c r="EH44" s="48">
        <f t="shared" si="51"/>
        <v>0</v>
      </c>
      <c r="EI44" s="71">
        <f t="shared" si="52"/>
        <v>0.91837635120229433</v>
      </c>
      <c r="EJ44" s="72">
        <f t="shared" si="53"/>
        <v>1.2810610686573312</v>
      </c>
      <c r="EK44" s="57">
        <v>0</v>
      </c>
      <c r="EL44" s="57">
        <v>7470</v>
      </c>
      <c r="EM44" s="58">
        <v>7514</v>
      </c>
      <c r="EN44" s="48">
        <f t="shared" si="54"/>
        <v>0</v>
      </c>
      <c r="EO44" s="71">
        <f t="shared" si="55"/>
        <v>0.99414426404045786</v>
      </c>
      <c r="EP44" s="72">
        <f t="shared" si="56"/>
        <v>1.4941986657869801</v>
      </c>
      <c r="EQ44" s="56">
        <v>1672529</v>
      </c>
      <c r="ER44" s="59">
        <v>672434</v>
      </c>
      <c r="ES44" s="58">
        <v>2393952</v>
      </c>
      <c r="ET44" s="68">
        <f t="shared" si="57"/>
        <v>0.69864767547553164</v>
      </c>
      <c r="EU44" s="68">
        <f t="shared" si="105"/>
        <v>0</v>
      </c>
      <c r="EV44" s="68">
        <f t="shared" si="58"/>
        <v>0.28088867278876101</v>
      </c>
      <c r="EW44" s="57">
        <v>444962</v>
      </c>
      <c r="EX44" s="57">
        <v>1234135</v>
      </c>
      <c r="EY44" s="58">
        <v>1767494</v>
      </c>
      <c r="EZ44" s="68">
        <f t="shared" si="59"/>
        <v>0.25174738924149104</v>
      </c>
      <c r="FA44" s="68">
        <f t="shared" si="60"/>
        <v>0.52561414731966338</v>
      </c>
      <c r="FB44" s="68">
        <f t="shared" si="61"/>
        <v>0.69823999402543946</v>
      </c>
      <c r="FC44" s="57">
        <v>27332</v>
      </c>
      <c r="FD44" s="57">
        <v>759746</v>
      </c>
      <c r="FE44" s="58">
        <v>802230</v>
      </c>
      <c r="FF44" s="68">
        <f t="shared" si="62"/>
        <v>3.597518117897297E-2</v>
      </c>
      <c r="FG44" s="68">
        <f t="shared" si="63"/>
        <v>0.19082730268885473</v>
      </c>
      <c r="FH44" s="68">
        <f t="shared" si="106"/>
        <v>0.94704261870037276</v>
      </c>
      <c r="FI44" s="57">
        <v>548272</v>
      </c>
      <c r="FJ44" s="57">
        <v>539998</v>
      </c>
      <c r="FK44" s="58">
        <v>1157198</v>
      </c>
      <c r="FL44" s="68">
        <f t="shared" si="88"/>
        <v>0.47379273037112057</v>
      </c>
      <c r="FM44" s="68">
        <f t="shared" si="64"/>
        <v>0.75917887910741155</v>
      </c>
      <c r="FN44" s="68">
        <f t="shared" si="65"/>
        <v>0.4666427007305578</v>
      </c>
      <c r="FO44" s="46">
        <v>2693095</v>
      </c>
      <c r="FP44" s="46">
        <v>3206313</v>
      </c>
      <c r="FQ44" s="58">
        <v>6120874</v>
      </c>
      <c r="FR44" s="58">
        <v>4910067</v>
      </c>
      <c r="FS44" s="68">
        <f t="shared" si="66"/>
        <v>0.43998536810265987</v>
      </c>
      <c r="FT44" s="68">
        <f t="shared" si="67"/>
        <v>0.72523848377519096</v>
      </c>
      <c r="FU44" s="68">
        <f t="shared" si="107"/>
        <v>0.52383254417588077</v>
      </c>
      <c r="FV44" s="68">
        <f t="shared" si="68"/>
        <v>0.80923974124599707</v>
      </c>
      <c r="FW44" s="57">
        <v>0</v>
      </c>
      <c r="FX44" s="57">
        <v>104049</v>
      </c>
      <c r="FY44" s="58">
        <v>177857</v>
      </c>
      <c r="FZ44" s="48">
        <f t="shared" si="69"/>
        <v>0</v>
      </c>
      <c r="GA44" s="71">
        <f t="shared" si="70"/>
        <v>0.58501492772283348</v>
      </c>
      <c r="GB44" s="68">
        <f t="shared" si="71"/>
        <v>0.87082814622095917</v>
      </c>
      <c r="GC44" s="57">
        <v>0</v>
      </c>
      <c r="GD44" s="57">
        <v>125552</v>
      </c>
      <c r="GE44" s="58">
        <v>135535</v>
      </c>
      <c r="GF44" s="48">
        <f t="shared" si="72"/>
        <v>0</v>
      </c>
      <c r="GG44" s="68">
        <f t="shared" si="73"/>
        <v>0</v>
      </c>
      <c r="GH44" s="71">
        <f t="shared" si="74"/>
        <v>0.9263437488471612</v>
      </c>
      <c r="GI44" s="68">
        <f t="shared" si="75"/>
        <v>1.2959522681411866</v>
      </c>
      <c r="GJ44" s="57">
        <v>8940</v>
      </c>
      <c r="GK44" s="57">
        <v>268807</v>
      </c>
      <c r="GL44" s="58">
        <v>282456</v>
      </c>
      <c r="GM44" s="71">
        <f t="shared" si="76"/>
        <v>3.1650947404197466E-2</v>
      </c>
      <c r="GN44" s="68">
        <f t="shared" si="77"/>
        <v>0.17885924381459065</v>
      </c>
      <c r="GO44" s="71">
        <f t="shared" si="78"/>
        <v>0.95167742940493383</v>
      </c>
      <c r="GP44" s="68">
        <f t="shared" si="79"/>
        <v>1.3491623204693683</v>
      </c>
      <c r="GQ44" s="57">
        <v>93675</v>
      </c>
      <c r="GR44" s="57">
        <v>490074</v>
      </c>
      <c r="GS44" s="58">
        <v>585396</v>
      </c>
      <c r="GT44" s="71">
        <f t="shared" si="80"/>
        <v>0.16001988397597525</v>
      </c>
      <c r="GU44" s="68">
        <f t="shared" si="81"/>
        <v>0.41154396438101215</v>
      </c>
      <c r="GV44" s="71">
        <f t="shared" si="82"/>
        <v>0.83716663591825025</v>
      </c>
      <c r="GW44" s="68">
        <f t="shared" si="83"/>
        <v>1.1554288766078897</v>
      </c>
      <c r="GX44" s="40">
        <v>102615</v>
      </c>
      <c r="GY44" s="40">
        <v>884433</v>
      </c>
      <c r="GZ44">
        <v>1003387</v>
      </c>
      <c r="HA44" s="126">
        <f t="shared" si="84"/>
        <v>0.10226861619694096</v>
      </c>
      <c r="HB44" s="126">
        <f t="shared" si="85"/>
        <v>0.88144753719153224</v>
      </c>
      <c r="HC44" s="68">
        <f t="shared" si="86"/>
        <v>1.2192878034523955</v>
      </c>
    </row>
    <row r="45" spans="1:211" x14ac:dyDescent="0.2">
      <c r="A45">
        <v>2004</v>
      </c>
      <c r="B45" s="25">
        <v>2993</v>
      </c>
      <c r="C45" s="1">
        <v>1043</v>
      </c>
      <c r="D45" s="1">
        <v>3348</v>
      </c>
      <c r="E45" s="1">
        <v>3234</v>
      </c>
      <c r="F45" s="69">
        <f t="shared" si="87"/>
        <v>10618</v>
      </c>
      <c r="G45" s="23">
        <f t="shared" si="7"/>
        <v>10615.499999999998</v>
      </c>
      <c r="H45" s="1">
        <v>1905</v>
      </c>
      <c r="I45" s="1">
        <v>178</v>
      </c>
      <c r="J45" s="1">
        <v>214</v>
      </c>
      <c r="K45" s="1">
        <v>453</v>
      </c>
      <c r="L45" s="1">
        <v>68</v>
      </c>
      <c r="M45" s="1">
        <v>41</v>
      </c>
      <c r="N45" s="1">
        <v>99</v>
      </c>
      <c r="O45" s="1">
        <v>622</v>
      </c>
      <c r="P45" s="1">
        <v>198</v>
      </c>
      <c r="Q45" s="1">
        <v>115</v>
      </c>
      <c r="R45" s="1">
        <v>130</v>
      </c>
      <c r="S45" s="1">
        <v>122</v>
      </c>
      <c r="T45" s="69">
        <f t="shared" si="89"/>
        <v>565</v>
      </c>
      <c r="U45" s="1">
        <v>202</v>
      </c>
      <c r="V45" s="1">
        <v>87</v>
      </c>
      <c r="W45" s="1">
        <v>261</v>
      </c>
      <c r="X45" s="1">
        <v>47</v>
      </c>
      <c r="Y45" s="1">
        <v>43</v>
      </c>
      <c r="Z45" s="1">
        <v>18</v>
      </c>
      <c r="AA45" s="1">
        <v>63</v>
      </c>
      <c r="AB45" s="69">
        <f t="shared" si="90"/>
        <v>124</v>
      </c>
      <c r="AC45" s="27">
        <v>2818.01</v>
      </c>
      <c r="AD45" s="13">
        <v>1515.48</v>
      </c>
      <c r="AE45" s="13">
        <v>3546.71</v>
      </c>
      <c r="AF45" s="13">
        <v>1847.9</v>
      </c>
      <c r="AG45" s="41">
        <f t="shared" si="91"/>
        <v>9728.1</v>
      </c>
      <c r="AH45" s="27">
        <f>AC45+5232.4</f>
        <v>8050.41</v>
      </c>
      <c r="AI45" s="13">
        <f>AD45+4323.8</f>
        <v>5839.2800000000007</v>
      </c>
      <c r="AJ45" s="13">
        <f>AE45+9526.39</f>
        <v>13073.099999999999</v>
      </c>
      <c r="AK45" s="13">
        <f>AF45+2887.76</f>
        <v>4735.66</v>
      </c>
      <c r="AL45" s="41">
        <f t="shared" si="92"/>
        <v>31698.45</v>
      </c>
      <c r="AM45" s="32">
        <v>21394</v>
      </c>
      <c r="AN45" s="31">
        <v>51711</v>
      </c>
      <c r="AO45" s="35">
        <f>6518.55+17428.05+31.31</f>
        <v>23977.91</v>
      </c>
      <c r="AP45" s="35">
        <f>632.99+10.02+7429.2+2305.86+374.48+6785.44+54.67+452.2</f>
        <v>18044.859999999997</v>
      </c>
      <c r="AQ45" s="1">
        <v>133171</v>
      </c>
      <c r="AR45" s="30" t="e">
        <f>AZ45/#REF!</f>
        <v>#REF!</v>
      </c>
      <c r="AS45" s="74" t="e">
        <f>AY45/#REF!</f>
        <v>#REF!</v>
      </c>
      <c r="AT45" s="13">
        <f>precipitacion!P21</f>
        <v>503</v>
      </c>
      <c r="AU45" s="13">
        <f>precipitacion!O21</f>
        <v>1163</v>
      </c>
      <c r="AV45" s="13">
        <f>precipitacion!Q21</f>
        <v>276</v>
      </c>
      <c r="AW45" s="13">
        <f>precipitacion!R21</f>
        <v>352</v>
      </c>
      <c r="AX45" s="13">
        <f>precipitacion!G21</f>
        <v>61</v>
      </c>
      <c r="AY45" s="20" t="e">
        <f>#REF!</f>
        <v>#REF!</v>
      </c>
      <c r="AZ45" s="20" t="e">
        <f>#REF!</f>
        <v>#REF!</v>
      </c>
      <c r="BA45" s="56">
        <v>609551</v>
      </c>
      <c r="BB45" s="57">
        <v>160981</v>
      </c>
      <c r="BC45" s="58">
        <v>831048</v>
      </c>
      <c r="BD45" s="72">
        <f t="shared" si="8"/>
        <v>0.73347267546519579</v>
      </c>
      <c r="BE45" s="72">
        <f t="shared" si="9"/>
        <v>1.0283147872729228</v>
      </c>
      <c r="BF45" s="72">
        <f t="shared" si="10"/>
        <v>0.19370842598742793</v>
      </c>
      <c r="BG45" s="72">
        <f t="shared" si="11"/>
        <v>0.45573586554472001</v>
      </c>
      <c r="BH45" s="56">
        <v>401414</v>
      </c>
      <c r="BI45" s="57">
        <v>46991</v>
      </c>
      <c r="BJ45" s="58">
        <v>452585</v>
      </c>
      <c r="BK45" s="71">
        <f t="shared" si="12"/>
        <v>0.88693615563927219</v>
      </c>
      <c r="BL45" s="72">
        <f t="shared" si="13"/>
        <v>1.227864470991048</v>
      </c>
      <c r="BM45" s="71">
        <f t="shared" si="14"/>
        <v>0.10382801020802722</v>
      </c>
      <c r="BN45" s="72">
        <f t="shared" si="15"/>
        <v>0.32807736950391403</v>
      </c>
      <c r="BO45" s="57">
        <v>0</v>
      </c>
      <c r="BP45" s="57">
        <v>110667</v>
      </c>
      <c r="BQ45" s="58">
        <v>159776</v>
      </c>
      <c r="BR45" s="48">
        <f t="shared" si="16"/>
        <v>0</v>
      </c>
      <c r="BS45" s="71">
        <f t="shared" si="17"/>
        <v>0.69263844382134987</v>
      </c>
      <c r="BT45" s="72">
        <f t="shared" si="18"/>
        <v>0.98315209092922007</v>
      </c>
      <c r="BU45" s="57">
        <v>0</v>
      </c>
      <c r="BV45" s="57">
        <v>103094</v>
      </c>
      <c r="BW45" s="58">
        <v>146354</v>
      </c>
      <c r="BX45" s="48">
        <f t="shared" si="19"/>
        <v>0</v>
      </c>
      <c r="BY45" s="71">
        <f t="shared" si="20"/>
        <v>0.70441532175410304</v>
      </c>
      <c r="BZ45" s="72">
        <f t="shared" si="21"/>
        <v>0.9959843444726274</v>
      </c>
      <c r="CA45" s="57">
        <v>0</v>
      </c>
      <c r="CB45" s="57">
        <v>103703</v>
      </c>
      <c r="CC45" s="58">
        <v>170145</v>
      </c>
      <c r="CD45" s="48">
        <f t="shared" si="22"/>
        <v>0</v>
      </c>
      <c r="CE45" s="71">
        <f t="shared" si="23"/>
        <v>0.60949778130418175</v>
      </c>
      <c r="CF45" s="72">
        <f t="shared" si="24"/>
        <v>0.89579062616758509</v>
      </c>
      <c r="CG45" s="57">
        <v>0</v>
      </c>
      <c r="CH45" s="57">
        <v>106660</v>
      </c>
      <c r="CI45" s="58">
        <v>128670</v>
      </c>
      <c r="CJ45" s="48">
        <f t="shared" si="25"/>
        <v>0</v>
      </c>
      <c r="CK45" s="71">
        <f t="shared" si="26"/>
        <v>0.82894225538198496</v>
      </c>
      <c r="CL45" s="72">
        <f t="shared" si="27"/>
        <v>1.1444013289032806</v>
      </c>
      <c r="CM45" s="57">
        <v>0</v>
      </c>
      <c r="CN45" s="57">
        <v>245872</v>
      </c>
      <c r="CO45" s="58">
        <v>248279</v>
      </c>
      <c r="CP45" s="48">
        <f t="shared" si="28"/>
        <v>0</v>
      </c>
      <c r="CQ45" s="71">
        <f t="shared" si="29"/>
        <v>0.99030526141961261</v>
      </c>
      <c r="CR45" s="72">
        <f t="shared" si="30"/>
        <v>1.4721746714408186</v>
      </c>
      <c r="CS45" s="47">
        <v>0</v>
      </c>
      <c r="CT45" s="47">
        <v>56076</v>
      </c>
      <c r="CU45" s="48">
        <v>67756</v>
      </c>
      <c r="CV45" s="48">
        <f t="shared" si="31"/>
        <v>0</v>
      </c>
      <c r="CW45" s="72">
        <f t="shared" si="32"/>
        <v>0.82761674242871475</v>
      </c>
      <c r="CX45" s="72">
        <f t="shared" si="33"/>
        <v>1.1426439913793141</v>
      </c>
      <c r="CY45" s="57">
        <v>0</v>
      </c>
      <c r="CZ45" s="57">
        <v>38791</v>
      </c>
      <c r="DA45" s="58">
        <v>75351</v>
      </c>
      <c r="DB45" s="48">
        <f t="shared" si="34"/>
        <v>0</v>
      </c>
      <c r="DC45" s="71">
        <f t="shared" si="35"/>
        <v>0.51480405037756627</v>
      </c>
      <c r="DD45" s="72">
        <f t="shared" si="36"/>
        <v>0.80020437759826701</v>
      </c>
      <c r="DE45" s="47">
        <v>0</v>
      </c>
      <c r="DF45" s="47">
        <v>1658</v>
      </c>
      <c r="DG45" s="48">
        <v>17407</v>
      </c>
      <c r="DH45" s="48">
        <f t="shared" si="37"/>
        <v>0</v>
      </c>
      <c r="DI45" s="71">
        <f t="shared" si="38"/>
        <v>9.5249037743436543E-2</v>
      </c>
      <c r="DJ45" s="72">
        <f t="shared" si="39"/>
        <v>0.31374652462465769</v>
      </c>
      <c r="DK45" s="47">
        <v>0</v>
      </c>
      <c r="DL45" s="47">
        <v>30079</v>
      </c>
      <c r="DM45" s="48">
        <v>58912</v>
      </c>
      <c r="DN45" s="48">
        <f t="shared" si="40"/>
        <v>0</v>
      </c>
      <c r="DO45" s="71">
        <f t="shared" si="41"/>
        <v>0.51057509505703425</v>
      </c>
      <c r="DP45" s="72">
        <f t="shared" si="42"/>
        <v>0.7959740470404012</v>
      </c>
      <c r="DQ45" s="57">
        <v>0</v>
      </c>
      <c r="DR45" s="57">
        <v>163067</v>
      </c>
      <c r="DS45" s="58">
        <v>174077</v>
      </c>
      <c r="DT45" s="71">
        <f t="shared" si="43"/>
        <v>0</v>
      </c>
      <c r="DU45" s="72">
        <f t="shared" si="44"/>
        <v>0</v>
      </c>
      <c r="DV45" s="71">
        <f t="shared" si="45"/>
        <v>0.93675212693233456</v>
      </c>
      <c r="DW45" s="72">
        <f t="shared" si="46"/>
        <v>1.3165755585146102</v>
      </c>
      <c r="DX45" s="57">
        <v>26130</v>
      </c>
      <c r="DY45" s="57">
        <v>96125</v>
      </c>
      <c r="DZ45" s="58">
        <v>185018</v>
      </c>
      <c r="EA45" s="71">
        <f t="shared" si="47"/>
        <v>0.14122950199440054</v>
      </c>
      <c r="EB45" s="72">
        <f t="shared" si="48"/>
        <v>0.38526544586917988</v>
      </c>
      <c r="EC45" s="71">
        <f t="shared" si="49"/>
        <v>0.51954404436325119</v>
      </c>
      <c r="ED45" s="72">
        <f t="shared" si="50"/>
        <v>0.804947188007057</v>
      </c>
      <c r="EE45" s="57">
        <v>0</v>
      </c>
      <c r="EF45" s="57">
        <v>66731</v>
      </c>
      <c r="EG45" s="58">
        <v>79935</v>
      </c>
      <c r="EH45" s="48">
        <f t="shared" si="51"/>
        <v>0</v>
      </c>
      <c r="EI45" s="71">
        <f t="shared" si="52"/>
        <v>0.8348157878276099</v>
      </c>
      <c r="EJ45" s="72">
        <f t="shared" si="53"/>
        <v>1.1522544690394247</v>
      </c>
      <c r="EK45" s="57">
        <v>0</v>
      </c>
      <c r="EL45" s="57">
        <v>10557</v>
      </c>
      <c r="EM45" s="58">
        <v>11175</v>
      </c>
      <c r="EN45" s="48">
        <f t="shared" si="54"/>
        <v>0</v>
      </c>
      <c r="EO45" s="71">
        <f t="shared" si="55"/>
        <v>0.94469798657718118</v>
      </c>
      <c r="EP45" s="72">
        <f t="shared" si="56"/>
        <v>1.3334092346495092</v>
      </c>
      <c r="EQ45" s="56">
        <v>1468233</v>
      </c>
      <c r="ER45" s="59">
        <v>598353</v>
      </c>
      <c r="ES45" s="58">
        <v>2080117</v>
      </c>
      <c r="ET45" s="68">
        <f t="shared" si="57"/>
        <v>0.70584154641301422</v>
      </c>
      <c r="EU45" s="68">
        <f t="shared" si="105"/>
        <v>0</v>
      </c>
      <c r="EV45" s="68">
        <f t="shared" si="58"/>
        <v>0.28765353102734126</v>
      </c>
      <c r="EW45" s="57">
        <v>744060</v>
      </c>
      <c r="EX45" s="57">
        <v>1006433</v>
      </c>
      <c r="EY45" s="58">
        <v>1895918</v>
      </c>
      <c r="EZ45" s="68">
        <f t="shared" si="59"/>
        <v>0.39245368206852826</v>
      </c>
      <c r="FA45" s="68">
        <f t="shared" si="60"/>
        <v>0.67700482092287451</v>
      </c>
      <c r="FB45" s="68">
        <f t="shared" si="61"/>
        <v>0.530842051185758</v>
      </c>
      <c r="FC45" s="57">
        <v>18187</v>
      </c>
      <c r="FD45" s="57">
        <v>424669</v>
      </c>
      <c r="FE45" s="58">
        <v>456287</v>
      </c>
      <c r="FF45" s="68">
        <f t="shared" si="62"/>
        <v>4.2826295302930049E-2</v>
      </c>
      <c r="FG45" s="68">
        <f t="shared" si="63"/>
        <v>0.20845148039334432</v>
      </c>
      <c r="FH45" s="68">
        <f t="shared" si="106"/>
        <v>0.93070589343987442</v>
      </c>
      <c r="FI45" s="57">
        <v>565211</v>
      </c>
      <c r="FJ45" s="57">
        <v>488292</v>
      </c>
      <c r="FK45" s="58">
        <v>1057804</v>
      </c>
      <c r="FL45" s="68">
        <f t="shared" si="88"/>
        <v>0.5343248843831182</v>
      </c>
      <c r="FM45" s="68">
        <f t="shared" si="64"/>
        <v>0.81975006611878887</v>
      </c>
      <c r="FN45" s="68">
        <f t="shared" si="65"/>
        <v>0.46160914498338068</v>
      </c>
      <c r="FO45" s="46">
        <v>2795691</v>
      </c>
      <c r="FP45" s="46">
        <v>2517929</v>
      </c>
      <c r="FQ45" s="58">
        <v>5490126</v>
      </c>
      <c r="FR45" s="58">
        <v>6120874</v>
      </c>
      <c r="FS45" s="68">
        <f t="shared" si="66"/>
        <v>0.50922164627915645</v>
      </c>
      <c r="FT45" s="68">
        <f t="shared" si="67"/>
        <v>0.7946203325548894</v>
      </c>
      <c r="FU45" s="68">
        <f t="shared" si="107"/>
        <v>0.45862863620980648</v>
      </c>
      <c r="FV45" s="68">
        <f t="shared" si="68"/>
        <v>0.74397944637168756</v>
      </c>
      <c r="FW45" s="57">
        <v>0</v>
      </c>
      <c r="FX45" s="57">
        <v>123828</v>
      </c>
      <c r="FY45" s="58">
        <v>238042</v>
      </c>
      <c r="FZ45" s="48">
        <f t="shared" si="69"/>
        <v>0</v>
      </c>
      <c r="GA45" s="71">
        <f t="shared" si="70"/>
        <v>0.52019391535947435</v>
      </c>
      <c r="GB45" s="68">
        <f t="shared" si="71"/>
        <v>0.80559757276525235</v>
      </c>
      <c r="GC45" s="57">
        <v>0</v>
      </c>
      <c r="GD45" s="57">
        <v>116216</v>
      </c>
      <c r="GE45" s="58">
        <v>121224</v>
      </c>
      <c r="GF45" s="48">
        <f t="shared" si="72"/>
        <v>0</v>
      </c>
      <c r="GG45" s="68">
        <f t="shared" si="73"/>
        <v>0</v>
      </c>
      <c r="GH45" s="71">
        <f t="shared" si="74"/>
        <v>0.95868804857124001</v>
      </c>
      <c r="GI45" s="68">
        <f t="shared" si="75"/>
        <v>1.3661167692325282</v>
      </c>
      <c r="GJ45" s="57">
        <v>16151</v>
      </c>
      <c r="GK45" s="57">
        <v>352636</v>
      </c>
      <c r="GL45" s="58">
        <v>376836</v>
      </c>
      <c r="GM45" s="71">
        <f t="shared" si="76"/>
        <v>4.285949325435999E-2</v>
      </c>
      <c r="GN45" s="68">
        <f t="shared" si="77"/>
        <v>0.2085334495152012</v>
      </c>
      <c r="GO45" s="71">
        <f t="shared" si="78"/>
        <v>0.93578108248681124</v>
      </c>
      <c r="GP45" s="68">
        <f t="shared" si="79"/>
        <v>1.3145879591890663</v>
      </c>
      <c r="GQ45" s="57">
        <v>102025</v>
      </c>
      <c r="GR45" s="57">
        <v>533605</v>
      </c>
      <c r="GS45" s="58">
        <v>636705</v>
      </c>
      <c r="GT45" s="71">
        <f t="shared" si="80"/>
        <v>0.1602390431989697</v>
      </c>
      <c r="GU45" s="68">
        <f t="shared" si="81"/>
        <v>0.41184276946472342</v>
      </c>
      <c r="GV45" s="71">
        <f t="shared" si="82"/>
        <v>0.83807257678202618</v>
      </c>
      <c r="GW45" s="68">
        <f t="shared" si="83"/>
        <v>1.1566571075255792</v>
      </c>
      <c r="GX45" s="40">
        <v>118176</v>
      </c>
      <c r="GY45" s="40">
        <v>1002457</v>
      </c>
      <c r="GZ45">
        <v>1134765</v>
      </c>
      <c r="HA45" s="126">
        <f t="shared" si="84"/>
        <v>0.10414138610196826</v>
      </c>
      <c r="HB45" s="126">
        <f t="shared" si="85"/>
        <v>0.88340493406123732</v>
      </c>
      <c r="HC45" s="68">
        <f t="shared" si="86"/>
        <v>1.2223262945664797</v>
      </c>
    </row>
    <row r="46" spans="1:211" x14ac:dyDescent="0.2">
      <c r="A46" s="16">
        <v>2005</v>
      </c>
      <c r="B46" s="26">
        <v>2641</v>
      </c>
      <c r="C46" s="22">
        <v>1141</v>
      </c>
      <c r="D46" s="22">
        <v>4292</v>
      </c>
      <c r="E46" s="22">
        <v>3499</v>
      </c>
      <c r="F46" s="69">
        <f t="shared" si="87"/>
        <v>11573</v>
      </c>
      <c r="G46" s="23">
        <f t="shared" si="7"/>
        <v>11570.499999999998</v>
      </c>
      <c r="H46" s="1">
        <v>2237</v>
      </c>
      <c r="I46" s="1">
        <v>451</v>
      </c>
      <c r="J46" s="1">
        <v>186</v>
      </c>
      <c r="K46" s="1">
        <v>929</v>
      </c>
      <c r="L46" s="1">
        <v>108</v>
      </c>
      <c r="M46" s="1">
        <v>86</v>
      </c>
      <c r="N46" s="1">
        <v>67</v>
      </c>
      <c r="O46" s="1">
        <v>835</v>
      </c>
      <c r="P46" s="1">
        <v>370</v>
      </c>
      <c r="Q46" s="1">
        <v>133</v>
      </c>
      <c r="R46" s="1">
        <v>198</v>
      </c>
      <c r="S46" s="1">
        <v>193</v>
      </c>
      <c r="T46" s="69">
        <f t="shared" si="89"/>
        <v>894</v>
      </c>
      <c r="U46" s="1">
        <v>276</v>
      </c>
      <c r="V46" s="1">
        <v>227</v>
      </c>
      <c r="W46" s="1">
        <f>523+175</f>
        <v>698</v>
      </c>
      <c r="X46" s="1">
        <v>105</v>
      </c>
      <c r="Y46" s="1">
        <v>40</v>
      </c>
      <c r="Z46" s="1">
        <v>46</v>
      </c>
      <c r="AA46" s="1">
        <v>106</v>
      </c>
      <c r="AB46" s="69">
        <f t="shared" si="90"/>
        <v>192</v>
      </c>
      <c r="AC46" s="28">
        <v>3200.95</v>
      </c>
      <c r="AD46" s="21">
        <v>870.75</v>
      </c>
      <c r="AE46" s="21">
        <v>10374.11</v>
      </c>
      <c r="AF46" s="21">
        <v>7865.57</v>
      </c>
      <c r="AG46" s="41">
        <f t="shared" si="91"/>
        <v>22311.38</v>
      </c>
      <c r="AH46" s="28">
        <f>3200.55+6160.88+39.79</f>
        <v>9401.2200000000012</v>
      </c>
      <c r="AI46" s="21">
        <v>3126.07</v>
      </c>
      <c r="AJ46" s="21">
        <v>30424.17</v>
      </c>
      <c r="AK46" s="13">
        <v>14499</v>
      </c>
      <c r="AL46" s="41">
        <f>SUM(AH46:AJ46)</f>
        <v>42951.46</v>
      </c>
      <c r="AM46" s="33">
        <v>25492</v>
      </c>
      <c r="AN46" s="31">
        <v>69350</v>
      </c>
      <c r="AO46" s="34">
        <f>7757.85+1120.98+0.24+100.99</f>
        <v>8980.06</v>
      </c>
      <c r="AP46" s="34">
        <f>2359.57+0.01+1398.51+5052.33+3161.38+31661.54+1847.17+675.88</f>
        <v>46156.389999999992</v>
      </c>
      <c r="AQ46" s="22">
        <v>188672</v>
      </c>
      <c r="AR46" s="30" t="e">
        <f>AZ46/#REF!</f>
        <v>#REF!</v>
      </c>
      <c r="AS46" s="74" t="e">
        <f>AY46/#REF!</f>
        <v>#REF!</v>
      </c>
      <c r="AT46" s="13">
        <f>precipitacion!P22</f>
        <v>492</v>
      </c>
      <c r="AU46" s="13">
        <f>precipitacion!O22</f>
        <v>1338</v>
      </c>
      <c r="AV46" s="13">
        <f>precipitacion!Q22</f>
        <v>170</v>
      </c>
      <c r="AW46" s="13">
        <f>precipitacion!R22</f>
        <v>267</v>
      </c>
      <c r="AX46" s="13">
        <f>precipitacion!G22</f>
        <v>130</v>
      </c>
      <c r="AY46" s="20" t="e">
        <f>#REF!</f>
        <v>#REF!</v>
      </c>
      <c r="AZ46" s="20" t="e">
        <f>#REF!</f>
        <v>#REF!</v>
      </c>
      <c r="BA46" s="56">
        <v>559862</v>
      </c>
      <c r="BB46" s="57">
        <v>129342</v>
      </c>
      <c r="BC46" s="58">
        <v>755661</v>
      </c>
      <c r="BD46" s="72">
        <f t="shared" si="8"/>
        <v>0.74089042573323227</v>
      </c>
      <c r="BE46" s="72">
        <f t="shared" si="9"/>
        <v>1.0367410825825372</v>
      </c>
      <c r="BF46" s="72">
        <f t="shared" si="10"/>
        <v>0.17116405372250254</v>
      </c>
      <c r="BG46" s="72">
        <f t="shared" si="11"/>
        <v>0.42653613896554438</v>
      </c>
      <c r="BH46" s="56">
        <v>479201</v>
      </c>
      <c r="BI46" s="57">
        <v>44121</v>
      </c>
      <c r="BJ46" s="58">
        <v>526630</v>
      </c>
      <c r="BK46" s="71">
        <f t="shared" si="12"/>
        <v>0.90993866661603018</v>
      </c>
      <c r="BL46" s="72">
        <f t="shared" si="13"/>
        <v>1.2659965311306132</v>
      </c>
      <c r="BM46" s="71">
        <f t="shared" si="14"/>
        <v>8.3779883409604461E-2</v>
      </c>
      <c r="BN46" s="72">
        <f t="shared" si="15"/>
        <v>0.29364963011222478</v>
      </c>
      <c r="BO46" s="57">
        <v>0</v>
      </c>
      <c r="BP46" s="57">
        <v>105906</v>
      </c>
      <c r="BQ46" s="58">
        <v>168205</v>
      </c>
      <c r="BR46" s="48">
        <f t="shared" si="16"/>
        <v>0</v>
      </c>
      <c r="BS46" s="71">
        <f t="shared" si="17"/>
        <v>0.629624565262626</v>
      </c>
      <c r="BT46" s="72">
        <f t="shared" si="18"/>
        <v>0.91652049918331124</v>
      </c>
      <c r="BU46" s="57">
        <v>0</v>
      </c>
      <c r="BV46" s="57">
        <v>239545.49</v>
      </c>
      <c r="BW46" s="58">
        <v>387272.07</v>
      </c>
      <c r="BX46" s="48">
        <f t="shared" si="19"/>
        <v>0</v>
      </c>
      <c r="BY46" s="71">
        <f t="shared" si="20"/>
        <v>0.61854574227364234</v>
      </c>
      <c r="BZ46" s="72">
        <f t="shared" si="21"/>
        <v>0.90508359993212917</v>
      </c>
      <c r="CA46" s="57">
        <v>0</v>
      </c>
      <c r="CB46" s="57">
        <v>102913.21</v>
      </c>
      <c r="CC46" s="58">
        <v>176240.21</v>
      </c>
      <c r="CD46" s="48">
        <f t="shared" si="22"/>
        <v>0</v>
      </c>
      <c r="CE46" s="71">
        <f t="shared" si="23"/>
        <v>0.58393717302084469</v>
      </c>
      <c r="CF46" s="72">
        <f t="shared" si="24"/>
        <v>0.86973467178425456</v>
      </c>
      <c r="CG46" s="57">
        <v>0</v>
      </c>
      <c r="CH46" s="57">
        <v>96770</v>
      </c>
      <c r="CI46" s="58">
        <v>176000</v>
      </c>
      <c r="CJ46" s="48">
        <f t="shared" si="25"/>
        <v>0</v>
      </c>
      <c r="CK46" s="71">
        <f t="shared" si="26"/>
        <v>0.54982954545454543</v>
      </c>
      <c r="CL46" s="72">
        <f t="shared" si="27"/>
        <v>0.83531056366041889</v>
      </c>
      <c r="CM46" s="57">
        <v>0</v>
      </c>
      <c r="CN46" s="57">
        <v>402385</v>
      </c>
      <c r="CO46" s="58">
        <v>414585</v>
      </c>
      <c r="CP46" s="48">
        <f t="shared" si="28"/>
        <v>0</v>
      </c>
      <c r="CQ46" s="71">
        <f t="shared" si="29"/>
        <v>0.97057298262117542</v>
      </c>
      <c r="CR46" s="72">
        <f t="shared" si="30"/>
        <v>1.3984006050263342</v>
      </c>
      <c r="CS46" s="47">
        <v>0</v>
      </c>
      <c r="CT46" s="47">
        <v>57828</v>
      </c>
      <c r="CU46" s="48">
        <v>70587</v>
      </c>
      <c r="CV46" s="48">
        <f t="shared" si="31"/>
        <v>0</v>
      </c>
      <c r="CW46" s="72">
        <f t="shared" si="32"/>
        <v>0.81924433677589359</v>
      </c>
      <c r="CX46" s="72">
        <f t="shared" si="33"/>
        <v>1.1316646434537325</v>
      </c>
      <c r="CY46" s="57">
        <v>0</v>
      </c>
      <c r="CZ46" s="57">
        <v>27725</v>
      </c>
      <c r="DA46" s="58">
        <v>60169</v>
      </c>
      <c r="DB46" s="48">
        <f t="shared" si="34"/>
        <v>0</v>
      </c>
      <c r="DC46" s="71">
        <f t="shared" si="35"/>
        <v>0.46078545430371121</v>
      </c>
      <c r="DD46" s="72">
        <f t="shared" si="36"/>
        <v>0.74614330376706917</v>
      </c>
      <c r="DE46" s="47">
        <v>0</v>
      </c>
      <c r="DF46" s="47">
        <v>2727.56</v>
      </c>
      <c r="DG46" s="48">
        <v>30172.89</v>
      </c>
      <c r="DH46" s="48">
        <f t="shared" si="37"/>
        <v>0</v>
      </c>
      <c r="DI46" s="71">
        <f t="shared" si="38"/>
        <v>9.0397704694512193E-2</v>
      </c>
      <c r="DJ46" s="72">
        <f t="shared" si="39"/>
        <v>0.3053868102437024</v>
      </c>
      <c r="DK46" s="47">
        <v>0</v>
      </c>
      <c r="DL46" s="47">
        <v>13408.27</v>
      </c>
      <c r="DM46" s="48">
        <v>13841.4</v>
      </c>
      <c r="DN46" s="48">
        <f t="shared" si="40"/>
        <v>0</v>
      </c>
      <c r="DO46" s="71">
        <f t="shared" si="41"/>
        <v>0.96870764518040087</v>
      </c>
      <c r="DP46" s="72">
        <f t="shared" si="42"/>
        <v>1.3929640514309298</v>
      </c>
      <c r="DQ46" s="57">
        <v>1</v>
      </c>
      <c r="DR46" s="57">
        <v>390122</v>
      </c>
      <c r="DS46" s="58">
        <v>433943</v>
      </c>
      <c r="DT46" s="71">
        <f t="shared" si="43"/>
        <v>2.3044501236337489E-6</v>
      </c>
      <c r="DU46" s="72">
        <f t="shared" si="44"/>
        <v>1.518042125172876E-3</v>
      </c>
      <c r="DV46" s="71">
        <f t="shared" si="45"/>
        <v>0.89901669113224547</v>
      </c>
      <c r="DW46" s="72">
        <f t="shared" si="46"/>
        <v>1.247410486911642</v>
      </c>
      <c r="DX46" s="57">
        <v>25057</v>
      </c>
      <c r="DY46" s="57">
        <v>114161</v>
      </c>
      <c r="DZ46" s="58">
        <v>227437</v>
      </c>
      <c r="EA46" s="71">
        <f t="shared" si="47"/>
        <v>0.11017116827956752</v>
      </c>
      <c r="EB46" s="72">
        <f t="shared" si="48"/>
        <v>0.33833868969839742</v>
      </c>
      <c r="EC46" s="71">
        <f t="shared" si="49"/>
        <v>0.5019455937248557</v>
      </c>
      <c r="ED46" s="72">
        <f t="shared" si="50"/>
        <v>0.7873437620321535</v>
      </c>
      <c r="EE46" s="57">
        <v>0</v>
      </c>
      <c r="EF46" s="57">
        <v>129021</v>
      </c>
      <c r="EG46" s="58">
        <v>136774</v>
      </c>
      <c r="EH46" s="48">
        <f t="shared" si="51"/>
        <v>0</v>
      </c>
      <c r="EI46" s="71">
        <f t="shared" si="52"/>
        <v>0.9433152499744103</v>
      </c>
      <c r="EJ46" s="72">
        <f t="shared" si="53"/>
        <v>1.3304020397643948</v>
      </c>
      <c r="EK46" s="57">
        <v>0</v>
      </c>
      <c r="EL46" s="57">
        <v>22733</v>
      </c>
      <c r="EM46" s="58">
        <v>23430</v>
      </c>
      <c r="EN46" s="48">
        <f t="shared" si="54"/>
        <v>0</v>
      </c>
      <c r="EO46" s="71">
        <f t="shared" si="55"/>
        <v>0.97025181391378579</v>
      </c>
      <c r="EP46" s="72">
        <f t="shared" si="56"/>
        <v>1.397452903138193</v>
      </c>
      <c r="EQ46" s="56">
        <v>1683005.68</v>
      </c>
      <c r="ER46" s="59">
        <v>830599.54</v>
      </c>
      <c r="ES46" s="58">
        <v>2587297.6800000002</v>
      </c>
      <c r="ET46" s="68">
        <f t="shared" si="57"/>
        <v>0.65048784027047091</v>
      </c>
      <c r="EU46" s="68">
        <f t="shared" si="105"/>
        <v>0</v>
      </c>
      <c r="EV46" s="68">
        <f t="shared" si="58"/>
        <v>0.32102975487536478</v>
      </c>
      <c r="EW46" s="57">
        <v>778057.8</v>
      </c>
      <c r="EX46" s="57">
        <v>1182789.8500000001</v>
      </c>
      <c r="EY46" s="58">
        <v>2145476.84</v>
      </c>
      <c r="EZ46" s="68">
        <f t="shared" si="59"/>
        <v>0.36265029083231681</v>
      </c>
      <c r="FA46" s="68">
        <f t="shared" si="60"/>
        <v>0.6462596230011306</v>
      </c>
      <c r="FB46" s="68">
        <f t="shared" si="61"/>
        <v>0.55129462502144755</v>
      </c>
      <c r="FC46" s="57">
        <v>20319.11</v>
      </c>
      <c r="FD46" s="57">
        <v>845590.12</v>
      </c>
      <c r="FE46" s="58">
        <v>895559.84</v>
      </c>
      <c r="FF46" s="68">
        <f t="shared" si="62"/>
        <v>2.4029502615285997E-2</v>
      </c>
      <c r="FG46" s="68">
        <f t="shared" si="63"/>
        <v>0.15564215492227657</v>
      </c>
      <c r="FH46" s="68">
        <f t="shared" si="106"/>
        <v>0.94420281284609642</v>
      </c>
      <c r="FI46" s="57">
        <v>566243.5</v>
      </c>
      <c r="FJ46" s="57">
        <v>709310.03</v>
      </c>
      <c r="FK46" s="58">
        <v>1296709.58</v>
      </c>
      <c r="FL46" s="68">
        <f t="shared" si="88"/>
        <v>0.43667719336198624</v>
      </c>
      <c r="FM46" s="68">
        <f t="shared" si="64"/>
        <v>0.72190484962611434</v>
      </c>
      <c r="FN46" s="68">
        <f t="shared" si="65"/>
        <v>0.54700762679643344</v>
      </c>
      <c r="FO46" s="46">
        <f t="shared" ref="FO46:FQ53" si="108">EQ46+EW46+FC46+FI46</f>
        <v>3047626.09</v>
      </c>
      <c r="FP46" s="46">
        <f t="shared" si="108"/>
        <v>3568289.54</v>
      </c>
      <c r="FQ46" s="48">
        <f t="shared" si="108"/>
        <v>6925043.9399999995</v>
      </c>
      <c r="FR46" s="48">
        <v>5490126</v>
      </c>
      <c r="FS46" s="68">
        <f t="shared" si="66"/>
        <v>0.44008761769676225</v>
      </c>
      <c r="FT46" s="68">
        <f t="shared" si="67"/>
        <v>0.72534147669917914</v>
      </c>
      <c r="FU46" s="68">
        <f t="shared" si="107"/>
        <v>0.51527319839648555</v>
      </c>
      <c r="FV46" s="68">
        <f t="shared" si="68"/>
        <v>0.8006737379837936</v>
      </c>
      <c r="FW46" s="57">
        <v>0</v>
      </c>
      <c r="FX46" s="57">
        <v>207117</v>
      </c>
      <c r="FY46" s="58">
        <v>325743.81</v>
      </c>
      <c r="FZ46" s="48">
        <f t="shared" si="69"/>
        <v>0</v>
      </c>
      <c r="GA46" s="71">
        <f t="shared" si="70"/>
        <v>0.63582789186385458</v>
      </c>
      <c r="GB46" s="68">
        <f t="shared" si="71"/>
        <v>0.92295471247201588</v>
      </c>
      <c r="GC46" s="57">
        <v>0</v>
      </c>
      <c r="GD46" s="57">
        <v>137111</v>
      </c>
      <c r="GE46" s="58">
        <v>141573</v>
      </c>
      <c r="GF46" s="48">
        <f t="shared" si="72"/>
        <v>0</v>
      </c>
      <c r="GG46" s="68">
        <f t="shared" si="73"/>
        <v>0</v>
      </c>
      <c r="GH46" s="71">
        <f t="shared" si="74"/>
        <v>0.96848269090857719</v>
      </c>
      <c r="GI46" s="68">
        <f t="shared" si="75"/>
        <v>1.3923191467264442</v>
      </c>
      <c r="GJ46" s="57">
        <v>1239</v>
      </c>
      <c r="GK46" s="57">
        <v>368480</v>
      </c>
      <c r="GL46" s="58">
        <v>373912</v>
      </c>
      <c r="GM46" s="71">
        <f t="shared" si="76"/>
        <v>3.3136138984573909E-3</v>
      </c>
      <c r="GN46" s="68">
        <f t="shared" si="77"/>
        <v>5.7595836592765515E-2</v>
      </c>
      <c r="GO46" s="71">
        <f t="shared" si="78"/>
        <v>0.98547251759772347</v>
      </c>
      <c r="GP46" s="68">
        <f t="shared" si="79"/>
        <v>1.4499725631575293</v>
      </c>
      <c r="GQ46" s="57">
        <v>135488</v>
      </c>
      <c r="GR46" s="57">
        <v>378144</v>
      </c>
      <c r="GS46" s="58">
        <v>513632</v>
      </c>
      <c r="GT46" s="71">
        <f t="shared" si="80"/>
        <v>0.26378418790106534</v>
      </c>
      <c r="GU46" s="68">
        <f t="shared" si="81"/>
        <v>0.53937432986088862</v>
      </c>
      <c r="GV46" s="71">
        <f t="shared" si="82"/>
        <v>0.73621581209893461</v>
      </c>
      <c r="GW46" s="68">
        <f t="shared" si="83"/>
        <v>1.0314219969340079</v>
      </c>
      <c r="GX46" s="40">
        <v>136727</v>
      </c>
      <c r="GY46" s="40">
        <v>883735</v>
      </c>
      <c r="GZ46">
        <v>1029117</v>
      </c>
      <c r="HA46" s="126">
        <f t="shared" si="84"/>
        <v>0.13285855738463168</v>
      </c>
      <c r="HB46" s="126">
        <f t="shared" si="85"/>
        <v>0.85873132015115872</v>
      </c>
      <c r="HC46" s="68">
        <f t="shared" si="86"/>
        <v>1.1854746358872617</v>
      </c>
    </row>
    <row r="47" spans="1:211" x14ac:dyDescent="0.2">
      <c r="A47" s="16">
        <v>2006</v>
      </c>
      <c r="B47" s="26">
        <v>2387</v>
      </c>
      <c r="C47" s="22">
        <v>897</v>
      </c>
      <c r="D47" s="22">
        <v>1613</v>
      </c>
      <c r="E47" s="22">
        <v>2099</v>
      </c>
      <c r="F47" s="69">
        <f t="shared" si="87"/>
        <v>6996</v>
      </c>
      <c r="G47" s="23">
        <f t="shared" si="7"/>
        <v>6993.5</v>
      </c>
      <c r="H47" s="1">
        <v>1941</v>
      </c>
      <c r="I47" s="1">
        <v>418</v>
      </c>
      <c r="J47" s="1">
        <v>148</v>
      </c>
      <c r="K47" s="1">
        <v>521</v>
      </c>
      <c r="L47" s="1">
        <v>77</v>
      </c>
      <c r="M47" s="1">
        <v>58</v>
      </c>
      <c r="N47" s="1">
        <v>46</v>
      </c>
      <c r="O47" s="1">
        <v>292</v>
      </c>
      <c r="P47" s="1">
        <v>249</v>
      </c>
      <c r="Q47" s="1">
        <v>167</v>
      </c>
      <c r="R47" s="1">
        <v>112</v>
      </c>
      <c r="S47" s="1">
        <v>101</v>
      </c>
      <c r="T47" s="69">
        <f t="shared" si="89"/>
        <v>629</v>
      </c>
      <c r="U47" s="1">
        <v>183</v>
      </c>
      <c r="V47" s="1">
        <v>118</v>
      </c>
      <c r="W47" s="1">
        <v>450</v>
      </c>
      <c r="X47" s="1">
        <v>73</v>
      </c>
      <c r="Y47" s="1">
        <v>38</v>
      </c>
      <c r="Z47" s="1">
        <v>26</v>
      </c>
      <c r="AA47" s="1">
        <v>44</v>
      </c>
      <c r="AB47" s="69">
        <f t="shared" si="90"/>
        <v>108</v>
      </c>
      <c r="AC47" s="28">
        <v>22068.15</v>
      </c>
      <c r="AD47" s="21">
        <v>1473.88</v>
      </c>
      <c r="AE47" s="21">
        <v>4118.12</v>
      </c>
      <c r="AF47" s="21">
        <v>27872.65</v>
      </c>
      <c r="AG47" s="41">
        <f t="shared" si="91"/>
        <v>55532.800000000003</v>
      </c>
      <c r="AH47" s="28">
        <f>AC47+14671.83+439.45</f>
        <v>37179.43</v>
      </c>
      <c r="AI47" s="21">
        <f>AD47+4627.49+144.64</f>
        <v>6246.01</v>
      </c>
      <c r="AJ47" s="21">
        <f>AE47+8044.06+13.99</f>
        <v>12176.17</v>
      </c>
      <c r="AK47" s="21">
        <f>AF47+13071.2+989.58</f>
        <v>41933.430000000008</v>
      </c>
      <c r="AL47" s="41">
        <f t="shared" si="92"/>
        <v>97535.040000000008</v>
      </c>
      <c r="AM47" s="33">
        <v>16334</v>
      </c>
      <c r="AN47" s="31">
        <v>71083</v>
      </c>
      <c r="AO47" s="34">
        <f>26095.16+27.9+1.36+49.86</f>
        <v>26174.280000000002</v>
      </c>
      <c r="AP47" s="34">
        <f>1127.36+28.01+838.05+3030.27+204.8+26903.24+951.21+2158.24</f>
        <v>35241.18</v>
      </c>
      <c r="AQ47" s="22">
        <v>155363</v>
      </c>
      <c r="AR47" s="30" t="e">
        <f>AZ47/#REF!</f>
        <v>#REF!</v>
      </c>
      <c r="AS47" s="74" t="e">
        <f>AY47/#REF!</f>
        <v>#REF!</v>
      </c>
      <c r="AT47" s="13">
        <f>precipitacion!P23</f>
        <v>728</v>
      </c>
      <c r="AU47" s="13">
        <f>precipitacion!O23</f>
        <v>1932</v>
      </c>
      <c r="AV47" s="13">
        <f>precipitacion!Q23</f>
        <v>297</v>
      </c>
      <c r="AW47" s="13">
        <f>precipitacion!R23</f>
        <v>564</v>
      </c>
      <c r="AX47" s="13">
        <f>precipitacion!G23</f>
        <v>42</v>
      </c>
      <c r="AY47" s="20" t="e">
        <f>#REF!</f>
        <v>#REF!</v>
      </c>
      <c r="AZ47" s="20" t="e">
        <f>#REF!</f>
        <v>#REF!</v>
      </c>
      <c r="BA47" s="56">
        <v>472746</v>
      </c>
      <c r="BB47" s="57">
        <v>167865</v>
      </c>
      <c r="BC47" s="58">
        <f>BB47+527721</f>
        <v>695586</v>
      </c>
      <c r="BD47" s="72">
        <f t="shared" si="8"/>
        <v>0.67963702547204807</v>
      </c>
      <c r="BE47" s="72">
        <f t="shared" si="9"/>
        <v>0.96914310835514428</v>
      </c>
      <c r="BF47" s="72">
        <f t="shared" si="10"/>
        <v>0.24132889391103329</v>
      </c>
      <c r="BG47" s="72">
        <f t="shared" si="11"/>
        <v>0.51352699878928065</v>
      </c>
      <c r="BH47" s="56">
        <v>312042.7</v>
      </c>
      <c r="BI47" s="57">
        <v>51131.9</v>
      </c>
      <c r="BJ47" s="58">
        <f>BI47+316629.7</f>
        <v>367761.60000000003</v>
      </c>
      <c r="BK47" s="71">
        <f t="shared" si="12"/>
        <v>0.84849179468438241</v>
      </c>
      <c r="BL47" s="72">
        <f t="shared" si="13"/>
        <v>1.170989349442525</v>
      </c>
      <c r="BM47" s="71">
        <f t="shared" si="14"/>
        <v>0.13903545122709929</v>
      </c>
      <c r="BN47" s="72">
        <f t="shared" si="15"/>
        <v>0.38210510040610057</v>
      </c>
      <c r="BO47" s="57">
        <v>0</v>
      </c>
      <c r="BP47" s="57">
        <v>116796</v>
      </c>
      <c r="BQ47" s="58">
        <f>BP47+57785</f>
        <v>174581</v>
      </c>
      <c r="BR47" s="48">
        <f t="shared" si="16"/>
        <v>0</v>
      </c>
      <c r="BS47" s="71">
        <f t="shared" si="17"/>
        <v>0.66900750940824028</v>
      </c>
      <c r="BT47" s="72">
        <f t="shared" si="18"/>
        <v>0.95780165034342724</v>
      </c>
      <c r="BU47" s="57">
        <v>0</v>
      </c>
      <c r="BV47" s="57">
        <v>136149</v>
      </c>
      <c r="BW47" s="58">
        <f>BV47+83182.1</f>
        <v>219331.1</v>
      </c>
      <c r="BX47" s="48">
        <f t="shared" si="19"/>
        <v>0</v>
      </c>
      <c r="BY47" s="71">
        <f t="shared" si="20"/>
        <v>0.62074644225100772</v>
      </c>
      <c r="BZ47" s="72">
        <f t="shared" si="21"/>
        <v>0.90735015087171822</v>
      </c>
      <c r="CA47" s="57">
        <v>165</v>
      </c>
      <c r="CB47" s="57">
        <v>93741</v>
      </c>
      <c r="CC47" s="58">
        <f>CB47+48515</f>
        <v>142256</v>
      </c>
      <c r="CD47" s="48">
        <f t="shared" si="22"/>
        <v>1.1598807783151502E-3</v>
      </c>
      <c r="CE47" s="71">
        <f t="shared" si="23"/>
        <v>0.65895990327297271</v>
      </c>
      <c r="CF47" s="72">
        <f t="shared" si="24"/>
        <v>0.94716548998051675</v>
      </c>
      <c r="CG47" s="57">
        <v>0</v>
      </c>
      <c r="CH47" s="57">
        <v>58985</v>
      </c>
      <c r="CI47" s="58">
        <f>43977+CH47</f>
        <v>102962</v>
      </c>
      <c r="CJ47" s="48">
        <f t="shared" si="25"/>
        <v>0</v>
      </c>
      <c r="CK47" s="71">
        <f t="shared" si="26"/>
        <v>0.57288125716283678</v>
      </c>
      <c r="CL47" s="72">
        <f t="shared" si="27"/>
        <v>0.85854000090711224</v>
      </c>
      <c r="CM47" s="57">
        <v>0</v>
      </c>
      <c r="CN47" s="57">
        <v>384485</v>
      </c>
      <c r="CO47" s="58">
        <f>CN47+26775</f>
        <v>411260</v>
      </c>
      <c r="CP47" s="48">
        <f t="shared" si="28"/>
        <v>0</v>
      </c>
      <c r="CQ47" s="71">
        <f t="shared" si="29"/>
        <v>0.93489520011671445</v>
      </c>
      <c r="CR47" s="72">
        <f t="shared" si="30"/>
        <v>1.3127868497961741</v>
      </c>
      <c r="CS47" s="47">
        <v>0</v>
      </c>
      <c r="CT47" s="47">
        <v>55485</v>
      </c>
      <c r="CU47" s="48">
        <f>CT47+14886</f>
        <v>70371</v>
      </c>
      <c r="CV47" s="48">
        <f t="shared" si="31"/>
        <v>0</v>
      </c>
      <c r="CW47" s="72">
        <f t="shared" si="32"/>
        <v>0.78846399795370248</v>
      </c>
      <c r="CX47" s="72">
        <f t="shared" si="33"/>
        <v>1.0928794764683094</v>
      </c>
      <c r="CY47" s="57">
        <v>0</v>
      </c>
      <c r="CZ47" s="57">
        <v>30525.5</v>
      </c>
      <c r="DA47" s="58">
        <f>CZ47+24620.64</f>
        <v>55146.14</v>
      </c>
      <c r="DB47" s="48">
        <f t="shared" si="34"/>
        <v>0</v>
      </c>
      <c r="DC47" s="71">
        <f t="shared" si="35"/>
        <v>0.55353828935261828</v>
      </c>
      <c r="DD47" s="72">
        <f t="shared" si="36"/>
        <v>0.83903929048341908</v>
      </c>
      <c r="DE47" s="47">
        <v>0</v>
      </c>
      <c r="DF47" s="47">
        <v>14463.52</v>
      </c>
      <c r="DG47" s="48">
        <f>DF47+13110.54</f>
        <v>27574.06</v>
      </c>
      <c r="DH47" s="48">
        <f t="shared" si="37"/>
        <v>0</v>
      </c>
      <c r="DI47" s="71">
        <f t="shared" si="38"/>
        <v>0.52453356524211525</v>
      </c>
      <c r="DJ47" s="72">
        <f t="shared" si="39"/>
        <v>0.80994158375409209</v>
      </c>
      <c r="DK47" s="47">
        <v>0</v>
      </c>
      <c r="DL47" s="47">
        <v>32450.63</v>
      </c>
      <c r="DM47" s="48">
        <f>DL47+11946.24</f>
        <v>44396.87</v>
      </c>
      <c r="DN47" s="48">
        <f t="shared" si="40"/>
        <v>0</v>
      </c>
      <c r="DO47" s="71">
        <f t="shared" si="41"/>
        <v>0.73092157172341199</v>
      </c>
      <c r="DP47" s="72">
        <f t="shared" si="42"/>
        <v>1.0254342228520417</v>
      </c>
      <c r="DQ47" s="57">
        <v>64</v>
      </c>
      <c r="DR47" s="57">
        <v>211746</v>
      </c>
      <c r="DS47" s="58">
        <f>DR47+23667</f>
        <v>235413</v>
      </c>
      <c r="DT47" s="71">
        <f t="shared" si="43"/>
        <v>2.7186264140043243E-4</v>
      </c>
      <c r="DU47" s="72">
        <f t="shared" si="44"/>
        <v>1.6489004864002763E-2</v>
      </c>
      <c r="DV47" s="71">
        <f t="shared" si="45"/>
        <v>0.89946604478087444</v>
      </c>
      <c r="DW47" s="72">
        <f t="shared" si="46"/>
        <v>1.248156900023371</v>
      </c>
      <c r="DX47" s="57">
        <v>24152</v>
      </c>
      <c r="DY47" s="57">
        <v>124855</v>
      </c>
      <c r="DZ47" s="58">
        <f>DY47+95811</f>
        <v>220666</v>
      </c>
      <c r="EA47" s="71">
        <f t="shared" si="47"/>
        <v>0.10945048172350974</v>
      </c>
      <c r="EB47" s="72">
        <f t="shared" si="48"/>
        <v>0.33718615704452881</v>
      </c>
      <c r="EC47" s="71">
        <f t="shared" si="49"/>
        <v>0.56580986649506493</v>
      </c>
      <c r="ED47" s="72">
        <f t="shared" si="50"/>
        <v>0.85139953895077081</v>
      </c>
      <c r="EE47" s="57">
        <v>0</v>
      </c>
      <c r="EF47" s="57">
        <v>107500</v>
      </c>
      <c r="EG47" s="58">
        <f>EF47+13413</f>
        <v>120913</v>
      </c>
      <c r="EH47" s="48">
        <f t="shared" si="51"/>
        <v>0</v>
      </c>
      <c r="EI47" s="71">
        <f t="shared" si="52"/>
        <v>0.88906900002481126</v>
      </c>
      <c r="EJ47" s="72">
        <f t="shared" si="53"/>
        <v>1.2312460741018099</v>
      </c>
      <c r="EK47" s="57">
        <v>0</v>
      </c>
      <c r="EL47" s="57">
        <v>7357</v>
      </c>
      <c r="EM47" s="58">
        <f>EL47</f>
        <v>7357</v>
      </c>
      <c r="EN47" s="48">
        <f t="shared" si="54"/>
        <v>0</v>
      </c>
      <c r="EO47" s="71">
        <f t="shared" si="55"/>
        <v>1</v>
      </c>
      <c r="EP47" s="72">
        <f t="shared" si="56"/>
        <v>1.5707963267948966</v>
      </c>
      <c r="EQ47" s="56">
        <v>1626536</v>
      </c>
      <c r="ER47" s="59">
        <v>806139</v>
      </c>
      <c r="ES47" s="58">
        <f>ER47+1676523</f>
        <v>2482662</v>
      </c>
      <c r="ET47" s="68">
        <f t="shared" si="57"/>
        <v>0.65515805212308398</v>
      </c>
      <c r="EU47" s="68">
        <f t="shared" si="105"/>
        <v>0</v>
      </c>
      <c r="EV47" s="68">
        <f t="shared" si="58"/>
        <v>0.32470751153399052</v>
      </c>
      <c r="EW47" s="57">
        <v>730048</v>
      </c>
      <c r="EX47" s="57">
        <v>1065194</v>
      </c>
      <c r="EY47" s="58">
        <f>EX47+919271</f>
        <v>1984465</v>
      </c>
      <c r="EZ47" s="68">
        <f t="shared" si="59"/>
        <v>0.36788151970430316</v>
      </c>
      <c r="FA47" s="68">
        <f t="shared" si="60"/>
        <v>0.65169182463355946</v>
      </c>
      <c r="FB47" s="68">
        <f t="shared" si="61"/>
        <v>0.53676633248759742</v>
      </c>
      <c r="FC47" s="57">
        <v>10286</v>
      </c>
      <c r="FD47" s="57">
        <v>894809</v>
      </c>
      <c r="FE47" s="58">
        <f>FD47+37203</f>
        <v>932012</v>
      </c>
      <c r="FF47" s="68">
        <f t="shared" si="62"/>
        <v>1.1495190593746821E-2</v>
      </c>
      <c r="FG47" s="68">
        <f t="shared" si="63"/>
        <v>0.10742210719097782</v>
      </c>
      <c r="FH47" s="68">
        <f t="shared" si="106"/>
        <v>0.96008313197684148</v>
      </c>
      <c r="FI47" s="57">
        <v>594586</v>
      </c>
      <c r="FJ47" s="57">
        <v>678282</v>
      </c>
      <c r="FK47" s="58">
        <f>FJ47+609567</f>
        <v>1287849</v>
      </c>
      <c r="FL47" s="68">
        <f t="shared" si="88"/>
        <v>0.46168921977654215</v>
      </c>
      <c r="FM47" s="68">
        <f t="shared" si="64"/>
        <v>0.7470497975650443</v>
      </c>
      <c r="FN47" s="68">
        <f t="shared" si="65"/>
        <v>0.52667820528648934</v>
      </c>
      <c r="FO47" s="46">
        <f t="shared" si="108"/>
        <v>2961456</v>
      </c>
      <c r="FP47" s="46">
        <f t="shared" si="108"/>
        <v>3444424</v>
      </c>
      <c r="FQ47" s="48">
        <f t="shared" si="108"/>
        <v>6686988</v>
      </c>
      <c r="FR47" s="48">
        <v>6925043.9399999995</v>
      </c>
      <c r="FS47" s="68">
        <f t="shared" si="66"/>
        <v>0.44286844839560052</v>
      </c>
      <c r="FT47" s="68">
        <f t="shared" si="67"/>
        <v>0.72814155686816273</v>
      </c>
      <c r="FU47" s="68">
        <f t="shared" si="107"/>
        <v>0.51509349201763188</v>
      </c>
      <c r="FV47" s="68">
        <f t="shared" si="68"/>
        <v>0.80049394868977031</v>
      </c>
      <c r="FW47" s="57">
        <v>0</v>
      </c>
      <c r="FX47" s="57">
        <v>146628</v>
      </c>
      <c r="FY47" s="58">
        <f>FX47+119918</f>
        <v>266546</v>
      </c>
      <c r="FZ47" s="48">
        <f t="shared" si="69"/>
        <v>0</v>
      </c>
      <c r="GA47" s="71">
        <f t="shared" si="70"/>
        <v>0.55010392202471614</v>
      </c>
      <c r="GB47" s="68">
        <f t="shared" si="71"/>
        <v>0.8355863206400721</v>
      </c>
      <c r="GC47" s="57">
        <v>322</v>
      </c>
      <c r="GD47" s="57">
        <v>140308</v>
      </c>
      <c r="GE47" s="58">
        <f>GD47+6025.46</f>
        <v>146333.46</v>
      </c>
      <c r="GF47" s="48">
        <f t="shared" si="72"/>
        <v>2.2004536761448816E-3</v>
      </c>
      <c r="GG47" s="68">
        <f t="shared" si="73"/>
        <v>4.6926214121439949E-2</v>
      </c>
      <c r="GH47" s="71">
        <f t="shared" si="74"/>
        <v>0.95882377140539155</v>
      </c>
      <c r="GI47" s="68">
        <f t="shared" si="75"/>
        <v>1.3664580314255357</v>
      </c>
      <c r="GJ47" s="57">
        <v>0</v>
      </c>
      <c r="GK47" s="57">
        <v>459903</v>
      </c>
      <c r="GL47" s="58">
        <f>GK47+7238</f>
        <v>467141</v>
      </c>
      <c r="GM47" s="71">
        <f t="shared" si="76"/>
        <v>0</v>
      </c>
      <c r="GN47" s="68">
        <f t="shared" si="77"/>
        <v>0</v>
      </c>
      <c r="GO47" s="71">
        <f t="shared" si="78"/>
        <v>0.98450574879961295</v>
      </c>
      <c r="GP47" s="68">
        <f t="shared" si="79"/>
        <v>1.445996715070377</v>
      </c>
      <c r="GQ47" s="57">
        <v>120695</v>
      </c>
      <c r="GR47" s="57">
        <v>447949.28</v>
      </c>
      <c r="GS47" s="58">
        <v>569837.22</v>
      </c>
      <c r="GT47" s="71">
        <f t="shared" si="80"/>
        <v>0.21180610139857134</v>
      </c>
      <c r="GU47" s="68">
        <f t="shared" si="81"/>
        <v>0.47824745508159833</v>
      </c>
      <c r="GV47" s="71">
        <f t="shared" si="82"/>
        <v>0.78610042355604648</v>
      </c>
      <c r="GW47" s="68">
        <f t="shared" si="83"/>
        <v>1.0899916329751456</v>
      </c>
      <c r="GX47" s="40">
        <v>121017</v>
      </c>
      <c r="GY47" s="40">
        <v>1048160.28</v>
      </c>
      <c r="GZ47">
        <v>1183311.68</v>
      </c>
      <c r="HA47" s="126">
        <f t="shared" si="84"/>
        <v>0.10226975871648626</v>
      </c>
      <c r="HB47" s="126">
        <f t="shared" si="85"/>
        <v>0.88578545933054598</v>
      </c>
      <c r="HC47" s="68">
        <f t="shared" si="86"/>
        <v>1.2260516176220795</v>
      </c>
    </row>
    <row r="48" spans="1:211" ht="15" x14ac:dyDescent="0.2">
      <c r="A48" s="16">
        <v>2007</v>
      </c>
      <c r="B48" s="26">
        <v>557</v>
      </c>
      <c r="C48" s="22">
        <v>350</v>
      </c>
      <c r="D48" s="22">
        <v>1465</v>
      </c>
      <c r="E48" s="22">
        <v>785</v>
      </c>
      <c r="F48" s="69">
        <f t="shared" si="87"/>
        <v>3157</v>
      </c>
      <c r="G48" s="23">
        <f t="shared" si="7"/>
        <v>3154.5000000000005</v>
      </c>
      <c r="H48" s="1">
        <v>1083</v>
      </c>
      <c r="I48" s="1">
        <v>296</v>
      </c>
      <c r="J48" s="1">
        <v>113</v>
      </c>
      <c r="K48" s="1">
        <v>384</v>
      </c>
      <c r="L48" s="1">
        <v>47</v>
      </c>
      <c r="M48" s="1">
        <v>73</v>
      </c>
      <c r="N48" s="1">
        <v>39</v>
      </c>
      <c r="O48" s="1">
        <v>336</v>
      </c>
      <c r="P48" s="1">
        <v>203</v>
      </c>
      <c r="Q48" s="1">
        <v>165</v>
      </c>
      <c r="R48" s="1">
        <v>92</v>
      </c>
      <c r="S48" s="1">
        <v>119</v>
      </c>
      <c r="T48" s="69">
        <f t="shared" si="89"/>
        <v>579</v>
      </c>
      <c r="U48" s="1">
        <v>197</v>
      </c>
      <c r="V48" s="1">
        <v>99</v>
      </c>
      <c r="W48" s="1">
        <v>504</v>
      </c>
      <c r="X48" s="1">
        <v>93</v>
      </c>
      <c r="Y48" s="1">
        <v>24</v>
      </c>
      <c r="Z48" s="1">
        <v>13</v>
      </c>
      <c r="AA48" s="1">
        <v>26</v>
      </c>
      <c r="AB48" s="69">
        <f t="shared" si="90"/>
        <v>63</v>
      </c>
      <c r="AC48" s="28">
        <v>481.19</v>
      </c>
      <c r="AD48" s="21">
        <v>116.93</v>
      </c>
      <c r="AE48" s="21">
        <v>355.1</v>
      </c>
      <c r="AF48" s="21">
        <v>237.71</v>
      </c>
      <c r="AG48" s="41">
        <f t="shared" si="91"/>
        <v>1190.93</v>
      </c>
      <c r="AH48" s="28">
        <f>AC48+577.73+0.61</f>
        <v>1059.53</v>
      </c>
      <c r="AI48" s="21">
        <f>AD48+420.65+3.44</f>
        <v>541.02</v>
      </c>
      <c r="AJ48" s="21">
        <f>AE48+4390.5+2.62</f>
        <v>4748.22</v>
      </c>
      <c r="AK48" s="21">
        <f>AF48+471.25+3.26</f>
        <v>712.22</v>
      </c>
      <c r="AL48" s="41">
        <f t="shared" si="92"/>
        <v>7060.9900000000007</v>
      </c>
      <c r="AM48" s="33">
        <v>10932</v>
      </c>
      <c r="AN48" s="31">
        <v>29403</v>
      </c>
      <c r="AO48" s="34">
        <f>1062.96+39.01+9.45+6.76</f>
        <v>1118.18</v>
      </c>
      <c r="AP48" s="34">
        <f>70.24+20.77+526.03+2397.51+647.37+850.14+20760.53+74.77</f>
        <v>25347.360000000001</v>
      </c>
      <c r="AQ48" s="22">
        <v>83113</v>
      </c>
      <c r="AR48" s="30" t="e">
        <f>AZ48/#REF!</f>
        <v>#REF!</v>
      </c>
      <c r="AS48" s="74" t="e">
        <f>AY48/#REF!</f>
        <v>#REF!</v>
      </c>
      <c r="AT48" s="13">
        <f>precipitacion!P24</f>
        <v>428</v>
      </c>
      <c r="AU48" s="13">
        <f>precipitacion!O24</f>
        <v>844</v>
      </c>
      <c r="AV48" s="13">
        <f>precipitacion!Q24</f>
        <v>237</v>
      </c>
      <c r="AW48" s="13">
        <f>precipitacion!R24</f>
        <v>375</v>
      </c>
      <c r="AX48" s="13">
        <f>precipitacion!G24</f>
        <v>62</v>
      </c>
      <c r="AY48" s="20" t="e">
        <f>#REF!</f>
        <v>#REF!</v>
      </c>
      <c r="AZ48" s="20" t="e">
        <f>#REF!</f>
        <v>#REF!</v>
      </c>
      <c r="BA48" s="56">
        <v>514055</v>
      </c>
      <c r="BB48" s="57">
        <v>150167</v>
      </c>
      <c r="BC48" s="58">
        <v>716154</v>
      </c>
      <c r="BD48" s="72">
        <f t="shared" si="8"/>
        <v>0.71779952356616039</v>
      </c>
      <c r="BE48" s="72">
        <f t="shared" si="9"/>
        <v>1.0107500001459382</v>
      </c>
      <c r="BF48" s="72">
        <f t="shared" si="10"/>
        <v>0.20968534700637015</v>
      </c>
      <c r="BG48" s="72">
        <f t="shared" si="11"/>
        <v>0.47564745267799613</v>
      </c>
      <c r="BH48" s="56">
        <v>370380.38</v>
      </c>
      <c r="BI48" s="57">
        <v>53753</v>
      </c>
      <c r="BJ48" s="58">
        <v>428727.41</v>
      </c>
      <c r="BK48" s="71">
        <f t="shared" si="12"/>
        <v>0.86390646215039069</v>
      </c>
      <c r="BL48" s="72">
        <f t="shared" si="13"/>
        <v>1.1929618283815608</v>
      </c>
      <c r="BM48" s="71">
        <f t="shared" si="14"/>
        <v>0.12537803449515861</v>
      </c>
      <c r="BN48" s="72">
        <f t="shared" si="15"/>
        <v>0.36193828855695453</v>
      </c>
      <c r="BO48" s="57">
        <v>0</v>
      </c>
      <c r="BP48" s="57">
        <v>148747</v>
      </c>
      <c r="BQ48" s="58">
        <v>227846</v>
      </c>
      <c r="BR48" s="48">
        <f t="shared" si="16"/>
        <v>0</v>
      </c>
      <c r="BS48" s="71">
        <f t="shared" si="17"/>
        <v>0.65284007619181372</v>
      </c>
      <c r="BT48" s="72">
        <f t="shared" si="18"/>
        <v>0.9407245096392487</v>
      </c>
      <c r="BU48" s="57">
        <v>0</v>
      </c>
      <c r="BV48" s="57">
        <v>154319</v>
      </c>
      <c r="BW48" s="58">
        <v>208052</v>
      </c>
      <c r="BX48" s="48">
        <f t="shared" si="19"/>
        <v>0</v>
      </c>
      <c r="BY48" s="71">
        <f t="shared" si="20"/>
        <v>0.74173283602176376</v>
      </c>
      <c r="BZ48" s="72">
        <f t="shared" si="21"/>
        <v>1.0377029272380458</v>
      </c>
      <c r="CA48" s="57">
        <v>0</v>
      </c>
      <c r="CB48" s="57">
        <v>171514.97</v>
      </c>
      <c r="CC48" s="58">
        <v>247889.97</v>
      </c>
      <c r="CD48" s="48">
        <f t="shared" si="22"/>
        <v>0</v>
      </c>
      <c r="CE48" s="71">
        <f t="shared" si="23"/>
        <v>0.69189959561494163</v>
      </c>
      <c r="CF48" s="72">
        <f t="shared" si="24"/>
        <v>0.98235169984955262</v>
      </c>
      <c r="CG48" s="57">
        <v>0</v>
      </c>
      <c r="CH48" s="57">
        <v>82978</v>
      </c>
      <c r="CI48" s="58">
        <v>137572</v>
      </c>
      <c r="CJ48" s="48">
        <f t="shared" si="25"/>
        <v>0</v>
      </c>
      <c r="CK48" s="71">
        <f t="shared" si="26"/>
        <v>0.60316052685139421</v>
      </c>
      <c r="CL48" s="72">
        <f t="shared" si="27"/>
        <v>0.88930497218648574</v>
      </c>
      <c r="CM48" s="57">
        <v>0</v>
      </c>
      <c r="CN48" s="57">
        <v>359720</v>
      </c>
      <c r="CO48" s="58">
        <v>389702</v>
      </c>
      <c r="CP48" s="48">
        <f t="shared" si="28"/>
        <v>0</v>
      </c>
      <c r="CQ48" s="71">
        <f t="shared" si="29"/>
        <v>0.92306429014990943</v>
      </c>
      <c r="CR48" s="72">
        <f t="shared" si="30"/>
        <v>1.2897377219067427</v>
      </c>
      <c r="CS48" s="47">
        <v>0</v>
      </c>
      <c r="CT48" s="47">
        <v>40365.769999999997</v>
      </c>
      <c r="CU48" s="48">
        <f>CT48+2556.94</f>
        <v>42922.71</v>
      </c>
      <c r="CV48" s="48">
        <f t="shared" si="31"/>
        <v>0</v>
      </c>
      <c r="CW48" s="72">
        <f t="shared" si="32"/>
        <v>0.94042920402742503</v>
      </c>
      <c r="CX48" s="72">
        <f t="shared" si="33"/>
        <v>1.3242344195676408</v>
      </c>
      <c r="CY48" s="57">
        <v>0</v>
      </c>
      <c r="CZ48" s="57">
        <v>21415.45</v>
      </c>
      <c r="DA48" s="58">
        <v>43021.86</v>
      </c>
      <c r="DB48" s="48">
        <f t="shared" si="34"/>
        <v>0</v>
      </c>
      <c r="DC48" s="71">
        <f t="shared" si="35"/>
        <v>0.49778066313264929</v>
      </c>
      <c r="DD48" s="72">
        <f t="shared" si="36"/>
        <v>0.78317881924253541</v>
      </c>
      <c r="DE48" s="47">
        <v>0</v>
      </c>
      <c r="DF48" s="47">
        <v>63364.01</v>
      </c>
      <c r="DG48" s="50">
        <v>86786.81</v>
      </c>
      <c r="DH48" s="48">
        <f t="shared" si="37"/>
        <v>0</v>
      </c>
      <c r="DI48" s="71">
        <f t="shared" si="38"/>
        <v>0.73011106180766416</v>
      </c>
      <c r="DJ48" s="72">
        <f t="shared" si="39"/>
        <v>1.0245208517891338</v>
      </c>
      <c r="DK48" s="47">
        <v>0</v>
      </c>
      <c r="DL48" s="47">
        <v>19425.599999999999</v>
      </c>
      <c r="DM48" s="48">
        <f>DL48+20603.05</f>
        <v>40028.649999999994</v>
      </c>
      <c r="DN48" s="48">
        <f t="shared" si="40"/>
        <v>0</v>
      </c>
      <c r="DO48" s="71">
        <f t="shared" si="41"/>
        <v>0.48529240931183043</v>
      </c>
      <c r="DP48" s="72">
        <f t="shared" si="42"/>
        <v>0.77068845091878846</v>
      </c>
      <c r="DQ48" s="57">
        <v>3594</v>
      </c>
      <c r="DR48" s="57">
        <v>186695</v>
      </c>
      <c r="DS48" s="58">
        <v>230706</v>
      </c>
      <c r="DT48" s="71">
        <f t="shared" si="43"/>
        <v>1.5578268445554082E-2</v>
      </c>
      <c r="DU48" s="72">
        <f t="shared" si="44"/>
        <v>0.12513928840631416</v>
      </c>
      <c r="DV48" s="71">
        <f t="shared" si="45"/>
        <v>0.80923339661733984</v>
      </c>
      <c r="DW48" s="72">
        <f t="shared" si="46"/>
        <v>1.1187932071565339</v>
      </c>
      <c r="DX48" s="57">
        <v>15104</v>
      </c>
      <c r="DY48" s="57">
        <v>138075</v>
      </c>
      <c r="DZ48" s="58">
        <v>233611</v>
      </c>
      <c r="EA48" s="71">
        <f t="shared" si="47"/>
        <v>6.4654489728651482E-2</v>
      </c>
      <c r="EB48" s="72">
        <f t="shared" si="48"/>
        <v>0.25709537557681722</v>
      </c>
      <c r="EC48" s="71">
        <f t="shared" si="49"/>
        <v>0.59104665448116744</v>
      </c>
      <c r="ED48" s="72">
        <f t="shared" si="50"/>
        <v>0.87695563083865058</v>
      </c>
      <c r="EE48" s="57">
        <v>0</v>
      </c>
      <c r="EF48" s="57">
        <v>111673</v>
      </c>
      <c r="EG48" s="58">
        <v>117045</v>
      </c>
      <c r="EH48" s="48">
        <f t="shared" si="51"/>
        <v>0</v>
      </c>
      <c r="EI48" s="71">
        <f t="shared" si="52"/>
        <v>0.95410312273057374</v>
      </c>
      <c r="EJ48" s="72">
        <f t="shared" si="53"/>
        <v>1.3548871698254696</v>
      </c>
      <c r="EK48" s="57">
        <v>0</v>
      </c>
      <c r="EL48" s="57">
        <v>6762</v>
      </c>
      <c r="EM48" s="58">
        <v>6771</v>
      </c>
      <c r="EN48" s="48">
        <f t="shared" si="54"/>
        <v>0</v>
      </c>
      <c r="EO48" s="71">
        <f t="shared" si="55"/>
        <v>0.99867080194949043</v>
      </c>
      <c r="EP48" s="72">
        <f t="shared" si="56"/>
        <v>1.5343300767704851</v>
      </c>
      <c r="EQ48" s="56">
        <v>1695000</v>
      </c>
      <c r="ER48" s="59">
        <v>966000</v>
      </c>
      <c r="ES48" s="58">
        <v>2755800</v>
      </c>
      <c r="ET48" s="68">
        <f t="shared" si="57"/>
        <v>0.61506640539952107</v>
      </c>
      <c r="EU48" s="68">
        <f t="shared" si="105"/>
        <v>0</v>
      </c>
      <c r="EV48" s="68">
        <f t="shared" si="58"/>
        <v>0.35053342042238189</v>
      </c>
      <c r="EW48" s="57">
        <v>689000</v>
      </c>
      <c r="EX48" s="57">
        <v>894000</v>
      </c>
      <c r="EY48" s="58">
        <v>1748600</v>
      </c>
      <c r="EZ48" s="68">
        <f t="shared" si="59"/>
        <v>0.39402950932174313</v>
      </c>
      <c r="FA48" s="68">
        <f t="shared" si="60"/>
        <v>0.67861784630605604</v>
      </c>
      <c r="FB48" s="68">
        <f t="shared" si="61"/>
        <v>0.51126615578176826</v>
      </c>
      <c r="FC48" s="57">
        <v>2000</v>
      </c>
      <c r="FD48" s="57">
        <v>665000</v>
      </c>
      <c r="FE48" s="58">
        <v>729500</v>
      </c>
      <c r="FF48" s="68">
        <f t="shared" si="62"/>
        <v>3.0075187969924814E-3</v>
      </c>
      <c r="FG48" s="68">
        <f t="shared" si="63"/>
        <v>5.4868376128528358E-2</v>
      </c>
      <c r="FH48" s="68">
        <f t="shared" si="106"/>
        <v>0.91158327621658675</v>
      </c>
      <c r="FI48" s="57">
        <v>785000</v>
      </c>
      <c r="FJ48" s="57">
        <v>1130000</v>
      </c>
      <c r="FK48" s="58">
        <v>1947600</v>
      </c>
      <c r="FL48" s="68">
        <f t="shared" si="88"/>
        <v>0.40306017662764426</v>
      </c>
      <c r="FM48" s="68">
        <f t="shared" si="64"/>
        <v>0.68784051427703008</v>
      </c>
      <c r="FN48" s="68">
        <f t="shared" si="65"/>
        <v>0.58020127336208671</v>
      </c>
      <c r="FO48" s="46">
        <f t="shared" si="108"/>
        <v>3171000</v>
      </c>
      <c r="FP48" s="46">
        <f t="shared" si="108"/>
        <v>3655000</v>
      </c>
      <c r="FQ48" s="48">
        <f t="shared" si="108"/>
        <v>7181500</v>
      </c>
      <c r="FR48" s="48">
        <v>6686988</v>
      </c>
      <c r="FS48" s="68">
        <f t="shared" si="66"/>
        <v>0.44155120796490982</v>
      </c>
      <c r="FT48" s="68">
        <f t="shared" si="67"/>
        <v>0.72681542850186487</v>
      </c>
      <c r="FU48" s="68">
        <f t="shared" si="107"/>
        <v>0.50894659889995131</v>
      </c>
      <c r="FV48" s="68">
        <f t="shared" si="68"/>
        <v>0.79434523976644467</v>
      </c>
      <c r="FW48" s="57">
        <v>0</v>
      </c>
      <c r="FX48" s="57">
        <v>253274</v>
      </c>
      <c r="FY48" s="58">
        <v>359120</v>
      </c>
      <c r="FZ48" s="48">
        <f t="shared" si="69"/>
        <v>0</v>
      </c>
      <c r="GA48" s="71">
        <f t="shared" si="70"/>
        <v>0.70526286478057476</v>
      </c>
      <c r="GB48" s="68">
        <f t="shared" si="71"/>
        <v>0.99691343375378305</v>
      </c>
      <c r="GC48" s="57">
        <v>0</v>
      </c>
      <c r="GD48" s="57">
        <v>154089.22</v>
      </c>
      <c r="GE48" s="58">
        <v>157776.14000000001</v>
      </c>
      <c r="GF48" s="48">
        <f t="shared" si="72"/>
        <v>0</v>
      </c>
      <c r="GG48" s="68">
        <f t="shared" si="73"/>
        <v>0</v>
      </c>
      <c r="GH48" s="71">
        <f t="shared" si="74"/>
        <v>0.97663195461620489</v>
      </c>
      <c r="GI48" s="68">
        <f t="shared" si="75"/>
        <v>1.4173285112184608</v>
      </c>
      <c r="GJ48" s="57">
        <v>0</v>
      </c>
      <c r="GK48" s="57">
        <v>464699.97</v>
      </c>
      <c r="GL48" s="58">
        <v>467692</v>
      </c>
      <c r="GM48" s="71">
        <f t="shared" si="76"/>
        <v>0</v>
      </c>
      <c r="GN48" s="68">
        <f t="shared" si="77"/>
        <v>0</v>
      </c>
      <c r="GO48" s="71">
        <f t="shared" si="78"/>
        <v>0.99360256322537044</v>
      </c>
      <c r="GP48" s="68">
        <f t="shared" si="79"/>
        <v>1.4907268200308479</v>
      </c>
      <c r="GQ48" s="60"/>
      <c r="GR48" s="60"/>
      <c r="GS48" s="60"/>
      <c r="GT48" s="71"/>
      <c r="GU48" s="68"/>
      <c r="GV48" s="71"/>
      <c r="GW48" s="68"/>
      <c r="HA48" s="126"/>
      <c r="HB48" s="126"/>
      <c r="HC48" s="68"/>
    </row>
    <row r="49" spans="1:211" ht="15" x14ac:dyDescent="0.2">
      <c r="A49" s="16">
        <v>2008</v>
      </c>
      <c r="B49" s="26">
        <v>366</v>
      </c>
      <c r="C49" s="22">
        <v>292</v>
      </c>
      <c r="D49" s="22">
        <v>1348</v>
      </c>
      <c r="E49" s="22">
        <v>540</v>
      </c>
      <c r="F49" s="69">
        <f t="shared" si="87"/>
        <v>2546</v>
      </c>
      <c r="G49" s="23">
        <f t="shared" si="7"/>
        <v>2543.5</v>
      </c>
      <c r="H49" s="1">
        <v>1741</v>
      </c>
      <c r="I49" s="1">
        <v>443</v>
      </c>
      <c r="J49" s="1">
        <v>133</v>
      </c>
      <c r="K49" s="1">
        <v>621</v>
      </c>
      <c r="L49" s="1">
        <v>79</v>
      </c>
      <c r="M49" s="1">
        <v>143</v>
      </c>
      <c r="N49" s="1">
        <v>53</v>
      </c>
      <c r="O49" s="1">
        <v>495</v>
      </c>
      <c r="P49" s="1">
        <v>172</v>
      </c>
      <c r="Q49" s="1">
        <v>95</v>
      </c>
      <c r="R49" s="1">
        <v>93</v>
      </c>
      <c r="S49" s="1">
        <v>61</v>
      </c>
      <c r="T49" s="69">
        <f t="shared" si="89"/>
        <v>421</v>
      </c>
      <c r="U49" s="1">
        <v>185</v>
      </c>
      <c r="V49" s="1">
        <v>85</v>
      </c>
      <c r="W49" s="1">
        <v>595</v>
      </c>
      <c r="X49" s="1">
        <v>110</v>
      </c>
      <c r="Y49" s="1">
        <v>25</v>
      </c>
      <c r="Z49" s="1">
        <v>26</v>
      </c>
      <c r="AA49" s="1">
        <v>30</v>
      </c>
      <c r="AB49" s="69">
        <f t="shared" si="90"/>
        <v>81</v>
      </c>
      <c r="AC49" s="28">
        <v>193.81</v>
      </c>
      <c r="AD49" s="21">
        <v>124.16</v>
      </c>
      <c r="AE49" s="21">
        <v>477.82</v>
      </c>
      <c r="AF49" s="21">
        <v>202.44</v>
      </c>
      <c r="AG49" s="41">
        <f t="shared" si="91"/>
        <v>998.23</v>
      </c>
      <c r="AH49" s="28">
        <v>553.78</v>
      </c>
      <c r="AI49" s="21">
        <v>855.14</v>
      </c>
      <c r="AJ49" s="21">
        <v>4347.26</v>
      </c>
      <c r="AK49" s="21">
        <v>579.66</v>
      </c>
      <c r="AL49" s="41">
        <f t="shared" si="92"/>
        <v>6335.84</v>
      </c>
      <c r="AM49" s="33">
        <v>11656</v>
      </c>
      <c r="AN49" s="31">
        <v>8443</v>
      </c>
      <c r="AO49" s="34">
        <f>287.29+1.25+92.72+1.77</f>
        <v>383.03</v>
      </c>
      <c r="AP49" s="34">
        <f>50.18+53.23+456.45+15.71+274.28+0.18+76.17</f>
        <v>926.19999999999993</v>
      </c>
      <c r="AQ49" s="22">
        <v>50321</v>
      </c>
      <c r="AR49" s="30" t="e">
        <f>AZ49/#REF!</f>
        <v>#REF!</v>
      </c>
      <c r="AS49" s="74" t="e">
        <f>AY49/#REF!</f>
        <v>#REF!</v>
      </c>
      <c r="AT49" s="13">
        <f>precipitacion!P25</f>
        <v>690</v>
      </c>
      <c r="AU49" s="13">
        <f>precipitacion!O25</f>
        <v>1360</v>
      </c>
      <c r="AV49" s="13">
        <f>precipitacion!Q25</f>
        <v>170</v>
      </c>
      <c r="AW49" s="13">
        <f>precipitacion!R25</f>
        <v>652</v>
      </c>
      <c r="AX49" s="13">
        <f>precipitacion!G25</f>
        <v>178</v>
      </c>
      <c r="AY49" s="20" t="e">
        <f>#REF!</f>
        <v>#REF!</v>
      </c>
      <c r="AZ49" s="20" t="e">
        <f>#REF!</f>
        <v>#REF!</v>
      </c>
      <c r="BA49" s="56">
        <v>461843</v>
      </c>
      <c r="BB49" s="57">
        <v>71932</v>
      </c>
      <c r="BC49" s="58">
        <v>569107</v>
      </c>
      <c r="BD49" s="72">
        <f t="shared" si="8"/>
        <v>0.81152226207022582</v>
      </c>
      <c r="BE49" s="72">
        <f t="shared" si="9"/>
        <v>1.1217126751164734</v>
      </c>
      <c r="BF49" s="72">
        <f t="shared" si="10"/>
        <v>0.12639450929262863</v>
      </c>
      <c r="BG49" s="72">
        <f t="shared" si="11"/>
        <v>0.36347041384663731</v>
      </c>
      <c r="BH49" s="56">
        <v>379021</v>
      </c>
      <c r="BI49" s="57">
        <v>51941</v>
      </c>
      <c r="BJ49" s="58">
        <v>435053</v>
      </c>
      <c r="BK49" s="71">
        <f t="shared" si="12"/>
        <v>0.87120649667971484</v>
      </c>
      <c r="BL49" s="72">
        <f t="shared" si="13"/>
        <v>1.2037306625218163</v>
      </c>
      <c r="BM49" s="71">
        <f t="shared" si="14"/>
        <v>0.11939005132707969</v>
      </c>
      <c r="BN49" s="72">
        <f t="shared" si="15"/>
        <v>0.35280207947874531</v>
      </c>
      <c r="BO49" s="57">
        <v>0</v>
      </c>
      <c r="BP49" s="57">
        <v>91204</v>
      </c>
      <c r="BQ49" s="58">
        <v>169409</v>
      </c>
      <c r="BR49" s="48">
        <f t="shared" si="16"/>
        <v>0</v>
      </c>
      <c r="BS49" s="71">
        <f t="shared" si="17"/>
        <v>0.53836573027407042</v>
      </c>
      <c r="BT49" s="72">
        <f t="shared" si="18"/>
        <v>0.82380164152984414</v>
      </c>
      <c r="BU49" s="57">
        <v>0</v>
      </c>
      <c r="BV49" s="57">
        <v>164637.60999999999</v>
      </c>
      <c r="BW49" s="58">
        <v>296454.21999999997</v>
      </c>
      <c r="BX49" s="48">
        <f t="shared" si="19"/>
        <v>0</v>
      </c>
      <c r="BY49" s="71">
        <f t="shared" si="20"/>
        <v>0.55535593320277243</v>
      </c>
      <c r="BZ49" s="72">
        <f t="shared" si="21"/>
        <v>0.84086780895548585</v>
      </c>
      <c r="CA49" s="57">
        <v>0</v>
      </c>
      <c r="CB49" s="57">
        <v>104202.09</v>
      </c>
      <c r="CC49" s="58">
        <v>163132.09</v>
      </c>
      <c r="CD49" s="48">
        <f t="shared" si="22"/>
        <v>0</v>
      </c>
      <c r="CE49" s="71">
        <f t="shared" si="23"/>
        <v>0.63875899585421847</v>
      </c>
      <c r="CF49" s="72">
        <f t="shared" si="24"/>
        <v>0.92600299095073746</v>
      </c>
      <c r="CG49" s="57">
        <v>0</v>
      </c>
      <c r="CH49" s="57">
        <v>72867.11</v>
      </c>
      <c r="CI49" s="58">
        <v>112099.67</v>
      </c>
      <c r="CJ49" s="48">
        <f t="shared" si="25"/>
        <v>0</v>
      </c>
      <c r="CK49" s="71">
        <f t="shared" si="26"/>
        <v>0.65002073601108734</v>
      </c>
      <c r="CL49" s="72">
        <f t="shared" si="27"/>
        <v>0.93776622779974983</v>
      </c>
      <c r="CM49" s="57">
        <v>0</v>
      </c>
      <c r="CN49" s="57">
        <v>353418.6</v>
      </c>
      <c r="CO49" s="58">
        <v>383514.9</v>
      </c>
      <c r="CP49" s="48">
        <f t="shared" si="28"/>
        <v>0</v>
      </c>
      <c r="CQ49" s="71">
        <f t="shared" si="29"/>
        <v>0.92152508285857981</v>
      </c>
      <c r="CR49" s="72">
        <f t="shared" si="30"/>
        <v>1.2868628932286799</v>
      </c>
      <c r="CS49" s="47">
        <v>0</v>
      </c>
      <c r="CT49" s="47">
        <v>50809.120000000003</v>
      </c>
      <c r="CU49" s="48">
        <f>CT49+8447.22</f>
        <v>59256.340000000004</v>
      </c>
      <c r="CV49" s="48">
        <f t="shared" si="31"/>
        <v>0</v>
      </c>
      <c r="CW49" s="72">
        <f t="shared" si="32"/>
        <v>0.85744613994046881</v>
      </c>
      <c r="CX49" s="72">
        <f t="shared" si="33"/>
        <v>1.1836331834224572</v>
      </c>
      <c r="CY49" s="57">
        <v>0</v>
      </c>
      <c r="CZ49" s="57">
        <v>23093.27</v>
      </c>
      <c r="DA49" s="58">
        <v>55089.19</v>
      </c>
      <c r="DB49" s="48">
        <f t="shared" si="34"/>
        <v>0</v>
      </c>
      <c r="DC49" s="71">
        <f t="shared" si="35"/>
        <v>0.41919784988670189</v>
      </c>
      <c r="DD49" s="72">
        <f t="shared" si="36"/>
        <v>0.70424011042727808</v>
      </c>
      <c r="DE49" s="47">
        <v>0</v>
      </c>
      <c r="DF49" s="47">
        <v>30503</v>
      </c>
      <c r="DG49" s="48">
        <f>DF49+15501</f>
        <v>46004</v>
      </c>
      <c r="DH49" s="48">
        <f t="shared" si="37"/>
        <v>0</v>
      </c>
      <c r="DI49" s="71">
        <f t="shared" si="38"/>
        <v>0.66305103904008345</v>
      </c>
      <c r="DJ49" s="72">
        <f t="shared" si="39"/>
        <v>0.95148681413941461</v>
      </c>
      <c r="DK49" s="47">
        <v>0</v>
      </c>
      <c r="DL49" s="47">
        <v>15047</v>
      </c>
      <c r="DM49" s="48">
        <f>DL49+6499.75</f>
        <v>21546.75</v>
      </c>
      <c r="DN49" s="48">
        <f t="shared" si="40"/>
        <v>0</v>
      </c>
      <c r="DO49" s="71">
        <f t="shared" si="41"/>
        <v>0.69834197732836734</v>
      </c>
      <c r="DP49" s="72">
        <f t="shared" si="42"/>
        <v>0.98934895750881513</v>
      </c>
      <c r="DQ49" s="57">
        <v>0</v>
      </c>
      <c r="DR49" s="57">
        <v>233460</v>
      </c>
      <c r="DS49" s="58">
        <v>258079</v>
      </c>
      <c r="DT49" s="71">
        <f t="shared" si="43"/>
        <v>0</v>
      </c>
      <c r="DU49" s="72">
        <f t="shared" si="44"/>
        <v>0</v>
      </c>
      <c r="DV49" s="71">
        <f t="shared" si="45"/>
        <v>0.90460672894733785</v>
      </c>
      <c r="DW49" s="72">
        <f t="shared" si="46"/>
        <v>1.2568042217505486</v>
      </c>
      <c r="DX49" s="57">
        <v>16880</v>
      </c>
      <c r="DY49" s="57">
        <v>133626</v>
      </c>
      <c r="DZ49" s="58">
        <v>200371</v>
      </c>
      <c r="EA49" s="71">
        <f t="shared" si="47"/>
        <v>8.4243727884773745E-2</v>
      </c>
      <c r="EB49" s="72">
        <f t="shared" si="48"/>
        <v>0.294485671325174</v>
      </c>
      <c r="EC49" s="71">
        <f t="shared" si="49"/>
        <v>0.66689291364518821</v>
      </c>
      <c r="ED49" s="72">
        <f t="shared" si="50"/>
        <v>0.95555660965606537</v>
      </c>
      <c r="EE49" s="57">
        <v>0</v>
      </c>
      <c r="EF49" s="57">
        <v>144650</v>
      </c>
      <c r="EG49" s="58">
        <v>151525</v>
      </c>
      <c r="EH49" s="48">
        <f t="shared" si="51"/>
        <v>0</v>
      </c>
      <c r="EI49" s="71">
        <f t="shared" si="52"/>
        <v>0.95462794918330307</v>
      </c>
      <c r="EJ49" s="72">
        <f t="shared" si="53"/>
        <v>1.3561445992298067</v>
      </c>
      <c r="EK49" s="57">
        <v>0</v>
      </c>
      <c r="EL49" s="57">
        <v>4455</v>
      </c>
      <c r="EM49" s="58">
        <v>4457</v>
      </c>
      <c r="EN49" s="48">
        <f t="shared" si="54"/>
        <v>0</v>
      </c>
      <c r="EO49" s="71">
        <f t="shared" si="55"/>
        <v>0.99955126766883551</v>
      </c>
      <c r="EP49" s="72">
        <f t="shared" si="56"/>
        <v>1.5496114390805955</v>
      </c>
      <c r="EQ49" s="56">
        <v>1977000</v>
      </c>
      <c r="ER49" s="59">
        <v>1033800</v>
      </c>
      <c r="ES49" s="58">
        <v>3120600</v>
      </c>
      <c r="ET49" s="68">
        <f t="shared" si="57"/>
        <v>0.63353201307440876</v>
      </c>
      <c r="EU49" s="68">
        <f t="shared" si="105"/>
        <v>0</v>
      </c>
      <c r="EV49" s="68">
        <f t="shared" si="58"/>
        <v>0.33128244568352239</v>
      </c>
      <c r="EW49" s="57">
        <v>789000</v>
      </c>
      <c r="EX49" s="57">
        <v>949000</v>
      </c>
      <c r="EY49" s="58">
        <v>1933600</v>
      </c>
      <c r="EZ49" s="68">
        <f t="shared" si="59"/>
        <v>0.4080471659081506</v>
      </c>
      <c r="FA49" s="68">
        <f t="shared" si="60"/>
        <v>0.69291895069945131</v>
      </c>
      <c r="FB49" s="68">
        <f t="shared" si="61"/>
        <v>0.49079437318990482</v>
      </c>
      <c r="FC49" s="57">
        <v>2000</v>
      </c>
      <c r="FD49" s="57">
        <v>715000</v>
      </c>
      <c r="FE49" s="58">
        <v>789500</v>
      </c>
      <c r="FF49" s="68">
        <f t="shared" si="62"/>
        <v>2.7972027972027972E-3</v>
      </c>
      <c r="FG49" s="68">
        <f t="shared" si="63"/>
        <v>5.2913276307586576E-2</v>
      </c>
      <c r="FH49" s="68">
        <f t="shared" si="106"/>
        <v>0.90563647878404052</v>
      </c>
      <c r="FI49" s="57">
        <v>910000</v>
      </c>
      <c r="FJ49" s="57">
        <v>590100</v>
      </c>
      <c r="FK49" s="58">
        <v>1533700</v>
      </c>
      <c r="FL49" s="68">
        <f t="shared" si="88"/>
        <v>0.59333637608397993</v>
      </c>
      <c r="FM49" s="68">
        <f t="shared" si="64"/>
        <v>0.8792852981249013</v>
      </c>
      <c r="FN49" s="68">
        <f t="shared" si="65"/>
        <v>0.38475581926061159</v>
      </c>
      <c r="FO49" s="46">
        <f t="shared" si="108"/>
        <v>3678000</v>
      </c>
      <c r="FP49" s="46">
        <f t="shared" si="108"/>
        <v>3287900</v>
      </c>
      <c r="FQ49" s="48">
        <f t="shared" si="108"/>
        <v>7377400</v>
      </c>
      <c r="FR49" s="48">
        <v>7181500</v>
      </c>
      <c r="FS49" s="68">
        <f t="shared" si="66"/>
        <v>0.49854962452896684</v>
      </c>
      <c r="FT49" s="68">
        <f t="shared" si="67"/>
        <v>0.78394778589241143</v>
      </c>
      <c r="FU49" s="68">
        <f t="shared" si="107"/>
        <v>0.44567191693550573</v>
      </c>
      <c r="FV49" s="68">
        <f t="shared" si="68"/>
        <v>0.73096260733956919</v>
      </c>
      <c r="FW49" s="57">
        <v>0</v>
      </c>
      <c r="FX49" s="57">
        <v>194790</v>
      </c>
      <c r="FY49" s="58">
        <v>281221</v>
      </c>
      <c r="FZ49" s="48">
        <f t="shared" si="69"/>
        <v>0</v>
      </c>
      <c r="GA49" s="71">
        <f t="shared" si="70"/>
        <v>0.69265808741167978</v>
      </c>
      <c r="GB49" s="68">
        <f t="shared" si="71"/>
        <v>0.98317337803719407</v>
      </c>
      <c r="GC49" s="60"/>
      <c r="GD49" s="60"/>
      <c r="GE49" s="60"/>
      <c r="GF49" s="48"/>
      <c r="GG49" s="68"/>
      <c r="GH49" s="71"/>
      <c r="GI49" s="68"/>
      <c r="GJ49" s="57">
        <v>1420</v>
      </c>
      <c r="GK49" s="57">
        <v>442644</v>
      </c>
      <c r="GL49" s="58">
        <v>452095</v>
      </c>
      <c r="GM49" s="71">
        <f t="shared" si="76"/>
        <v>3.1409327685552814E-3</v>
      </c>
      <c r="GN49" s="68">
        <f t="shared" si="77"/>
        <v>5.6073405235248223E-2</v>
      </c>
      <c r="GO49" s="71">
        <f t="shared" si="78"/>
        <v>0.97909510169322822</v>
      </c>
      <c r="GP49" s="68">
        <f t="shared" si="79"/>
        <v>1.4257025082247554</v>
      </c>
      <c r="GQ49" s="60"/>
      <c r="GR49" s="60"/>
      <c r="GS49" s="60"/>
      <c r="GT49" s="71"/>
      <c r="GU49" s="68"/>
      <c r="GV49" s="71"/>
      <c r="GW49" s="68"/>
      <c r="HA49" s="126"/>
      <c r="HB49" s="126"/>
      <c r="HC49" s="68"/>
    </row>
    <row r="50" spans="1:211" x14ac:dyDescent="0.2">
      <c r="A50" s="16">
        <v>2009</v>
      </c>
      <c r="B50" s="26">
        <v>738</v>
      </c>
      <c r="C50" s="22">
        <v>510</v>
      </c>
      <c r="D50" s="22">
        <v>1794</v>
      </c>
      <c r="E50" s="22">
        <v>928</v>
      </c>
      <c r="F50" s="69">
        <f t="shared" si="87"/>
        <v>3970</v>
      </c>
      <c r="G50" s="23">
        <f t="shared" si="7"/>
        <v>3967.5</v>
      </c>
      <c r="H50" s="1">
        <v>2076</v>
      </c>
      <c r="I50" s="1">
        <v>797</v>
      </c>
      <c r="J50" s="1">
        <v>219</v>
      </c>
      <c r="K50" s="1">
        <v>800</v>
      </c>
      <c r="L50" s="1">
        <v>165</v>
      </c>
      <c r="M50" s="1">
        <v>69</v>
      </c>
      <c r="N50" s="1">
        <v>92</v>
      </c>
      <c r="O50" s="1">
        <v>584</v>
      </c>
      <c r="P50" s="1">
        <v>296</v>
      </c>
      <c r="Q50" s="1">
        <v>167</v>
      </c>
      <c r="R50" s="1">
        <v>141</v>
      </c>
      <c r="S50" s="1">
        <v>143</v>
      </c>
      <c r="T50" s="69">
        <f t="shared" si="89"/>
        <v>747</v>
      </c>
      <c r="U50" s="1">
        <v>224</v>
      </c>
      <c r="V50" s="1">
        <v>98</v>
      </c>
      <c r="W50" s="1">
        <v>667</v>
      </c>
      <c r="X50" s="1">
        <v>112</v>
      </c>
      <c r="Y50" s="1">
        <v>51</v>
      </c>
      <c r="Z50" s="1">
        <v>33</v>
      </c>
      <c r="AA50" s="1">
        <v>57</v>
      </c>
      <c r="AB50" s="69">
        <f t="shared" si="90"/>
        <v>141</v>
      </c>
      <c r="AC50" s="28">
        <v>357.91</v>
      </c>
      <c r="AD50" s="21">
        <v>263.01</v>
      </c>
      <c r="AE50" s="21">
        <v>1310.08</v>
      </c>
      <c r="AF50" s="21">
        <v>346</v>
      </c>
      <c r="AG50" s="41">
        <f t="shared" si="91"/>
        <v>2277</v>
      </c>
      <c r="AH50" s="28">
        <v>1051.5899999999999</v>
      </c>
      <c r="AI50" s="21">
        <v>1818.02</v>
      </c>
      <c r="AJ50" s="21">
        <v>6692.48</v>
      </c>
      <c r="AK50" s="21">
        <v>1179.22</v>
      </c>
      <c r="AL50" s="41">
        <f t="shared" si="92"/>
        <v>10741.31</v>
      </c>
      <c r="AM50" s="33">
        <v>15642</v>
      </c>
      <c r="AN50" s="31">
        <v>40393</v>
      </c>
      <c r="AO50" s="34">
        <f>697.24+42.53+1.05+3.16+7.03</f>
        <v>751.00999999999988</v>
      </c>
      <c r="AP50" s="34">
        <f>4627.39+7.8+311.3+10452.1+5642.99+6373.93+2835.67+258.04</f>
        <v>30509.22</v>
      </c>
      <c r="AQ50" s="22">
        <v>119892</v>
      </c>
      <c r="AR50" s="30" t="e">
        <f>AZ50/#REF!</f>
        <v>#REF!</v>
      </c>
      <c r="AS50" s="74" t="e">
        <f>AY50/#REF!</f>
        <v>#REF!</v>
      </c>
      <c r="AT50" s="13">
        <f>precipitacion!P26</f>
        <v>429.3</v>
      </c>
      <c r="AU50" s="13">
        <f>precipitacion!O26</f>
        <v>1503.6</v>
      </c>
      <c r="AV50" s="13">
        <f>precipitacion!Q26</f>
        <v>211.7</v>
      </c>
      <c r="AW50" s="13">
        <f>precipitacion!R26</f>
        <v>454.9</v>
      </c>
      <c r="AX50" s="13">
        <f>precipitacion!G26</f>
        <v>82.9</v>
      </c>
      <c r="AY50" s="20" t="e">
        <f>#REF!</f>
        <v>#REF!</v>
      </c>
      <c r="AZ50" s="20" t="e">
        <f>#REF!</f>
        <v>#REF!</v>
      </c>
      <c r="BA50" s="56">
        <v>447042.09</v>
      </c>
      <c r="BB50" s="57">
        <v>102650.9</v>
      </c>
      <c r="BC50" s="58">
        <v>585578.99</v>
      </c>
      <c r="BD50" s="72">
        <f t="shared" si="8"/>
        <v>0.76341893687135198</v>
      </c>
      <c r="BE50" s="72">
        <f t="shared" si="9"/>
        <v>1.0628361429524291</v>
      </c>
      <c r="BF50" s="72">
        <f t="shared" si="10"/>
        <v>0.17529812673094708</v>
      </c>
      <c r="BG50" s="72">
        <f t="shared" si="11"/>
        <v>0.43199811949931205</v>
      </c>
      <c r="BH50" s="56">
        <v>317952.49</v>
      </c>
      <c r="BI50" s="57">
        <v>16209.1</v>
      </c>
      <c r="BJ50" s="58">
        <v>335434.51</v>
      </c>
      <c r="BK50" s="71">
        <f t="shared" si="12"/>
        <v>0.94788246444887259</v>
      </c>
      <c r="BL50" s="72">
        <f t="shared" si="13"/>
        <v>1.3404726618167286</v>
      </c>
      <c r="BM50" s="71">
        <f t="shared" si="14"/>
        <v>4.8322696433351478E-2</v>
      </c>
      <c r="BN50" s="72">
        <f t="shared" si="15"/>
        <v>0.22163429972723001</v>
      </c>
      <c r="BO50" s="57">
        <v>28</v>
      </c>
      <c r="BP50" s="57">
        <v>63638</v>
      </c>
      <c r="BQ50" s="58">
        <v>129365</v>
      </c>
      <c r="BR50" s="48">
        <f t="shared" si="16"/>
        <v>2.1644185057782245E-4</v>
      </c>
      <c r="BS50" s="71">
        <f t="shared" si="17"/>
        <v>0.49192594596683803</v>
      </c>
      <c r="BT50" s="72">
        <f t="shared" si="18"/>
        <v>0.77732375842284007</v>
      </c>
      <c r="BU50" s="57">
        <v>0</v>
      </c>
      <c r="BV50" s="57">
        <v>119828.14</v>
      </c>
      <c r="BW50" s="58">
        <v>223647.95</v>
      </c>
      <c r="BX50" s="48">
        <f t="shared" si="19"/>
        <v>0</v>
      </c>
      <c r="BY50" s="71">
        <f t="shared" si="20"/>
        <v>0.53578912751044661</v>
      </c>
      <c r="BZ50" s="72">
        <f t="shared" si="21"/>
        <v>0.82121792219647149</v>
      </c>
      <c r="CA50" s="57">
        <v>0</v>
      </c>
      <c r="CB50" s="57">
        <v>91899</v>
      </c>
      <c r="CC50" s="58">
        <v>208803</v>
      </c>
      <c r="CD50" s="48">
        <f t="shared" si="22"/>
        <v>0</v>
      </c>
      <c r="CE50" s="71">
        <f t="shared" si="23"/>
        <v>0.44012298673869626</v>
      </c>
      <c r="CF50" s="72">
        <f t="shared" si="24"/>
        <v>0.72537710226925511</v>
      </c>
      <c r="CG50" s="57">
        <v>0</v>
      </c>
      <c r="CH50" s="57">
        <v>39238</v>
      </c>
      <c r="CI50" s="58">
        <v>83920</v>
      </c>
      <c r="CJ50" s="48">
        <f t="shared" si="25"/>
        <v>0</v>
      </c>
      <c r="CK50" s="71">
        <f t="shared" si="26"/>
        <v>0.46756434699714011</v>
      </c>
      <c r="CL50" s="72">
        <f t="shared" si="27"/>
        <v>0.75293971745190591</v>
      </c>
      <c r="CM50" s="57">
        <v>0</v>
      </c>
      <c r="CN50" s="57">
        <v>191530.97</v>
      </c>
      <c r="CO50" s="58">
        <v>214592.67</v>
      </c>
      <c r="CP50" s="48">
        <f t="shared" si="28"/>
        <v>0</v>
      </c>
      <c r="CQ50" s="71">
        <f t="shared" si="29"/>
        <v>0.89253267597630426</v>
      </c>
      <c r="CR50" s="72">
        <f t="shared" si="30"/>
        <v>1.2367989765275933</v>
      </c>
      <c r="CS50" s="47">
        <v>0</v>
      </c>
      <c r="CT50" s="47">
        <v>37568.51</v>
      </c>
      <c r="CU50" s="48">
        <v>54966.76</v>
      </c>
      <c r="CV50" s="48">
        <f t="shared" si="31"/>
        <v>0</v>
      </c>
      <c r="CW50" s="72">
        <f t="shared" si="32"/>
        <v>0.68347688675847007</v>
      </c>
      <c r="CX50" s="72">
        <f t="shared" si="33"/>
        <v>0.97326427683132521</v>
      </c>
      <c r="CY50" s="57">
        <v>0</v>
      </c>
      <c r="CZ50" s="57">
        <v>23881.62</v>
      </c>
      <c r="DA50" s="58">
        <v>69926.47</v>
      </c>
      <c r="DB50" s="48">
        <f t="shared" si="34"/>
        <v>0</v>
      </c>
      <c r="DC50" s="71">
        <f t="shared" si="35"/>
        <v>0.34152474735246896</v>
      </c>
      <c r="DD50" s="72">
        <f t="shared" si="36"/>
        <v>0.62414192073843233</v>
      </c>
      <c r="DE50" s="47">
        <v>0</v>
      </c>
      <c r="DF50" s="47">
        <v>40023</v>
      </c>
      <c r="DG50" s="48"/>
      <c r="DH50" s="48"/>
      <c r="DI50" s="71"/>
      <c r="DJ50" s="72"/>
      <c r="DK50" s="47"/>
      <c r="DL50" s="47"/>
      <c r="DM50" s="48"/>
      <c r="DN50" s="48"/>
      <c r="DO50" s="71"/>
      <c r="DP50" s="72"/>
      <c r="DQ50" s="57">
        <v>0</v>
      </c>
      <c r="DR50" s="57">
        <v>129926</v>
      </c>
      <c r="DS50" s="58">
        <v>152511</v>
      </c>
      <c r="DT50" s="71">
        <f t="shared" si="43"/>
        <v>0</v>
      </c>
      <c r="DU50" s="72">
        <f t="shared" si="44"/>
        <v>0</v>
      </c>
      <c r="DV50" s="71">
        <f t="shared" si="45"/>
        <v>0.85191232107847958</v>
      </c>
      <c r="DW50" s="72">
        <f t="shared" si="46"/>
        <v>1.1757817754455782</v>
      </c>
      <c r="DX50" s="57">
        <v>8858</v>
      </c>
      <c r="DY50" s="57">
        <v>122996</v>
      </c>
      <c r="DZ50" s="58">
        <v>184206</v>
      </c>
      <c r="EA50" s="71">
        <f t="shared" si="47"/>
        <v>4.808746729205346E-2</v>
      </c>
      <c r="EB50" s="72">
        <f t="shared" si="48"/>
        <v>0.22108520997631778</v>
      </c>
      <c r="EC50" s="71">
        <f t="shared" si="49"/>
        <v>0.66770897799203066</v>
      </c>
      <c r="ED50" s="72">
        <f t="shared" si="50"/>
        <v>0.95642258959252602</v>
      </c>
      <c r="EE50" s="57">
        <v>0</v>
      </c>
      <c r="EF50" s="57">
        <v>92825</v>
      </c>
      <c r="EG50" s="58">
        <v>100797</v>
      </c>
      <c r="EH50" s="48">
        <f t="shared" si="51"/>
        <v>0</v>
      </c>
      <c r="EI50" s="71">
        <f t="shared" si="52"/>
        <v>0.92091034455390541</v>
      </c>
      <c r="EJ50" s="72">
        <f t="shared" si="53"/>
        <v>1.2857219457983886</v>
      </c>
      <c r="EK50" s="57">
        <v>0</v>
      </c>
      <c r="EL50" s="57">
        <v>9662</v>
      </c>
      <c r="EM50" s="58">
        <v>9991</v>
      </c>
      <c r="EN50" s="48">
        <f t="shared" si="54"/>
        <v>0</v>
      </c>
      <c r="EO50" s="71">
        <f t="shared" si="55"/>
        <v>0.96707036332699425</v>
      </c>
      <c r="EP50" s="72">
        <f t="shared" si="56"/>
        <v>1.3883200928378852</v>
      </c>
      <c r="EQ50" s="56">
        <v>1655745</v>
      </c>
      <c r="ER50" s="59">
        <v>754518</v>
      </c>
      <c r="ES50" s="58">
        <v>2470373.23</v>
      </c>
      <c r="ET50" s="68">
        <f t="shared" si="57"/>
        <v>0.67024082834641141</v>
      </c>
      <c r="EU50" s="68">
        <f t="shared" si="105"/>
        <v>0</v>
      </c>
      <c r="EV50" s="68">
        <f t="shared" si="58"/>
        <v>0.30542672290858658</v>
      </c>
      <c r="EW50" s="57">
        <v>662880</v>
      </c>
      <c r="EX50" s="57">
        <v>712221</v>
      </c>
      <c r="EY50" s="58">
        <v>1437744.2</v>
      </c>
      <c r="EZ50" s="68">
        <f t="shared" si="59"/>
        <v>0.46105558972173216</v>
      </c>
      <c r="FA50" s="68">
        <f t="shared" si="60"/>
        <v>0.74641426809277422</v>
      </c>
      <c r="FB50" s="68">
        <f t="shared" si="61"/>
        <v>0.4953739336941857</v>
      </c>
      <c r="FC50" s="57">
        <v>1670</v>
      </c>
      <c r="FD50" s="57">
        <v>522050</v>
      </c>
      <c r="FE50" s="58">
        <v>562860</v>
      </c>
      <c r="FF50" s="68">
        <f t="shared" si="62"/>
        <v>3.1989273058136195E-3</v>
      </c>
      <c r="FG50" s="68">
        <f t="shared" si="63"/>
        <v>5.6589258545037033E-2</v>
      </c>
      <c r="FH50" s="68">
        <f t="shared" si="106"/>
        <v>0.92749529190207158</v>
      </c>
      <c r="FI50" s="57">
        <v>764000</v>
      </c>
      <c r="FJ50" s="57">
        <v>887510</v>
      </c>
      <c r="FK50" s="58">
        <v>1669690</v>
      </c>
      <c r="FL50" s="68">
        <f t="shared" si="88"/>
        <v>0.45756996807790667</v>
      </c>
      <c r="FM50" s="68">
        <f t="shared" si="64"/>
        <v>0.74291704100060507</v>
      </c>
      <c r="FN50" s="68">
        <f t="shared" si="65"/>
        <v>0.53154178320526568</v>
      </c>
      <c r="FO50" s="46">
        <f t="shared" si="108"/>
        <v>3084295</v>
      </c>
      <c r="FP50" s="46">
        <f t="shared" si="108"/>
        <v>2876299</v>
      </c>
      <c r="FQ50" s="48">
        <f t="shared" si="108"/>
        <v>6140667.4299999997</v>
      </c>
      <c r="FR50" s="48">
        <v>7377400</v>
      </c>
      <c r="FS50" s="68">
        <f t="shared" si="66"/>
        <v>0.50227357777621906</v>
      </c>
      <c r="FT50" s="68">
        <f t="shared" si="67"/>
        <v>0.78767174900872561</v>
      </c>
      <c r="FU50" s="68">
        <f t="shared" si="107"/>
        <v>0.46840168968408052</v>
      </c>
      <c r="FV50" s="68">
        <f t="shared" si="68"/>
        <v>0.75377878223431494</v>
      </c>
      <c r="FW50" s="57">
        <v>0</v>
      </c>
      <c r="FX50" s="57">
        <v>171217.2</v>
      </c>
      <c r="FY50" s="58">
        <v>310036.39</v>
      </c>
      <c r="FZ50" s="48">
        <f t="shared" si="69"/>
        <v>0</v>
      </c>
      <c r="GA50" s="71">
        <f t="shared" si="70"/>
        <v>0.5522487215129811</v>
      </c>
      <c r="GB50" s="68">
        <f t="shared" si="71"/>
        <v>0.83774244542791176</v>
      </c>
      <c r="GC50" s="57">
        <v>5205.6000000000004</v>
      </c>
      <c r="GD50" s="57">
        <v>60001.1</v>
      </c>
      <c r="GE50" s="58">
        <v>69239.62</v>
      </c>
      <c r="GF50" s="48">
        <f t="shared" si="72"/>
        <v>7.5182388349329485E-2</v>
      </c>
      <c r="GG50" s="68">
        <f t="shared" si="73"/>
        <v>0.27775155402597118</v>
      </c>
      <c r="GH50" s="71">
        <f t="shared" si="74"/>
        <v>0.8665717691691549</v>
      </c>
      <c r="GI50" s="68">
        <f t="shared" si="75"/>
        <v>1.1968645909891591</v>
      </c>
      <c r="GJ50" s="57">
        <v>3027</v>
      </c>
      <c r="GK50" s="57">
        <v>104524</v>
      </c>
      <c r="GL50" s="58">
        <v>113653.75999999999</v>
      </c>
      <c r="GM50" s="71">
        <f t="shared" si="76"/>
        <v>2.6633522727272728E-2</v>
      </c>
      <c r="GN50" s="68">
        <f t="shared" si="77"/>
        <v>0.16393104696928407</v>
      </c>
      <c r="GO50" s="71">
        <f t="shared" si="78"/>
        <v>0.91967040949635104</v>
      </c>
      <c r="GP50" s="68">
        <f t="shared" si="79"/>
        <v>1.2834329012497179</v>
      </c>
      <c r="GQ50" s="57">
        <v>107170</v>
      </c>
      <c r="GR50" s="57">
        <v>190726</v>
      </c>
      <c r="GS50" s="58">
        <v>300920</v>
      </c>
      <c r="GT50" s="71">
        <f t="shared" si="80"/>
        <v>0.35614116708759802</v>
      </c>
      <c r="GU50" s="68">
        <f t="shared" si="81"/>
        <v>0.63947672401217526</v>
      </c>
      <c r="GV50" s="71">
        <f t="shared" si="82"/>
        <v>0.63380965040542336</v>
      </c>
      <c r="GW50" s="68">
        <f t="shared" si="83"/>
        <v>0.92085884210495006</v>
      </c>
      <c r="GX50" s="40">
        <v>115402.6</v>
      </c>
      <c r="GY50" s="40">
        <v>355251.1</v>
      </c>
      <c r="GZ50">
        <v>483813.38</v>
      </c>
      <c r="HA50" s="126">
        <f t="shared" si="84"/>
        <v>0.23852709488935589</v>
      </c>
      <c r="HB50" s="126">
        <f t="shared" si="85"/>
        <v>0.73427299592251871</v>
      </c>
      <c r="HC50" s="68">
        <f t="shared" si="86"/>
        <v>1.0292202676067008</v>
      </c>
    </row>
    <row r="51" spans="1:211" ht="15" x14ac:dyDescent="0.25">
      <c r="A51" s="16">
        <v>2010</v>
      </c>
      <c r="B51" s="26">
        <v>925</v>
      </c>
      <c r="C51" s="22">
        <v>471</v>
      </c>
      <c r="D51" s="22">
        <v>1416</v>
      </c>
      <c r="E51" s="22">
        <v>1040</v>
      </c>
      <c r="F51" s="69">
        <f t="shared" si="87"/>
        <v>3852</v>
      </c>
      <c r="G51" s="23">
        <f t="shared" si="7"/>
        <v>3849.5000000000005</v>
      </c>
      <c r="H51" s="1">
        <v>1862</v>
      </c>
      <c r="I51" s="1">
        <v>764</v>
      </c>
      <c r="J51" s="1">
        <v>140</v>
      </c>
      <c r="K51" s="1">
        <v>293</v>
      </c>
      <c r="L51" s="1">
        <v>46</v>
      </c>
      <c r="M51" s="1">
        <v>45</v>
      </c>
      <c r="N51" s="1">
        <v>45</v>
      </c>
      <c r="O51" s="1">
        <v>162</v>
      </c>
      <c r="P51" s="1">
        <v>179</v>
      </c>
      <c r="Q51" s="1">
        <v>109</v>
      </c>
      <c r="R51" s="1">
        <v>92</v>
      </c>
      <c r="S51" s="1">
        <v>95</v>
      </c>
      <c r="T51" s="69">
        <f t="shared" si="89"/>
        <v>475</v>
      </c>
      <c r="U51" s="1">
        <v>186</v>
      </c>
      <c r="V51" s="1">
        <v>82</v>
      </c>
      <c r="W51" s="1">
        <v>598</v>
      </c>
      <c r="X51" s="1">
        <v>114</v>
      </c>
      <c r="Y51" s="1">
        <v>29</v>
      </c>
      <c r="Z51" s="1">
        <v>46</v>
      </c>
      <c r="AA51" s="1">
        <v>41</v>
      </c>
      <c r="AB51" s="69">
        <f t="shared" si="90"/>
        <v>116</v>
      </c>
      <c r="AC51" s="28">
        <v>1394.1</v>
      </c>
      <c r="AD51" s="21">
        <v>278.41000000000003</v>
      </c>
      <c r="AE51" s="21">
        <v>831.92</v>
      </c>
      <c r="AF51" s="21">
        <v>530.54999999999995</v>
      </c>
      <c r="AG51" s="41">
        <f t="shared" si="91"/>
        <v>3034.9799999999996</v>
      </c>
      <c r="AH51" s="28">
        <v>3408.1</v>
      </c>
      <c r="AI51" s="21">
        <v>1027.74</v>
      </c>
      <c r="AJ51" s="21">
        <v>9079.3700000000008</v>
      </c>
      <c r="AK51" s="21">
        <v>1292.1300000000001</v>
      </c>
      <c r="AL51" s="41">
        <f t="shared" si="92"/>
        <v>14807.34</v>
      </c>
      <c r="AM51" s="33">
        <v>11722</v>
      </c>
      <c r="AN51" s="31">
        <v>10185</v>
      </c>
      <c r="AO51" s="34">
        <f>1318.75+1.35+5.98+0.38+18.63</f>
        <v>1345.0900000000001</v>
      </c>
      <c r="AP51" s="70">
        <f>287.28+1.85+33.23+3326.32+347.89+1884.88+2.63+325.59</f>
        <v>6209.670000000001</v>
      </c>
      <c r="AQ51" s="22">
        <v>54770</v>
      </c>
      <c r="AR51" s="30" t="e">
        <f>AZ51/#REF!</f>
        <v>#REF!</v>
      </c>
      <c r="AS51" s="74" t="e">
        <f>AY51/#REF!</f>
        <v>#REF!</v>
      </c>
      <c r="AT51" s="13">
        <f>precipitacion!P27</f>
        <v>441.1</v>
      </c>
      <c r="AU51" s="13">
        <f>precipitacion!O27</f>
        <v>1531.5</v>
      </c>
      <c r="AV51" s="13">
        <f>precipitacion!Q27</f>
        <v>132</v>
      </c>
      <c r="AW51" s="13">
        <f>precipitacion!R27</f>
        <v>624.4</v>
      </c>
      <c r="AX51" s="13">
        <f>precipitacion!G27</f>
        <v>113.3</v>
      </c>
      <c r="AY51" s="20" t="e">
        <f>#REF!</f>
        <v>#REF!</v>
      </c>
      <c r="AZ51" s="20" t="e">
        <f>#REF!</f>
        <v>#REF!</v>
      </c>
      <c r="BA51" s="61">
        <v>627024</v>
      </c>
      <c r="BB51" s="17">
        <v>79910</v>
      </c>
      <c r="BC51" s="62">
        <v>740076</v>
      </c>
      <c r="BD51" s="72">
        <f t="shared" si="8"/>
        <v>0.84724271561299114</v>
      </c>
      <c r="BE51" s="72">
        <f t="shared" si="9"/>
        <v>1.1692504058731219</v>
      </c>
      <c r="BF51" s="72">
        <f t="shared" si="10"/>
        <v>0.10797539712137673</v>
      </c>
      <c r="BG51" s="72">
        <f t="shared" si="11"/>
        <v>0.3348167490659012</v>
      </c>
      <c r="BH51" s="61">
        <v>420845</v>
      </c>
      <c r="BI51" s="63">
        <v>31038</v>
      </c>
      <c r="BJ51" s="64">
        <v>456207</v>
      </c>
      <c r="BK51" s="71">
        <f t="shared" si="12"/>
        <v>0.92248694123500952</v>
      </c>
      <c r="BL51" s="72">
        <f t="shared" si="13"/>
        <v>1.2886563282999244</v>
      </c>
      <c r="BM51" s="71">
        <f t="shared" si="14"/>
        <v>6.8034905207504492E-2</v>
      </c>
      <c r="BN51" s="72">
        <f t="shared" si="15"/>
        <v>0.2638870591542572</v>
      </c>
      <c r="BO51" s="63">
        <v>0</v>
      </c>
      <c r="BP51" s="63">
        <v>92551</v>
      </c>
      <c r="BQ51" s="64">
        <v>125836</v>
      </c>
      <c r="BR51" s="48">
        <f t="shared" si="16"/>
        <v>0</v>
      </c>
      <c r="BS51" s="71">
        <f t="shared" si="17"/>
        <v>0.73548904923869163</v>
      </c>
      <c r="BT51" s="72">
        <f t="shared" si="18"/>
        <v>1.0305977750384179</v>
      </c>
      <c r="BU51" s="63">
        <v>0</v>
      </c>
      <c r="BV51" s="63">
        <v>146600</v>
      </c>
      <c r="BW51" s="64">
        <v>238808</v>
      </c>
      <c r="BX51" s="48">
        <f t="shared" si="19"/>
        <v>0</v>
      </c>
      <c r="BY51" s="71">
        <f t="shared" si="20"/>
        <v>0.61388228200060302</v>
      </c>
      <c r="BZ51" s="72">
        <f t="shared" si="21"/>
        <v>0.90028880659718935</v>
      </c>
      <c r="CA51" s="63">
        <v>25</v>
      </c>
      <c r="CB51" s="63">
        <v>45170</v>
      </c>
      <c r="CC51" s="64">
        <v>150253</v>
      </c>
      <c r="CD51" s="48">
        <f t="shared" si="22"/>
        <v>1.663860288979255E-4</v>
      </c>
      <c r="CE51" s="71">
        <f t="shared" si="23"/>
        <v>0.30062627701277178</v>
      </c>
      <c r="CF51" s="72">
        <f t="shared" si="24"/>
        <v>0.58032286115389964</v>
      </c>
      <c r="CG51" s="59">
        <v>0</v>
      </c>
      <c r="CH51" s="59">
        <v>30204</v>
      </c>
      <c r="CI51" s="64">
        <v>104528</v>
      </c>
      <c r="CJ51" s="48">
        <f t="shared" si="25"/>
        <v>0</v>
      </c>
      <c r="CK51" s="71">
        <f t="shared" si="26"/>
        <v>0.2889560691872034</v>
      </c>
      <c r="CL51" s="72">
        <f t="shared" si="27"/>
        <v>0.56752458288620033</v>
      </c>
      <c r="CM51" s="59">
        <v>0</v>
      </c>
      <c r="CN51" s="59">
        <v>212096</v>
      </c>
      <c r="CO51" s="64">
        <v>234199</v>
      </c>
      <c r="CP51" s="48">
        <f t="shared" si="28"/>
        <v>0</v>
      </c>
      <c r="CQ51" s="71">
        <f t="shared" si="29"/>
        <v>0.90562299582833405</v>
      </c>
      <c r="CR51" s="72">
        <f t="shared" si="30"/>
        <v>1.2585381387247019</v>
      </c>
      <c r="CS51" s="47">
        <v>0</v>
      </c>
      <c r="CT51" s="47">
        <v>44266</v>
      </c>
      <c r="CU51" s="48">
        <v>56590</v>
      </c>
      <c r="CV51" s="48">
        <f t="shared" si="31"/>
        <v>0</v>
      </c>
      <c r="CW51" s="72">
        <f t="shared" si="32"/>
        <v>0.7822230075985156</v>
      </c>
      <c r="CX51" s="72">
        <f t="shared" si="33"/>
        <v>1.0852791559279422</v>
      </c>
      <c r="CY51" s="59">
        <v>0</v>
      </c>
      <c r="CZ51" s="59">
        <v>13729</v>
      </c>
      <c r="DA51" s="64">
        <v>38351</v>
      </c>
      <c r="DB51" s="48">
        <f t="shared" si="34"/>
        <v>0</v>
      </c>
      <c r="DC51" s="71">
        <f t="shared" si="35"/>
        <v>0.35798284268989072</v>
      </c>
      <c r="DD51" s="72">
        <f t="shared" si="36"/>
        <v>0.64139860775214053</v>
      </c>
      <c r="DE51" s="47">
        <v>0</v>
      </c>
      <c r="DF51" s="47">
        <v>36388</v>
      </c>
      <c r="DG51" s="48">
        <v>53053</v>
      </c>
      <c r="DH51" s="48">
        <f t="shared" si="37"/>
        <v>0</v>
      </c>
      <c r="DI51" s="71">
        <f t="shared" si="38"/>
        <v>0.68588015757827081</v>
      </c>
      <c r="DJ51" s="72">
        <f t="shared" si="39"/>
        <v>0.97585042439784908</v>
      </c>
      <c r="DK51" s="47">
        <v>0</v>
      </c>
      <c r="DL51" s="47">
        <v>10203</v>
      </c>
      <c r="DM51" s="48">
        <v>11011</v>
      </c>
      <c r="DN51" s="48">
        <f t="shared" si="40"/>
        <v>0</v>
      </c>
      <c r="DO51" s="71">
        <f t="shared" si="41"/>
        <v>0.92661883570974479</v>
      </c>
      <c r="DP51" s="72">
        <f t="shared" si="42"/>
        <v>1.2964792828982159</v>
      </c>
      <c r="DQ51" s="63">
        <v>55</v>
      </c>
      <c r="DR51" s="63">
        <v>165786</v>
      </c>
      <c r="DS51" s="64">
        <v>187783</v>
      </c>
      <c r="DT51" s="71">
        <f t="shared" si="43"/>
        <v>2.9289126278736629E-4</v>
      </c>
      <c r="DU51" s="72">
        <f t="shared" si="44"/>
        <v>1.7114901762858067E-2</v>
      </c>
      <c r="DV51" s="71">
        <f t="shared" si="45"/>
        <v>0.88285947077211457</v>
      </c>
      <c r="DW51" s="72">
        <f t="shared" si="46"/>
        <v>1.2214773574621518</v>
      </c>
      <c r="DX51" s="63">
        <v>13204</v>
      </c>
      <c r="DY51" s="63">
        <v>149860</v>
      </c>
      <c r="DZ51" s="64">
        <v>223636</v>
      </c>
      <c r="EA51" s="71">
        <f t="shared" si="47"/>
        <v>5.9042372426621831E-2</v>
      </c>
      <c r="EB51" s="72">
        <f t="shared" si="48"/>
        <v>0.24544329981174562</v>
      </c>
      <c r="EC51" s="71">
        <f t="shared" si="49"/>
        <v>0.67010678066143192</v>
      </c>
      <c r="ED51" s="72">
        <f t="shared" si="50"/>
        <v>0.95897016188236384</v>
      </c>
      <c r="EE51" s="63">
        <v>0</v>
      </c>
      <c r="EF51" s="63">
        <v>102009</v>
      </c>
      <c r="EG51" s="64">
        <v>104005</v>
      </c>
      <c r="EH51" s="48">
        <f t="shared" si="51"/>
        <v>0</v>
      </c>
      <c r="EI51" s="71">
        <f t="shared" si="52"/>
        <v>0.98080861497043414</v>
      </c>
      <c r="EJ51" s="72">
        <f t="shared" si="53"/>
        <v>1.4318163746484778</v>
      </c>
      <c r="EK51" s="63">
        <v>0</v>
      </c>
      <c r="EL51" s="63">
        <v>39225</v>
      </c>
      <c r="EM51" s="64">
        <v>39225</v>
      </c>
      <c r="EN51" s="48">
        <f t="shared" si="54"/>
        <v>0</v>
      </c>
      <c r="EO51" s="71">
        <f t="shared" si="55"/>
        <v>1</v>
      </c>
      <c r="EP51" s="72">
        <f t="shared" si="56"/>
        <v>1.5707963267948966</v>
      </c>
      <c r="EQ51" s="61">
        <v>1904136</v>
      </c>
      <c r="ER51" s="63">
        <v>818074</v>
      </c>
      <c r="ES51" s="64">
        <v>2781735</v>
      </c>
      <c r="ET51" s="68">
        <f t="shared" si="57"/>
        <v>0.6845138016381862</v>
      </c>
      <c r="EU51" s="68">
        <f t="shared" si="105"/>
        <v>0</v>
      </c>
      <c r="EV51" s="68">
        <f t="shared" si="58"/>
        <v>0.29408768268724378</v>
      </c>
      <c r="EW51" s="63">
        <v>762410</v>
      </c>
      <c r="EX51" s="63">
        <v>770797</v>
      </c>
      <c r="EY51" s="64">
        <v>1641706</v>
      </c>
      <c r="EZ51" s="68">
        <f t="shared" si="59"/>
        <v>0.46440105597469949</v>
      </c>
      <c r="FA51" s="68">
        <f t="shared" si="60"/>
        <v>0.74976907455686181</v>
      </c>
      <c r="FB51" s="68">
        <f t="shared" si="61"/>
        <v>0.46950976606042738</v>
      </c>
      <c r="FC51" s="63">
        <v>1750</v>
      </c>
      <c r="FD51" s="63">
        <v>559520</v>
      </c>
      <c r="FE51" s="64">
        <v>599470</v>
      </c>
      <c r="FF51" s="68">
        <f t="shared" si="62"/>
        <v>3.127680869316557E-3</v>
      </c>
      <c r="FG51" s="68">
        <f t="shared" si="63"/>
        <v>5.595486677200668E-2</v>
      </c>
      <c r="FH51" s="68">
        <f t="shared" si="106"/>
        <v>0.93335779938946073</v>
      </c>
      <c r="FI51" s="63">
        <v>878600</v>
      </c>
      <c r="FJ51" s="63">
        <v>957440</v>
      </c>
      <c r="FK51" s="64">
        <v>1853786</v>
      </c>
      <c r="FL51" s="68">
        <f t="shared" si="88"/>
        <v>0.47394898871822316</v>
      </c>
      <c r="FM51" s="68">
        <f t="shared" si="64"/>
        <v>0.75933535125830998</v>
      </c>
      <c r="FN51" s="68">
        <f t="shared" si="65"/>
        <v>0.51647816954060499</v>
      </c>
      <c r="FO51" s="46">
        <f t="shared" si="108"/>
        <v>3546896</v>
      </c>
      <c r="FP51" s="46">
        <f t="shared" si="108"/>
        <v>3105831</v>
      </c>
      <c r="FQ51" s="48">
        <f t="shared" si="108"/>
        <v>6876697</v>
      </c>
      <c r="FR51" s="48">
        <v>6140667.4299999997</v>
      </c>
      <c r="FS51" s="68">
        <f t="shared" si="66"/>
        <v>0.51578483100244199</v>
      </c>
      <c r="FT51" s="68">
        <f t="shared" si="67"/>
        <v>0.80118561755154183</v>
      </c>
      <c r="FU51" s="68">
        <f t="shared" si="107"/>
        <v>0.45164575376812444</v>
      </c>
      <c r="FV51" s="68">
        <f t="shared" si="68"/>
        <v>0.73696822572951881</v>
      </c>
      <c r="FW51" s="63">
        <v>0</v>
      </c>
      <c r="FX51" s="63">
        <v>165461</v>
      </c>
      <c r="FY51" s="64">
        <v>284309</v>
      </c>
      <c r="FZ51" s="48">
        <f t="shared" si="69"/>
        <v>0</v>
      </c>
      <c r="GA51" s="71">
        <f t="shared" si="70"/>
        <v>0.58197594870369918</v>
      </c>
      <c r="GB51" s="68">
        <f t="shared" si="71"/>
        <v>0.86774588218318582</v>
      </c>
      <c r="GC51" s="65"/>
      <c r="GD51" s="65"/>
      <c r="GE51" s="66"/>
      <c r="GF51" s="66"/>
      <c r="GG51" s="66"/>
      <c r="GH51" s="71"/>
      <c r="GI51" s="71"/>
      <c r="GJ51" s="17">
        <v>0</v>
      </c>
      <c r="GK51" s="17">
        <v>360411</v>
      </c>
      <c r="GL51" s="64">
        <v>367164</v>
      </c>
      <c r="GM51" s="71">
        <f t="shared" si="76"/>
        <v>0</v>
      </c>
      <c r="GN51" s="68">
        <f t="shared" si="77"/>
        <v>0</v>
      </c>
      <c r="GO51" s="71">
        <f t="shared" si="78"/>
        <v>0.98160767395496296</v>
      </c>
      <c r="GP51" s="68">
        <f t="shared" si="79"/>
        <v>1.4347588150643467</v>
      </c>
      <c r="GQ51" s="17">
        <v>115937</v>
      </c>
      <c r="GR51" s="17">
        <v>427271</v>
      </c>
      <c r="GS51" s="64">
        <v>554299</v>
      </c>
      <c r="GT51" s="71">
        <f t="shared" si="80"/>
        <v>0.20915967735824889</v>
      </c>
      <c r="GU51" s="68">
        <f t="shared" si="81"/>
        <v>0.47500150241650235</v>
      </c>
      <c r="GV51" s="71">
        <f t="shared" si="82"/>
        <v>0.77083126615779574</v>
      </c>
      <c r="GW51" s="68">
        <f t="shared" si="83"/>
        <v>1.0716049902616627</v>
      </c>
    </row>
    <row r="52" spans="1:211" ht="15" x14ac:dyDescent="0.25">
      <c r="A52" s="16">
        <v>2011</v>
      </c>
      <c r="B52" s="26">
        <v>1177</v>
      </c>
      <c r="C52" s="22">
        <v>1040</v>
      </c>
      <c r="D52" s="22">
        <v>2609</v>
      </c>
      <c r="E52" s="22">
        <v>1516</v>
      </c>
      <c r="F52" s="69">
        <f t="shared" si="87"/>
        <v>6342</v>
      </c>
      <c r="G52" s="23">
        <f t="shared" si="7"/>
        <v>6339.5</v>
      </c>
      <c r="H52" s="1">
        <v>1793</v>
      </c>
      <c r="I52" s="1">
        <v>775</v>
      </c>
      <c r="J52" s="1">
        <v>229</v>
      </c>
      <c r="K52" s="1">
        <v>655</v>
      </c>
      <c r="L52" s="1">
        <v>96</v>
      </c>
      <c r="M52" s="1">
        <v>79</v>
      </c>
      <c r="N52" s="1">
        <v>91</v>
      </c>
      <c r="O52" s="1">
        <v>470</v>
      </c>
      <c r="P52" s="1">
        <v>198</v>
      </c>
      <c r="Q52" s="1">
        <v>122</v>
      </c>
      <c r="R52" s="1">
        <v>115</v>
      </c>
      <c r="S52" s="1">
        <v>151</v>
      </c>
      <c r="T52" s="69">
        <f t="shared" si="89"/>
        <v>586</v>
      </c>
      <c r="U52" s="1">
        <v>219</v>
      </c>
      <c r="V52" s="1">
        <v>124</v>
      </c>
      <c r="W52" s="1">
        <v>559</v>
      </c>
      <c r="X52" s="1">
        <v>82</v>
      </c>
      <c r="Y52" s="1">
        <v>46</v>
      </c>
      <c r="Z52" s="1">
        <v>43</v>
      </c>
      <c r="AA52" s="1">
        <v>51</v>
      </c>
      <c r="AB52" s="69">
        <f t="shared" si="90"/>
        <v>140</v>
      </c>
      <c r="AC52" s="28">
        <v>1341.49</v>
      </c>
      <c r="AD52" s="21">
        <v>1158.7</v>
      </c>
      <c r="AE52" s="21">
        <v>5176.29</v>
      </c>
      <c r="AF52" s="21">
        <v>1593.9</v>
      </c>
      <c r="AG52" s="41">
        <f t="shared" si="91"/>
        <v>9270.3799999999992</v>
      </c>
      <c r="AH52" s="28">
        <v>2344.54</v>
      </c>
      <c r="AI52" s="21">
        <v>3367.67</v>
      </c>
      <c r="AJ52" s="21">
        <v>33134.89</v>
      </c>
      <c r="AK52" s="21">
        <v>3363.09</v>
      </c>
      <c r="AL52" s="41">
        <f t="shared" si="92"/>
        <v>42210.19</v>
      </c>
      <c r="AM52" s="33">
        <v>16414</v>
      </c>
      <c r="AN52" s="31">
        <v>18848</v>
      </c>
      <c r="AO52" s="34">
        <f>1796.17+51.47+75.28+2.02+86.92</f>
        <v>2011.8600000000001</v>
      </c>
      <c r="AP52" s="34">
        <f>873.7+30.02+432.91+3019.83+490.72+5288.06+7.03+942.49</f>
        <v>11084.760000000002</v>
      </c>
      <c r="AQ52" s="22">
        <v>102162</v>
      </c>
      <c r="AR52" s="30" t="e">
        <f>AZ52/#REF!</f>
        <v>#REF!</v>
      </c>
      <c r="AS52" s="74" t="e">
        <f>AY52/#REF!</f>
        <v>#REF!</v>
      </c>
      <c r="AT52" s="13">
        <f>precipitacion!P28</f>
        <v>398.8</v>
      </c>
      <c r="AU52" s="13">
        <f>precipitacion!O28</f>
        <v>1499.4</v>
      </c>
      <c r="AV52" s="13">
        <f>precipitacion!Q28</f>
        <v>218.4</v>
      </c>
      <c r="AW52" s="13">
        <f>precipitacion!R28</f>
        <v>669.4</v>
      </c>
      <c r="AX52" s="13">
        <f>precipitacion!G28</f>
        <v>16.600000000000001</v>
      </c>
      <c r="AY52" s="20" t="e">
        <f>#REF!</f>
        <v>#REF!</v>
      </c>
      <c r="AZ52" s="20" t="e">
        <f>#REF!</f>
        <v>#REF!</v>
      </c>
      <c r="BA52" s="49">
        <v>605402.91</v>
      </c>
      <c r="BB52" s="19">
        <v>162282.79999999999</v>
      </c>
      <c r="BC52" s="50">
        <v>814649.32</v>
      </c>
      <c r="BD52" s="72">
        <f t="shared" si="8"/>
        <v>0.74314541869377615</v>
      </c>
      <c r="BE52" s="72">
        <f t="shared" si="9"/>
        <v>1.0393180809954252</v>
      </c>
      <c r="BF52" s="72">
        <f t="shared" si="10"/>
        <v>0.19920571467487386</v>
      </c>
      <c r="BG52" s="72">
        <f t="shared" si="11"/>
        <v>0.46265401126335032</v>
      </c>
      <c r="BH52" s="49">
        <f>437783.7+690</f>
        <v>438473.7</v>
      </c>
      <c r="BI52" s="19">
        <v>80677.62</v>
      </c>
      <c r="BJ52" s="50">
        <v>521824.32</v>
      </c>
      <c r="BK52" s="71">
        <f t="shared" si="12"/>
        <v>0.84027072559592475</v>
      </c>
      <c r="BL52" s="72">
        <f t="shared" si="13"/>
        <v>1.1596488395883382</v>
      </c>
      <c r="BM52" s="71">
        <f t="shared" si="14"/>
        <v>0.15460686079176991</v>
      </c>
      <c r="BN52" s="72">
        <f t="shared" si="15"/>
        <v>0.4041102024190234</v>
      </c>
      <c r="BO52" s="19">
        <v>0</v>
      </c>
      <c r="BP52" s="19">
        <v>129745</v>
      </c>
      <c r="BQ52" s="50">
        <v>188690</v>
      </c>
      <c r="BR52" s="48">
        <f t="shared" si="16"/>
        <v>0</v>
      </c>
      <c r="BS52" s="71">
        <f t="shared" si="17"/>
        <v>0.68760930626954264</v>
      </c>
      <c r="BT52" s="72">
        <f t="shared" si="18"/>
        <v>0.977714467105951</v>
      </c>
      <c r="BU52" s="19">
        <v>0</v>
      </c>
      <c r="BV52" s="19">
        <v>138145.75</v>
      </c>
      <c r="BW52" s="50">
        <v>191157.5</v>
      </c>
      <c r="BX52" s="48">
        <f t="shared" si="19"/>
        <v>0</v>
      </c>
      <c r="BY52" s="71">
        <f t="shared" si="20"/>
        <v>0.72268025057871133</v>
      </c>
      <c r="BZ52" s="72">
        <f t="shared" si="21"/>
        <v>1.0161865919297492</v>
      </c>
      <c r="CA52" s="19">
        <v>0</v>
      </c>
      <c r="CB52" s="19">
        <v>145753.35999999999</v>
      </c>
      <c r="CC52" s="50">
        <v>211401.36</v>
      </c>
      <c r="CD52" s="48">
        <f t="shared" si="22"/>
        <v>0</v>
      </c>
      <c r="CE52" s="71">
        <f t="shared" si="23"/>
        <v>0.68946273571749961</v>
      </c>
      <c r="CF52" s="72">
        <f t="shared" si="24"/>
        <v>0.97971561529788498</v>
      </c>
      <c r="CG52" s="59">
        <v>0</v>
      </c>
      <c r="CH52" s="59">
        <v>23640</v>
      </c>
      <c r="CI52" s="50">
        <v>100616</v>
      </c>
      <c r="CJ52" s="48">
        <f t="shared" si="25"/>
        <v>0</v>
      </c>
      <c r="CK52" s="71">
        <f t="shared" si="26"/>
        <v>0.23495269142084757</v>
      </c>
      <c r="CL52" s="72">
        <f t="shared" si="27"/>
        <v>0.50604209020658963</v>
      </c>
      <c r="CM52" s="59">
        <v>0</v>
      </c>
      <c r="CN52" s="59">
        <v>232753.94</v>
      </c>
      <c r="CO52" s="50">
        <v>271549.73</v>
      </c>
      <c r="CP52" s="48">
        <f t="shared" si="28"/>
        <v>0</v>
      </c>
      <c r="CQ52" s="71">
        <f t="shared" si="29"/>
        <v>0.85713191465887306</v>
      </c>
      <c r="CR52" s="72">
        <f t="shared" si="30"/>
        <v>1.1831840050128817</v>
      </c>
      <c r="CS52" s="47">
        <v>0</v>
      </c>
      <c r="CT52" s="47">
        <v>68932.52</v>
      </c>
      <c r="CU52" s="48">
        <v>78125.100000000006</v>
      </c>
      <c r="CV52" s="48">
        <f t="shared" si="31"/>
        <v>0</v>
      </c>
      <c r="CW52" s="72">
        <f t="shared" si="32"/>
        <v>0.88233512661103797</v>
      </c>
      <c r="CX52" s="72">
        <f t="shared" si="33"/>
        <v>1.2206629038565746</v>
      </c>
      <c r="CY52" s="59">
        <v>0</v>
      </c>
      <c r="CZ52" s="59">
        <v>63202</v>
      </c>
      <c r="DA52" s="50">
        <v>92451.66</v>
      </c>
      <c r="DB52" s="48">
        <f t="shared" si="34"/>
        <v>0</v>
      </c>
      <c r="DC52" s="71">
        <f t="shared" si="35"/>
        <v>0.68362212209061468</v>
      </c>
      <c r="DD52" s="72">
        <f t="shared" si="36"/>
        <v>0.97342041332156992</v>
      </c>
      <c r="DE52" s="47">
        <v>0</v>
      </c>
      <c r="DF52" s="47">
        <v>48286.080000000002</v>
      </c>
      <c r="DG52" s="48">
        <v>48634.85</v>
      </c>
      <c r="DH52" s="48">
        <f t="shared" si="37"/>
        <v>0</v>
      </c>
      <c r="DI52" s="71">
        <f t="shared" si="38"/>
        <v>0.99282880485906722</v>
      </c>
      <c r="DJ52" s="72">
        <f t="shared" si="39"/>
        <v>1.4860118764519132</v>
      </c>
      <c r="DK52" s="47">
        <v>0</v>
      </c>
      <c r="DL52" s="47">
        <v>14220</v>
      </c>
      <c r="DM52" s="48">
        <v>52090.96</v>
      </c>
      <c r="DN52" s="48">
        <f t="shared" si="40"/>
        <v>0</v>
      </c>
      <c r="DO52" s="71">
        <f t="shared" si="41"/>
        <v>0.27298402640304575</v>
      </c>
      <c r="DP52" s="72">
        <f t="shared" si="42"/>
        <v>0.54975545531980374</v>
      </c>
      <c r="DQ52" s="19">
        <v>0</v>
      </c>
      <c r="DR52" s="19">
        <v>141232.79999999999</v>
      </c>
      <c r="DS52" s="50">
        <v>163283.6</v>
      </c>
      <c r="DT52" s="71">
        <f t="shared" si="43"/>
        <v>0</v>
      </c>
      <c r="DU52" s="72">
        <f t="shared" si="44"/>
        <v>0</v>
      </c>
      <c r="DV52" s="71">
        <f t="shared" si="45"/>
        <v>0.86495398190632733</v>
      </c>
      <c r="DW52" s="72">
        <f t="shared" si="46"/>
        <v>1.1944918112175107</v>
      </c>
      <c r="DX52" s="19">
        <v>17633.8</v>
      </c>
      <c r="DY52" s="19">
        <v>161980.5</v>
      </c>
      <c r="DZ52" s="50">
        <v>237774.8</v>
      </c>
      <c r="EA52" s="71">
        <f t="shared" si="47"/>
        <v>7.4161769876370409E-2</v>
      </c>
      <c r="EB52" s="72">
        <f t="shared" si="48"/>
        <v>0.27581018145488079</v>
      </c>
      <c r="EC52" s="71">
        <f t="shared" si="49"/>
        <v>0.68123493322252826</v>
      </c>
      <c r="ED52" s="72">
        <f t="shared" si="50"/>
        <v>0.97085647158491895</v>
      </c>
      <c r="EE52" s="19">
        <v>0</v>
      </c>
      <c r="EF52" s="19">
        <v>68627.710000000006</v>
      </c>
      <c r="EG52" s="50">
        <v>72295.210000000006</v>
      </c>
      <c r="EH52" s="48">
        <f t="shared" si="51"/>
        <v>0</v>
      </c>
      <c r="EI52" s="71">
        <f t="shared" si="52"/>
        <v>0.94927049800394803</v>
      </c>
      <c r="EJ52" s="72">
        <f t="shared" si="53"/>
        <v>1.3436150689941895</v>
      </c>
      <c r="EK52" s="19">
        <v>0</v>
      </c>
      <c r="EL52" s="19">
        <v>15227.7</v>
      </c>
      <c r="EM52" s="50">
        <v>16490.8</v>
      </c>
      <c r="EN52" s="48">
        <f t="shared" si="54"/>
        <v>0</v>
      </c>
      <c r="EO52" s="71">
        <f t="shared" si="55"/>
        <v>0.92340577776699739</v>
      </c>
      <c r="EP52" s="72">
        <f t="shared" si="56"/>
        <v>1.2903790902951457</v>
      </c>
      <c r="EQ52" s="49">
        <v>2204797</v>
      </c>
      <c r="ER52" s="51">
        <v>879975</v>
      </c>
      <c r="ES52" s="50">
        <v>3149232</v>
      </c>
      <c r="ET52" s="68">
        <f t="shared" si="57"/>
        <v>0.70010624812652733</v>
      </c>
      <c r="EU52" s="68">
        <f t="shared" si="105"/>
        <v>0</v>
      </c>
      <c r="EV52" s="68">
        <f t="shared" si="58"/>
        <v>0.27942526939901535</v>
      </c>
      <c r="EW52" s="51">
        <v>904395</v>
      </c>
      <c r="EX52" s="51">
        <v>837846</v>
      </c>
      <c r="EY52" s="50">
        <v>1844921</v>
      </c>
      <c r="EZ52" s="68">
        <f t="shared" si="59"/>
        <v>0.49020798180518299</v>
      </c>
      <c r="FA52" s="68">
        <f t="shared" si="60"/>
        <v>0.77560551916514053</v>
      </c>
      <c r="FB52" s="68">
        <f t="shared" si="61"/>
        <v>0.45413651858263848</v>
      </c>
      <c r="FC52" s="51">
        <v>2020</v>
      </c>
      <c r="FD52" s="51">
        <v>633655</v>
      </c>
      <c r="FE52" s="50">
        <v>662575</v>
      </c>
      <c r="FF52" s="68">
        <f t="shared" si="62"/>
        <v>3.1878545896426289E-3</v>
      </c>
      <c r="FG52" s="68">
        <f t="shared" si="63"/>
        <v>5.6491130570300127E-2</v>
      </c>
      <c r="FH52" s="68">
        <f t="shared" si="106"/>
        <v>0.95635211108176432</v>
      </c>
      <c r="FI52" s="51">
        <v>1034176</v>
      </c>
      <c r="FJ52" s="51">
        <v>1036402</v>
      </c>
      <c r="FK52" s="50">
        <v>2087718</v>
      </c>
      <c r="FL52" s="68">
        <f t="shared" si="88"/>
        <v>0.49536192148556463</v>
      </c>
      <c r="FM52" s="68">
        <f t="shared" si="64"/>
        <v>0.78076001836491127</v>
      </c>
      <c r="FN52" s="68">
        <f t="shared" si="65"/>
        <v>0.49642815744271973</v>
      </c>
      <c r="FO52" s="46">
        <f t="shared" si="108"/>
        <v>4145388</v>
      </c>
      <c r="FP52" s="46">
        <f t="shared" si="108"/>
        <v>3387878</v>
      </c>
      <c r="FQ52" s="48">
        <f t="shared" si="108"/>
        <v>7744446</v>
      </c>
      <c r="FR52" s="48">
        <v>6876697</v>
      </c>
      <c r="FS52" s="68">
        <f t="shared" si="66"/>
        <v>0.53527237455074261</v>
      </c>
      <c r="FT52" s="68">
        <f t="shared" si="67"/>
        <v>0.8206998595176449</v>
      </c>
      <c r="FU52" s="68">
        <f t="shared" si="107"/>
        <v>0.43745905129947321</v>
      </c>
      <c r="FV52" s="68">
        <f t="shared" si="68"/>
        <v>0.72269297518804998</v>
      </c>
      <c r="FW52" s="51">
        <v>0</v>
      </c>
      <c r="FX52" s="51">
        <v>191511</v>
      </c>
      <c r="FY52" s="50">
        <v>330181</v>
      </c>
      <c r="FZ52" s="48">
        <f t="shared" si="69"/>
        <v>0</v>
      </c>
      <c r="GA52" s="71">
        <f t="shared" si="70"/>
        <v>0.58001823242403405</v>
      </c>
      <c r="GB52" s="68">
        <f t="shared" si="71"/>
        <v>0.86576196030634966</v>
      </c>
      <c r="GC52" s="67"/>
      <c r="GD52" s="67"/>
      <c r="GE52" s="67"/>
      <c r="GF52" s="67"/>
      <c r="GG52" s="67"/>
      <c r="GH52" s="71"/>
      <c r="GI52" s="71"/>
      <c r="GJ52" s="19">
        <v>255</v>
      </c>
      <c r="GK52" s="19">
        <v>385288</v>
      </c>
      <c r="GL52" s="50">
        <v>397398</v>
      </c>
      <c r="GM52" s="71">
        <f t="shared" si="76"/>
        <v>6.4167408995515829E-4</v>
      </c>
      <c r="GN52" s="68">
        <f t="shared" si="77"/>
        <v>2.5333996634769155E-2</v>
      </c>
      <c r="GO52" s="71">
        <f t="shared" si="78"/>
        <v>0.96952677164958057</v>
      </c>
      <c r="GP52" s="68">
        <f t="shared" si="79"/>
        <v>1.3953315181990738</v>
      </c>
      <c r="GQ52" s="19">
        <v>129157</v>
      </c>
      <c r="GR52" s="19">
        <v>100811</v>
      </c>
      <c r="GS52" s="50">
        <v>257414</v>
      </c>
      <c r="GT52" s="71">
        <f t="shared" si="80"/>
        <v>0.50174815666591566</v>
      </c>
      <c r="GU52" s="68">
        <f t="shared" si="81"/>
        <v>0.78714632362502179</v>
      </c>
      <c r="GV52" s="71">
        <f t="shared" si="82"/>
        <v>0.39162982588359607</v>
      </c>
      <c r="GW52" s="68">
        <f t="shared" si="83"/>
        <v>0.67616106189740932</v>
      </c>
    </row>
    <row r="53" spans="1:211" ht="15" x14ac:dyDescent="0.25">
      <c r="A53" s="16">
        <v>2012</v>
      </c>
      <c r="B53" s="26">
        <v>741</v>
      </c>
      <c r="C53" s="22">
        <v>668</v>
      </c>
      <c r="D53" s="22">
        <v>1525</v>
      </c>
      <c r="E53" s="22">
        <v>860</v>
      </c>
      <c r="F53" s="69">
        <f t="shared" si="87"/>
        <v>3794</v>
      </c>
      <c r="G53" s="23">
        <f t="shared" si="7"/>
        <v>3791.5</v>
      </c>
      <c r="H53" s="1">
        <v>2246</v>
      </c>
      <c r="I53" s="1">
        <v>800</v>
      </c>
      <c r="J53" s="1">
        <v>247</v>
      </c>
      <c r="K53" s="1">
        <v>681</v>
      </c>
      <c r="L53" s="1">
        <v>175</v>
      </c>
      <c r="M53" s="1">
        <v>156</v>
      </c>
      <c r="N53" s="1">
        <v>98</v>
      </c>
      <c r="O53" s="1">
        <v>538</v>
      </c>
      <c r="P53" s="1">
        <v>315</v>
      </c>
      <c r="Q53" s="1">
        <v>124</v>
      </c>
      <c r="R53" s="1">
        <v>166</v>
      </c>
      <c r="S53" s="1">
        <v>143</v>
      </c>
      <c r="T53" s="69">
        <f t="shared" si="89"/>
        <v>748</v>
      </c>
      <c r="U53" s="1">
        <v>266</v>
      </c>
      <c r="V53" s="1">
        <v>153</v>
      </c>
      <c r="W53" s="1">
        <v>661</v>
      </c>
      <c r="X53" s="1">
        <v>105</v>
      </c>
      <c r="Y53" s="1">
        <v>29</v>
      </c>
      <c r="Z53" s="1">
        <v>36</v>
      </c>
      <c r="AA53" s="1">
        <v>75</v>
      </c>
      <c r="AB53" s="69">
        <f t="shared" si="90"/>
        <v>140</v>
      </c>
      <c r="AC53" s="28">
        <v>1269.5999999999999</v>
      </c>
      <c r="AD53" s="21">
        <v>862.96</v>
      </c>
      <c r="AE53" s="21">
        <v>2157.59</v>
      </c>
      <c r="AF53" s="21">
        <v>748.59</v>
      </c>
      <c r="AG53" s="41">
        <f t="shared" si="91"/>
        <v>5038.74</v>
      </c>
      <c r="AH53" s="28">
        <v>2322.0300000000002</v>
      </c>
      <c r="AI53" s="21">
        <v>2619.7600000000002</v>
      </c>
      <c r="AJ53" s="21">
        <v>9200.3799999999992</v>
      </c>
      <c r="AK53" s="21">
        <v>1456</v>
      </c>
      <c r="AL53" s="41">
        <f t="shared" si="92"/>
        <v>15598.17</v>
      </c>
      <c r="AM53" s="33">
        <v>15978</v>
      </c>
      <c r="AN53" s="31">
        <v>81832</v>
      </c>
      <c r="AO53" s="34">
        <f>1497.57+356.73+763.83+39.33+0.35+15.16</f>
        <v>2672.97</v>
      </c>
      <c r="AP53" s="34">
        <f>3163.56+60.95+468.57+31821.93+2197.06+12916.22+6392.13+1143.02</f>
        <v>58163.439999999995</v>
      </c>
      <c r="AQ53" s="22">
        <v>216894</v>
      </c>
      <c r="AR53" s="30" t="e">
        <f>AZ53/#REF!</f>
        <v>#REF!</v>
      </c>
      <c r="AS53" s="74" t="e">
        <f>AY53/#REF!</f>
        <v>#REF!</v>
      </c>
      <c r="AT53" s="13">
        <f>precipitacion!P29</f>
        <v>607.80000000000007</v>
      </c>
      <c r="AU53" s="13">
        <f>precipitacion!O29</f>
        <v>1427.9999999999998</v>
      </c>
      <c r="AV53" s="13">
        <f>precipitacion!Q29</f>
        <v>259</v>
      </c>
      <c r="AW53" s="13">
        <f>precipitacion!R29</f>
        <v>305.39999999999998</v>
      </c>
      <c r="AX53" s="13">
        <f>precipitacion!G29</f>
        <v>107.4</v>
      </c>
      <c r="AY53" s="20" t="e">
        <f>#REF!</f>
        <v>#REF!</v>
      </c>
      <c r="AZ53" s="20" t="e">
        <f>#REF!</f>
        <v>#REF!</v>
      </c>
      <c r="BA53" s="49">
        <f>551250.51+12950.22</f>
        <v>564200.73</v>
      </c>
      <c r="BB53" s="19">
        <v>224575.14</v>
      </c>
      <c r="BC53" s="50">
        <v>812308.37</v>
      </c>
      <c r="BD53" s="72">
        <f t="shared" si="8"/>
        <v>0.69456471315197699</v>
      </c>
      <c r="BE53" s="72">
        <f t="shared" si="9"/>
        <v>0.98524133510065948</v>
      </c>
      <c r="BF53" s="72">
        <f t="shared" si="10"/>
        <v>0.27646537730492671</v>
      </c>
      <c r="BG53" s="72">
        <f t="shared" si="11"/>
        <v>0.55365504980640845</v>
      </c>
      <c r="BH53" s="49">
        <f>329373.48+408</f>
        <v>329781.48</v>
      </c>
      <c r="BI53" s="19">
        <v>45556.62</v>
      </c>
      <c r="BJ53" s="50">
        <v>386297.1</v>
      </c>
      <c r="BK53" s="71">
        <f t="shared" si="12"/>
        <v>0.85369908290794827</v>
      </c>
      <c r="BL53" s="72">
        <f t="shared" si="13"/>
        <v>1.1783033276193593</v>
      </c>
      <c r="BM53" s="71">
        <f t="shared" si="14"/>
        <v>0.11793156096693454</v>
      </c>
      <c r="BN53" s="72">
        <f t="shared" si="15"/>
        <v>0.35054706008319148</v>
      </c>
      <c r="BO53" s="19">
        <v>0</v>
      </c>
      <c r="BP53" s="19">
        <v>213874</v>
      </c>
      <c r="BQ53" s="50">
        <v>251925</v>
      </c>
      <c r="BR53" s="48">
        <f t="shared" si="16"/>
        <v>0</v>
      </c>
      <c r="BS53" s="71">
        <f t="shared" si="17"/>
        <v>0.84895901558003373</v>
      </c>
      <c r="BT53" s="72">
        <f t="shared" si="18"/>
        <v>1.1716413166913637</v>
      </c>
      <c r="BU53" s="19">
        <v>0</v>
      </c>
      <c r="BV53" s="19">
        <v>151516.92000000001</v>
      </c>
      <c r="BW53" s="50">
        <v>261091.92</v>
      </c>
      <c r="BX53" s="48">
        <f t="shared" si="19"/>
        <v>0</v>
      </c>
      <c r="BY53" s="71">
        <f t="shared" si="20"/>
        <v>0.58032021825876501</v>
      </c>
      <c r="BZ53" s="72">
        <f t="shared" si="21"/>
        <v>0.86606790442177917</v>
      </c>
      <c r="CA53" s="19">
        <v>0</v>
      </c>
      <c r="CB53" s="19">
        <v>105942.9</v>
      </c>
      <c r="CC53" s="50">
        <v>159319.9</v>
      </c>
      <c r="CD53" s="48">
        <f t="shared" si="22"/>
        <v>0</v>
      </c>
      <c r="CE53" s="71">
        <f t="shared" si="23"/>
        <v>0.6649696616681281</v>
      </c>
      <c r="CF53" s="72">
        <f t="shared" si="24"/>
        <v>0.95351781262289359</v>
      </c>
      <c r="CG53" s="59">
        <v>0</v>
      </c>
      <c r="CH53" s="59">
        <v>69716</v>
      </c>
      <c r="CI53" s="50">
        <v>107903</v>
      </c>
      <c r="CJ53" s="48">
        <f t="shared" si="25"/>
        <v>0</v>
      </c>
      <c r="CK53" s="71">
        <f t="shared" si="26"/>
        <v>0.64609881096911115</v>
      </c>
      <c r="CL53" s="72">
        <f t="shared" si="27"/>
        <v>0.93366013388274949</v>
      </c>
      <c r="CM53" s="59">
        <v>0</v>
      </c>
      <c r="CN53" s="59">
        <v>202611.75</v>
      </c>
      <c r="CO53" s="50">
        <v>231412.4</v>
      </c>
      <c r="CP53" s="48">
        <f t="shared" si="28"/>
        <v>0</v>
      </c>
      <c r="CQ53" s="71">
        <f t="shared" si="29"/>
        <v>0.87554405036203764</v>
      </c>
      <c r="CR53" s="72">
        <f t="shared" si="30"/>
        <v>1.2102524986645844</v>
      </c>
      <c r="CS53" s="47">
        <v>0</v>
      </c>
      <c r="CT53" s="47">
        <v>31769.8</v>
      </c>
      <c r="CU53" s="48">
        <v>35393.949999999997</v>
      </c>
      <c r="CV53" s="48">
        <f t="shared" si="31"/>
        <v>0</v>
      </c>
      <c r="CW53" s="72">
        <f t="shared" si="32"/>
        <v>0.89760538171071613</v>
      </c>
      <c r="CX53" s="72">
        <f t="shared" si="33"/>
        <v>1.2450757152287586</v>
      </c>
      <c r="CY53" s="59">
        <v>0</v>
      </c>
      <c r="CZ53" s="59">
        <v>40791.78</v>
      </c>
      <c r="DA53" s="50">
        <v>71749.759999999995</v>
      </c>
      <c r="DB53" s="48">
        <f t="shared" si="34"/>
        <v>0</v>
      </c>
      <c r="DC53" s="71">
        <f t="shared" si="35"/>
        <v>0.56852845222060677</v>
      </c>
      <c r="DD53" s="72">
        <f t="shared" si="36"/>
        <v>0.85414299627295687</v>
      </c>
      <c r="DE53" s="47">
        <v>0</v>
      </c>
      <c r="DF53" s="47">
        <v>167.63</v>
      </c>
      <c r="DG53" s="48">
        <v>17783.46</v>
      </c>
      <c r="DH53" s="48">
        <f t="shared" si="37"/>
        <v>0</v>
      </c>
      <c r="DI53" s="71">
        <f t="shared" si="38"/>
        <v>9.4261746589246413E-3</v>
      </c>
      <c r="DJ53" s="72">
        <f t="shared" si="39"/>
        <v>9.7241668296839931E-2</v>
      </c>
      <c r="DK53" s="47">
        <v>0</v>
      </c>
      <c r="DL53" s="47">
        <v>15402.48</v>
      </c>
      <c r="DM53" s="48">
        <v>21121.7</v>
      </c>
      <c r="DN53" s="48">
        <f t="shared" si="40"/>
        <v>0</v>
      </c>
      <c r="DO53" s="71">
        <f t="shared" si="41"/>
        <v>0.7292253937893256</v>
      </c>
      <c r="DP53" s="72">
        <f t="shared" si="42"/>
        <v>1.0235237721846222</v>
      </c>
      <c r="DQ53" s="19">
        <v>3</v>
      </c>
      <c r="DR53" s="19">
        <v>154826</v>
      </c>
      <c r="DS53" s="50">
        <v>174960</v>
      </c>
      <c r="DT53" s="71">
        <f t="shared" si="43"/>
        <v>1.7146776406035666E-5</v>
      </c>
      <c r="DU53" s="72">
        <f t="shared" si="44"/>
        <v>4.1408784588432791E-3</v>
      </c>
      <c r="DV53" s="71">
        <f t="shared" si="45"/>
        <v>0.88492226794695927</v>
      </c>
      <c r="DW53" s="72">
        <f t="shared" si="46"/>
        <v>1.2246969284434828</v>
      </c>
      <c r="DX53" s="19">
        <v>2890</v>
      </c>
      <c r="DY53" s="19">
        <v>180092</v>
      </c>
      <c r="DZ53" s="50">
        <v>238354</v>
      </c>
      <c r="EA53" s="71">
        <f t="shared" si="47"/>
        <v>1.2124822742643294E-2</v>
      </c>
      <c r="EB53" s="72">
        <f t="shared" si="48"/>
        <v>0.11033651207139131</v>
      </c>
      <c r="EC53" s="71">
        <f t="shared" si="49"/>
        <v>0.75556525168446931</v>
      </c>
      <c r="ED53" s="72">
        <f t="shared" si="50"/>
        <v>1.053647951095279</v>
      </c>
      <c r="EE53" s="19">
        <v>0</v>
      </c>
      <c r="EF53" s="19">
        <v>106501</v>
      </c>
      <c r="EG53" s="50">
        <v>111647</v>
      </c>
      <c r="EH53" s="48">
        <f t="shared" si="51"/>
        <v>0</v>
      </c>
      <c r="EI53" s="71">
        <f t="shared" si="52"/>
        <v>0.95390830026780837</v>
      </c>
      <c r="EJ53" s="72">
        <f t="shared" si="53"/>
        <v>1.3544221389060049</v>
      </c>
      <c r="EK53" s="19">
        <v>0</v>
      </c>
      <c r="EL53" s="19">
        <v>11555</v>
      </c>
      <c r="EM53" s="50">
        <v>11560</v>
      </c>
      <c r="EN53" s="48">
        <f t="shared" si="54"/>
        <v>0</v>
      </c>
      <c r="EO53" s="71">
        <f t="shared" si="55"/>
        <v>0.99956747404844293</v>
      </c>
      <c r="EP53" s="72">
        <f t="shared" si="56"/>
        <v>1.5499975690071723</v>
      </c>
      <c r="EQ53" s="49">
        <v>2116800</v>
      </c>
      <c r="ER53" s="51">
        <v>880050</v>
      </c>
      <c r="ES53" s="50">
        <v>3062510</v>
      </c>
      <c r="ET53" s="68">
        <f t="shared" si="57"/>
        <v>0.69119774302777792</v>
      </c>
      <c r="EU53" s="68">
        <f t="shared" si="105"/>
        <v>0</v>
      </c>
      <c r="EV53" s="68">
        <f t="shared" si="58"/>
        <v>0.28736232698015679</v>
      </c>
      <c r="EW53" s="51">
        <v>865300</v>
      </c>
      <c r="EX53" s="51">
        <v>839527</v>
      </c>
      <c r="EY53" s="50">
        <v>1827300</v>
      </c>
      <c r="EZ53" s="68">
        <f t="shared" si="59"/>
        <v>0.47354019591747387</v>
      </c>
      <c r="FA53" s="68">
        <f t="shared" si="60"/>
        <v>0.75892599367808422</v>
      </c>
      <c r="FB53" s="68">
        <f t="shared" si="61"/>
        <v>0.4594357795654791</v>
      </c>
      <c r="FC53" s="51">
        <v>1975</v>
      </c>
      <c r="FD53" s="51">
        <v>635473</v>
      </c>
      <c r="FE53" s="50">
        <v>664755</v>
      </c>
      <c r="FF53" s="68">
        <f t="shared" si="62"/>
        <v>3.1079211862659784E-3</v>
      </c>
      <c r="FG53" s="68">
        <f t="shared" si="63"/>
        <v>5.5777650170411038E-2</v>
      </c>
      <c r="FH53" s="68">
        <f t="shared" si="106"/>
        <v>0.95595068859955923</v>
      </c>
      <c r="FI53" s="51">
        <v>968208</v>
      </c>
      <c r="FJ53" s="51">
        <v>982818</v>
      </c>
      <c r="FK53" s="50">
        <v>1965310</v>
      </c>
      <c r="FL53" s="68">
        <f t="shared" si="88"/>
        <v>0.49264899685036967</v>
      </c>
      <c r="FM53" s="68">
        <f t="shared" si="64"/>
        <v>0.77804689540340632</v>
      </c>
      <c r="FN53" s="68">
        <f t="shared" si="65"/>
        <v>0.50008293856948771</v>
      </c>
      <c r="FO53" s="46">
        <f t="shared" si="108"/>
        <v>3952283</v>
      </c>
      <c r="FP53" s="46">
        <f t="shared" si="108"/>
        <v>3337868</v>
      </c>
      <c r="FQ53" s="48">
        <f t="shared" si="108"/>
        <v>7519875</v>
      </c>
      <c r="FR53" s="48">
        <v>7744446</v>
      </c>
      <c r="FS53" s="68">
        <f t="shared" si="66"/>
        <v>0.52557828421350083</v>
      </c>
      <c r="FT53" s="68">
        <f t="shared" si="67"/>
        <v>0.81098761714121359</v>
      </c>
      <c r="FU53" s="68">
        <f t="shared" si="107"/>
        <v>0.44387280373676424</v>
      </c>
      <c r="FV53" s="68">
        <f t="shared" si="68"/>
        <v>0.72915241673778974</v>
      </c>
      <c r="FW53" s="51">
        <v>0</v>
      </c>
      <c r="FX53" s="51">
        <v>190552</v>
      </c>
      <c r="FY53" s="50">
        <v>336344</v>
      </c>
      <c r="FZ53" s="48">
        <f t="shared" si="69"/>
        <v>0</v>
      </c>
      <c r="GA53" s="71">
        <f t="shared" si="70"/>
        <v>0.56653901957519681</v>
      </c>
      <c r="GB53" s="68">
        <f t="shared" si="71"/>
        <v>0.85213516324417271</v>
      </c>
      <c r="GC53" s="67"/>
      <c r="GD53" s="67"/>
      <c r="GE53" s="67"/>
      <c r="GF53" s="67"/>
      <c r="GG53" s="67"/>
      <c r="GH53" s="71"/>
      <c r="GI53" s="71"/>
      <c r="GJ53" s="19">
        <v>1007.62</v>
      </c>
      <c r="GK53" s="19">
        <v>432567.86</v>
      </c>
      <c r="GL53" s="50">
        <v>441832.12</v>
      </c>
      <c r="GM53" s="71">
        <f t="shared" si="76"/>
        <v>2.2805494539419181E-3</v>
      </c>
      <c r="GN53" s="68">
        <f t="shared" si="77"/>
        <v>4.7773268685714236E-2</v>
      </c>
      <c r="GO53" s="71">
        <f t="shared" si="78"/>
        <v>0.97903217176695978</v>
      </c>
      <c r="GP53" s="68">
        <f t="shared" si="79"/>
        <v>1.4254827367790024</v>
      </c>
      <c r="GQ53" s="19">
        <v>164038</v>
      </c>
      <c r="GR53" s="19">
        <v>624887</v>
      </c>
      <c r="GS53" s="50">
        <v>788925</v>
      </c>
      <c r="GT53" s="71">
        <f t="shared" si="80"/>
        <v>0.20792597521944417</v>
      </c>
      <c r="GU53" s="68">
        <f t="shared" si="81"/>
        <v>0.47348316110348426</v>
      </c>
      <c r="GV53" s="71">
        <f t="shared" si="82"/>
        <v>0.79207402478055577</v>
      </c>
      <c r="GW53" s="68">
        <f t="shared" si="83"/>
        <v>1.0973131656914121</v>
      </c>
    </row>
    <row r="54" spans="1:211" x14ac:dyDescent="0.2">
      <c r="CS54" s="47"/>
      <c r="CT54" s="47"/>
      <c r="CU54" s="48"/>
      <c r="CV54" s="71"/>
      <c r="CW54" s="71"/>
    </row>
    <row r="55" spans="1:211" x14ac:dyDescent="0.2">
      <c r="N55" s="1"/>
    </row>
    <row r="56" spans="1:211" x14ac:dyDescent="0.2">
      <c r="N56" s="1"/>
    </row>
    <row r="57" spans="1:211" x14ac:dyDescent="0.2">
      <c r="N57" s="1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43"/>
  <dimension ref="A1:B491"/>
  <sheetViews>
    <sheetView workbookViewId="0"/>
  </sheetViews>
  <sheetFormatPr defaultRowHeight="12.75" x14ac:dyDescent="0.2"/>
  <sheetData>
    <row r="1" spans="1:2" x14ac:dyDescent="0.2">
      <c r="A1">
        <v>1.0799136069114472E-3</v>
      </c>
      <c r="B1">
        <v>0.28057093304344338</v>
      </c>
    </row>
    <row r="2" spans="1:2" x14ac:dyDescent="0.2">
      <c r="A2">
        <v>3.2397408207343412E-3</v>
      </c>
      <c r="B2">
        <v>0.28102617434799804</v>
      </c>
    </row>
    <row r="3" spans="1:2" x14ac:dyDescent="0.2">
      <c r="A3">
        <v>4.3196544276457886E-3</v>
      </c>
      <c r="B3">
        <v>0.2819377262146508</v>
      </c>
    </row>
    <row r="4" spans="1:2" x14ac:dyDescent="0.2">
      <c r="A4">
        <v>6.4794816414686825E-3</v>
      </c>
      <c r="B4">
        <v>0.28239403567047683</v>
      </c>
    </row>
    <row r="5" spans="1:2" x14ac:dyDescent="0.2">
      <c r="A5">
        <v>8.6393088552915772E-3</v>
      </c>
      <c r="B5">
        <v>0.28285070006757157</v>
      </c>
    </row>
    <row r="6" spans="1:2" x14ac:dyDescent="0.2">
      <c r="A6">
        <v>9.7192224622030237E-3</v>
      </c>
      <c r="B6">
        <v>0.28330771884847666</v>
      </c>
    </row>
    <row r="7" spans="1:2" x14ac:dyDescent="0.2">
      <c r="A7">
        <v>1.1879049676025918E-2</v>
      </c>
      <c r="B7">
        <v>0.28376509145400819</v>
      </c>
    </row>
    <row r="8" spans="1:2" x14ac:dyDescent="0.2">
      <c r="A8">
        <v>1.4038876889848813E-2</v>
      </c>
      <c r="B8">
        <v>0.28422281732325805</v>
      </c>
    </row>
    <row r="9" spans="1:2" x14ac:dyDescent="0.2">
      <c r="A9">
        <v>1.6198704103671708E-2</v>
      </c>
      <c r="B9">
        <v>0.28468089589359569</v>
      </c>
    </row>
    <row r="10" spans="1:2" x14ac:dyDescent="0.2">
      <c r="A10">
        <v>1.8358531317494601E-2</v>
      </c>
      <c r="B10">
        <v>0.28513932660067015</v>
      </c>
    </row>
    <row r="11" spans="1:2" x14ac:dyDescent="0.2">
      <c r="A11">
        <v>2.3758099352051837E-2</v>
      </c>
      <c r="B11">
        <v>0.28559810887841147</v>
      </c>
    </row>
    <row r="12" spans="1:2" x14ac:dyDescent="0.2">
      <c r="A12">
        <v>2.9157667386609073E-2</v>
      </c>
      <c r="B12">
        <v>0.28605724215903278</v>
      </c>
    </row>
    <row r="13" spans="1:2" x14ac:dyDescent="0.2">
      <c r="A13">
        <v>3.2397408207343416E-2</v>
      </c>
      <c r="B13">
        <v>0.28651672587303173</v>
      </c>
    </row>
    <row r="14" spans="1:2" x14ac:dyDescent="0.2">
      <c r="A14">
        <v>3.5637149028077755E-2</v>
      </c>
      <c r="B14">
        <v>0.2869765594491927</v>
      </c>
    </row>
    <row r="15" spans="1:2" x14ac:dyDescent="0.2">
      <c r="A15">
        <v>3.7796976241900648E-2</v>
      </c>
      <c r="B15">
        <v>0.28743674231458838</v>
      </c>
    </row>
    <row r="16" spans="1:2" x14ac:dyDescent="0.2">
      <c r="A16">
        <v>4.3196544276457881E-2</v>
      </c>
      <c r="B16">
        <v>0.2878972738945817</v>
      </c>
    </row>
    <row r="17" spans="1:2" x14ac:dyDescent="0.2">
      <c r="A17">
        <v>4.5356371490280774E-2</v>
      </c>
      <c r="B17">
        <v>0.28835815361282752</v>
      </c>
    </row>
    <row r="18" spans="1:2" x14ac:dyDescent="0.2">
      <c r="A18">
        <v>4.8596112311015113E-2</v>
      </c>
      <c r="B18">
        <v>0.28881938089127462</v>
      </c>
    </row>
    <row r="19" spans="1:2" x14ac:dyDescent="0.2">
      <c r="A19">
        <v>5.2915766738660899E-2</v>
      </c>
      <c r="B19">
        <v>0.28928095515016772</v>
      </c>
    </row>
    <row r="20" spans="1:2" x14ac:dyDescent="0.2">
      <c r="A20">
        <v>5.5075593952483792E-2</v>
      </c>
      <c r="B20">
        <v>0.28974287580804897</v>
      </c>
    </row>
    <row r="21" spans="1:2" x14ac:dyDescent="0.2">
      <c r="A21">
        <v>5.6155507559395239E-2</v>
      </c>
      <c r="B21">
        <v>0.29020514228176036</v>
      </c>
    </row>
    <row r="22" spans="1:2" x14ac:dyDescent="0.2">
      <c r="A22">
        <v>6.0475161987041025E-2</v>
      </c>
      <c r="B22">
        <v>0.29066775398644518</v>
      </c>
    </row>
    <row r="23" spans="1:2" x14ac:dyDescent="0.2">
      <c r="A23">
        <v>6.5874730021598257E-2</v>
      </c>
      <c r="B23">
        <v>0.29113071033555021</v>
      </c>
    </row>
    <row r="24" spans="1:2" x14ac:dyDescent="0.2">
      <c r="A24">
        <v>7.1274298056155497E-2</v>
      </c>
      <c r="B24">
        <v>0.29159401074082758</v>
      </c>
    </row>
    <row r="25" spans="1:2" x14ac:dyDescent="0.2">
      <c r="A25">
        <v>7.343412526997839E-2</v>
      </c>
      <c r="B25">
        <v>0.29205765461233679</v>
      </c>
    </row>
    <row r="26" spans="1:2" x14ac:dyDescent="0.2">
      <c r="A26">
        <v>7.5593952483801283E-2</v>
      </c>
      <c r="B26">
        <v>0.2925216413584466</v>
      </c>
    </row>
    <row r="27" spans="1:2" x14ac:dyDescent="0.2">
      <c r="A27">
        <v>7.6673866090712736E-2</v>
      </c>
      <c r="B27">
        <v>0.29298597038583707</v>
      </c>
    </row>
    <row r="28" spans="1:2" x14ac:dyDescent="0.2">
      <c r="A28">
        <v>7.9913606911447083E-2</v>
      </c>
      <c r="B28">
        <v>0.29345064109950159</v>
      </c>
    </row>
    <row r="29" spans="1:2" x14ac:dyDescent="0.2">
      <c r="A29">
        <v>8.4233261339092869E-2</v>
      </c>
      <c r="B29">
        <v>0.29391565290274874</v>
      </c>
    </row>
    <row r="30" spans="1:2" x14ac:dyDescent="0.2">
      <c r="A30">
        <v>8.9632829373650108E-2</v>
      </c>
      <c r="B30">
        <v>0.29438100519720456</v>
      </c>
    </row>
    <row r="31" spans="1:2" x14ac:dyDescent="0.2">
      <c r="A31">
        <v>9.1792656587473001E-2</v>
      </c>
      <c r="B31">
        <v>0.29484669738281438</v>
      </c>
    </row>
    <row r="32" spans="1:2" x14ac:dyDescent="0.2">
      <c r="A32">
        <v>9.719222462203024E-2</v>
      </c>
      <c r="B32">
        <v>0.29531272885784493</v>
      </c>
    </row>
    <row r="33" spans="1:2" x14ac:dyDescent="0.2">
      <c r="A33">
        <v>9.9352051835853133E-2</v>
      </c>
      <c r="B33">
        <v>0.2957790990188866</v>
      </c>
    </row>
    <row r="34" spans="1:2" x14ac:dyDescent="0.2">
      <c r="A34">
        <v>0.10475161987041037</v>
      </c>
      <c r="B34">
        <v>0.29624580726085514</v>
      </c>
    </row>
    <row r="35" spans="1:2" x14ac:dyDescent="0.2">
      <c r="A35">
        <v>0.10691144708423327</v>
      </c>
      <c r="B35">
        <v>0.29671285297699412</v>
      </c>
    </row>
    <row r="36" spans="1:2" x14ac:dyDescent="0.2">
      <c r="A36">
        <v>0.11015118790496761</v>
      </c>
      <c r="B36">
        <v>0.29718023555887696</v>
      </c>
    </row>
    <row r="37" spans="1:2" x14ac:dyDescent="0.2">
      <c r="A37">
        <v>0.11339092872570196</v>
      </c>
      <c r="B37">
        <v>0.29764795439640868</v>
      </c>
    </row>
    <row r="38" spans="1:2" x14ac:dyDescent="0.2">
      <c r="A38">
        <v>0.11771058315334774</v>
      </c>
      <c r="B38">
        <v>0.29811600887782874</v>
      </c>
    </row>
    <row r="39" spans="1:2" x14ac:dyDescent="0.2">
      <c r="A39">
        <v>0.11987041036717064</v>
      </c>
      <c r="B39">
        <v>0.29858439838971251</v>
      </c>
    </row>
    <row r="40" spans="1:2" x14ac:dyDescent="0.2">
      <c r="A40">
        <v>0.12419006479481642</v>
      </c>
      <c r="B40">
        <v>0.2990531223169739</v>
      </c>
    </row>
    <row r="41" spans="1:2" x14ac:dyDescent="0.2">
      <c r="A41">
        <v>0.12634989200863933</v>
      </c>
      <c r="B41">
        <v>0.29952218004286724</v>
      </c>
    </row>
    <row r="42" spans="1:2" x14ac:dyDescent="0.2">
      <c r="A42">
        <v>0.13282937365010802</v>
      </c>
      <c r="B42">
        <v>0.29999157094898965</v>
      </c>
    </row>
    <row r="43" spans="1:2" x14ac:dyDescent="0.2">
      <c r="A43">
        <v>0.13822894168466526</v>
      </c>
      <c r="B43">
        <v>0.30046129441528324</v>
      </c>
    </row>
    <row r="44" spans="1:2" x14ac:dyDescent="0.2">
      <c r="A44">
        <v>0.14578833693304538</v>
      </c>
      <c r="B44">
        <v>0.30093134982003722</v>
      </c>
    </row>
    <row r="45" spans="1:2" x14ac:dyDescent="0.2">
      <c r="A45">
        <v>0.14902807775377971</v>
      </c>
      <c r="B45">
        <v>0.30140173653989022</v>
      </c>
    </row>
    <row r="46" spans="1:2" x14ac:dyDescent="0.2">
      <c r="A46">
        <v>0.15442764578833695</v>
      </c>
      <c r="B46">
        <v>0.30187245394983248</v>
      </c>
    </row>
    <row r="47" spans="1:2" x14ac:dyDescent="0.2">
      <c r="A47">
        <v>0.15766738660907129</v>
      </c>
      <c r="B47">
        <v>0.30234350142320821</v>
      </c>
    </row>
    <row r="48" spans="1:2" x14ac:dyDescent="0.2">
      <c r="A48">
        <v>0.16090712742980562</v>
      </c>
      <c r="B48">
        <v>0.30375861793273401</v>
      </c>
    </row>
    <row r="49" spans="1:2" x14ac:dyDescent="0.2">
      <c r="A49">
        <v>0.16630669546436286</v>
      </c>
      <c r="B49">
        <v>0.30423097936044313</v>
      </c>
    </row>
    <row r="50" spans="1:2" x14ac:dyDescent="0.2">
      <c r="A50">
        <v>0.16846652267818576</v>
      </c>
      <c r="B50">
        <v>0.30470366769369517</v>
      </c>
    </row>
    <row r="51" spans="1:2" x14ac:dyDescent="0.2">
      <c r="A51">
        <v>0.16954643628509722</v>
      </c>
      <c r="B51">
        <v>0.30517668229600592</v>
      </c>
    </row>
    <row r="52" spans="1:2" x14ac:dyDescent="0.2">
      <c r="A52">
        <v>0.173866090712743</v>
      </c>
      <c r="B52">
        <v>0.30565002252926132</v>
      </c>
    </row>
    <row r="53" spans="1:2" x14ac:dyDescent="0.2">
      <c r="A53">
        <v>0.17494600431965446</v>
      </c>
      <c r="B53">
        <v>0.30612368775371984</v>
      </c>
    </row>
    <row r="54" spans="1:2" x14ac:dyDescent="0.2">
      <c r="A54">
        <v>0.17818574514038879</v>
      </c>
      <c r="B54">
        <v>0.30659767732801474</v>
      </c>
    </row>
    <row r="55" spans="1:2" x14ac:dyDescent="0.2">
      <c r="A55">
        <v>0.18250539956803458</v>
      </c>
      <c r="B55">
        <v>0.30707199060915646</v>
      </c>
    </row>
    <row r="56" spans="1:2" x14ac:dyDescent="0.2">
      <c r="A56">
        <v>0.18466522678185748</v>
      </c>
      <c r="B56">
        <v>0.30754662695253532</v>
      </c>
    </row>
    <row r="57" spans="1:2" x14ac:dyDescent="0.2">
      <c r="A57">
        <v>0.18898488120950327</v>
      </c>
      <c r="B57">
        <v>0.30802158571192351</v>
      </c>
    </row>
    <row r="58" spans="1:2" x14ac:dyDescent="0.2">
      <c r="A58">
        <v>0.19438444924406051</v>
      </c>
      <c r="B58">
        <v>0.30849686623947792</v>
      </c>
    </row>
    <row r="59" spans="1:2" x14ac:dyDescent="0.2">
      <c r="A59">
        <v>0.19978401727861775</v>
      </c>
      <c r="B59">
        <v>0.30897246788574229</v>
      </c>
    </row>
    <row r="60" spans="1:2" x14ac:dyDescent="0.2">
      <c r="A60">
        <v>0.20626349892008644</v>
      </c>
      <c r="B60">
        <v>0.30944838999964985</v>
      </c>
    </row>
    <row r="61" spans="1:2" x14ac:dyDescent="0.2">
      <c r="A61">
        <v>0.21058315334773223</v>
      </c>
      <c r="B61">
        <v>0.30992463192852571</v>
      </c>
    </row>
    <row r="62" spans="1:2" x14ac:dyDescent="0.2">
      <c r="A62">
        <v>0.21490280777537801</v>
      </c>
      <c r="B62">
        <v>0.31040119301808955</v>
      </c>
    </row>
    <row r="63" spans="1:2" x14ac:dyDescent="0.2">
      <c r="A63">
        <v>0.21814254859611235</v>
      </c>
      <c r="B63">
        <v>0.31087807261245776</v>
      </c>
    </row>
    <row r="64" spans="1:2" x14ac:dyDescent="0.2">
      <c r="A64">
        <v>0.22462203023758104</v>
      </c>
      <c r="B64">
        <v>0.31135527005414615</v>
      </c>
    </row>
    <row r="65" spans="1:2" x14ac:dyDescent="0.2">
      <c r="A65">
        <v>0.22570194384449249</v>
      </c>
      <c r="B65">
        <v>0.31183278468407266</v>
      </c>
    </row>
    <row r="66" spans="1:2" x14ac:dyDescent="0.2">
      <c r="A66">
        <v>0.23110151187904973</v>
      </c>
      <c r="B66">
        <v>0.31231061584155967</v>
      </c>
    </row>
    <row r="67" spans="1:2" x14ac:dyDescent="0.2">
      <c r="A67">
        <v>0.23218142548596118</v>
      </c>
      <c r="B67">
        <v>0.31278876286433654</v>
      </c>
    </row>
    <row r="68" spans="1:2" x14ac:dyDescent="0.2">
      <c r="A68">
        <v>0.23650107991360697</v>
      </c>
      <c r="B68">
        <v>0.31326722508854232</v>
      </c>
    </row>
    <row r="69" spans="1:2" x14ac:dyDescent="0.2">
      <c r="A69">
        <v>0.24298056155507566</v>
      </c>
      <c r="B69">
        <v>0.31374600184872831</v>
      </c>
    </row>
    <row r="70" spans="1:2" x14ac:dyDescent="0.2">
      <c r="A70">
        <v>0.24730021598272145</v>
      </c>
      <c r="B70">
        <v>0.31422509247786046</v>
      </c>
    </row>
    <row r="71" spans="1:2" x14ac:dyDescent="0.2">
      <c r="A71">
        <v>0.24946004319654436</v>
      </c>
      <c r="B71">
        <v>0.31470449630732233</v>
      </c>
    </row>
    <row r="72" spans="1:2" x14ac:dyDescent="0.2">
      <c r="A72">
        <v>0.25269978401727872</v>
      </c>
      <c r="B72">
        <v>0.31518421266691754</v>
      </c>
    </row>
    <row r="73" spans="1:2" x14ac:dyDescent="0.2">
      <c r="A73">
        <v>0.26133909287257029</v>
      </c>
      <c r="B73">
        <v>0.31566424088487216</v>
      </c>
    </row>
    <row r="74" spans="1:2" x14ac:dyDescent="0.2">
      <c r="A74">
        <v>0.26781857451403895</v>
      </c>
      <c r="B74">
        <v>0.31614458028783782</v>
      </c>
    </row>
    <row r="75" spans="1:2" x14ac:dyDescent="0.2">
      <c r="A75">
        <v>0.27429805615550762</v>
      </c>
      <c r="B75">
        <v>0.316625230200894</v>
      </c>
    </row>
    <row r="76" spans="1:2" x14ac:dyDescent="0.2">
      <c r="A76">
        <v>0.27861771058315343</v>
      </c>
      <c r="B76">
        <v>0.31710618994755091</v>
      </c>
    </row>
    <row r="77" spans="1:2" x14ac:dyDescent="0.2">
      <c r="A77">
        <v>0.28617710583153355</v>
      </c>
      <c r="B77">
        <v>0.3175874588497522</v>
      </c>
    </row>
    <row r="78" spans="1:2" x14ac:dyDescent="0.2">
      <c r="A78">
        <v>0.28833693304535646</v>
      </c>
      <c r="B78">
        <v>0.31806903622787747</v>
      </c>
    </row>
    <row r="79" spans="1:2" x14ac:dyDescent="0.2">
      <c r="A79">
        <v>0.29265658747300227</v>
      </c>
      <c r="B79">
        <v>0.31855092140074515</v>
      </c>
    </row>
    <row r="80" spans="1:2" x14ac:dyDescent="0.2">
      <c r="A80">
        <v>0.29805615550755948</v>
      </c>
      <c r="B80">
        <v>0.3190331136856151</v>
      </c>
    </row>
    <row r="81" spans="1:2" x14ac:dyDescent="0.2">
      <c r="A81">
        <v>0.3034557235421167</v>
      </c>
      <c r="B81">
        <v>0.31951561239819154</v>
      </c>
    </row>
    <row r="82" spans="1:2" x14ac:dyDescent="0.2">
      <c r="A82">
        <v>0.30777537796976251</v>
      </c>
      <c r="B82">
        <v>0.31999841685262564</v>
      </c>
    </row>
    <row r="83" spans="1:2" x14ac:dyDescent="0.2">
      <c r="A83">
        <v>0.31533477321814263</v>
      </c>
      <c r="B83">
        <v>0.32048152636151839</v>
      </c>
    </row>
    <row r="84" spans="1:2" x14ac:dyDescent="0.2">
      <c r="A84">
        <v>0.32181425485961129</v>
      </c>
      <c r="B84">
        <v>0.32096494023592326</v>
      </c>
    </row>
    <row r="85" spans="1:2" x14ac:dyDescent="0.2">
      <c r="A85">
        <v>0.32613390928725711</v>
      </c>
      <c r="B85">
        <v>0.32144865778534915</v>
      </c>
    </row>
    <row r="86" spans="1:2" x14ac:dyDescent="0.2">
      <c r="A86">
        <v>0.32829373650108001</v>
      </c>
      <c r="B86">
        <v>0.32193267831776307</v>
      </c>
    </row>
    <row r="87" spans="1:2" x14ac:dyDescent="0.2">
      <c r="A87">
        <v>0.33369330453563723</v>
      </c>
      <c r="B87">
        <v>0.32241700113959298</v>
      </c>
    </row>
    <row r="88" spans="1:2" x14ac:dyDescent="0.2">
      <c r="A88">
        <v>0.33585313174946013</v>
      </c>
      <c r="B88">
        <v>0.32290162555573076</v>
      </c>
    </row>
    <row r="89" spans="1:2" x14ac:dyDescent="0.2">
      <c r="A89">
        <v>0.34125269978401734</v>
      </c>
      <c r="B89">
        <v>0.32338655086953483</v>
      </c>
    </row>
    <row r="90" spans="1:2" x14ac:dyDescent="0.2">
      <c r="A90">
        <v>0.34557235421166316</v>
      </c>
      <c r="B90">
        <v>0.32387177638283321</v>
      </c>
    </row>
    <row r="91" spans="1:2" x14ac:dyDescent="0.2">
      <c r="A91">
        <v>0.35097192224622037</v>
      </c>
      <c r="B91">
        <v>0.32435730139592628</v>
      </c>
    </row>
    <row r="92" spans="1:2" x14ac:dyDescent="0.2">
      <c r="A92">
        <v>0.35421166306695473</v>
      </c>
      <c r="B92">
        <v>0.32484312520758973</v>
      </c>
    </row>
    <row r="93" spans="1:2" x14ac:dyDescent="0.2">
      <c r="A93">
        <v>0.35961123110151194</v>
      </c>
      <c r="B93">
        <v>0.32532924711507732</v>
      </c>
    </row>
    <row r="94" spans="1:2" x14ac:dyDescent="0.2">
      <c r="A94">
        <v>0.3628509719222463</v>
      </c>
      <c r="B94">
        <v>0.32581566641412407</v>
      </c>
    </row>
    <row r="95" spans="1:2" x14ac:dyDescent="0.2">
      <c r="A95">
        <v>0.36825053995680351</v>
      </c>
      <c r="B95">
        <v>0.32630238239894882</v>
      </c>
    </row>
    <row r="96" spans="1:2" x14ac:dyDescent="0.2">
      <c r="A96">
        <v>0.37257019438444933</v>
      </c>
      <c r="B96">
        <v>0.32678939436225746</v>
      </c>
    </row>
    <row r="97" spans="1:2" x14ac:dyDescent="0.2">
      <c r="A97">
        <v>0.37365010799136078</v>
      </c>
      <c r="B97">
        <v>0.32776430338760248</v>
      </c>
    </row>
    <row r="98" spans="1:2" x14ac:dyDescent="0.2">
      <c r="A98">
        <v>0.37904967602591799</v>
      </c>
      <c r="B98">
        <v>0.32825219902751196</v>
      </c>
    </row>
    <row r="99" spans="1:2" x14ac:dyDescent="0.2">
      <c r="A99">
        <v>0.3812095032397409</v>
      </c>
      <c r="B99">
        <v>0.32874038780165754</v>
      </c>
    </row>
    <row r="100" spans="1:2" x14ac:dyDescent="0.2">
      <c r="A100">
        <v>0.38228941684665235</v>
      </c>
      <c r="B100">
        <v>0.3292288689952243</v>
      </c>
    </row>
    <row r="101" spans="1:2" x14ac:dyDescent="0.2">
      <c r="A101">
        <v>0.38768898488120956</v>
      </c>
      <c r="B101">
        <v>0.32971764189190222</v>
      </c>
    </row>
    <row r="102" spans="1:2" x14ac:dyDescent="0.2">
      <c r="A102">
        <v>0.38876889848812102</v>
      </c>
      <c r="B102">
        <v>0.33020670577388911</v>
      </c>
    </row>
    <row r="103" spans="1:2" x14ac:dyDescent="0.2">
      <c r="A103">
        <v>0.39200863930885538</v>
      </c>
      <c r="B103">
        <v>0.33069605992189371</v>
      </c>
    </row>
    <row r="104" spans="1:2" x14ac:dyDescent="0.2">
      <c r="A104">
        <v>0.39740820734341259</v>
      </c>
      <c r="B104">
        <v>0.33118570361513866</v>
      </c>
    </row>
    <row r="105" spans="1:2" x14ac:dyDescent="0.2">
      <c r="A105">
        <v>0.40064794816414695</v>
      </c>
      <c r="B105">
        <v>0.33167563613136364</v>
      </c>
    </row>
    <row r="106" spans="1:2" x14ac:dyDescent="0.2">
      <c r="A106">
        <v>0.40496760259179276</v>
      </c>
      <c r="B106">
        <v>0.33216585674682853</v>
      </c>
    </row>
    <row r="107" spans="1:2" x14ac:dyDescent="0.2">
      <c r="A107">
        <v>0.40928725701943858</v>
      </c>
      <c r="B107">
        <v>0.33265636473631621</v>
      </c>
    </row>
    <row r="108" spans="1:2" x14ac:dyDescent="0.2">
      <c r="A108">
        <v>0.41360691144708439</v>
      </c>
      <c r="B108">
        <v>0.33314715937313599</v>
      </c>
    </row>
    <row r="109" spans="1:2" x14ac:dyDescent="0.2">
      <c r="A109">
        <v>0.4157667386609073</v>
      </c>
      <c r="B109">
        <v>0.3336382399291265</v>
      </c>
    </row>
    <row r="110" spans="1:2" x14ac:dyDescent="0.2">
      <c r="A110">
        <v>0.42008639308855311</v>
      </c>
      <c r="B110">
        <v>0.33412960567465899</v>
      </c>
    </row>
    <row r="111" spans="1:2" x14ac:dyDescent="0.2">
      <c r="A111">
        <v>0.42332613390928747</v>
      </c>
      <c r="B111">
        <v>0.33462125587864028</v>
      </c>
    </row>
    <row r="112" spans="1:2" x14ac:dyDescent="0.2">
      <c r="A112">
        <v>0.42548596112311038</v>
      </c>
      <c r="B112">
        <v>0.33511318980851612</v>
      </c>
    </row>
    <row r="113" spans="1:2" x14ac:dyDescent="0.2">
      <c r="A113">
        <v>0.42764578833693329</v>
      </c>
      <c r="B113">
        <v>0.33560540673027411</v>
      </c>
    </row>
    <row r="114" spans="1:2" x14ac:dyDescent="0.2">
      <c r="A114">
        <v>0.42980561555075619</v>
      </c>
      <c r="B114">
        <v>0.33609790590844707</v>
      </c>
    </row>
    <row r="115" spans="1:2" x14ac:dyDescent="0.2">
      <c r="A115">
        <v>0.43304535637149055</v>
      </c>
      <c r="B115">
        <v>0.3365906866061163</v>
      </c>
    </row>
    <row r="116" spans="1:2" x14ac:dyDescent="0.2">
      <c r="A116">
        <v>0.43520518358531346</v>
      </c>
      <c r="B116">
        <v>0.33708374808491443</v>
      </c>
    </row>
    <row r="117" spans="1:2" x14ac:dyDescent="0.2">
      <c r="A117">
        <v>0.43628509719222491</v>
      </c>
      <c r="B117">
        <v>0.33757708960502908</v>
      </c>
    </row>
    <row r="118" spans="1:2" x14ac:dyDescent="0.2">
      <c r="A118">
        <v>0.43844492440604782</v>
      </c>
      <c r="B118">
        <v>0.33807071042520576</v>
      </c>
    </row>
    <row r="119" spans="1:2" x14ac:dyDescent="0.2">
      <c r="A119">
        <v>0.44384449244060503</v>
      </c>
      <c r="B119">
        <v>0.3385646098027511</v>
      </c>
    </row>
    <row r="120" spans="1:2" x14ac:dyDescent="0.2">
      <c r="A120">
        <v>0.44816414686825085</v>
      </c>
      <c r="B120">
        <v>0.33905878699353653</v>
      </c>
    </row>
    <row r="121" spans="1:2" x14ac:dyDescent="0.2">
      <c r="A121">
        <v>0.45248380129589666</v>
      </c>
      <c r="B121">
        <v>0.34004797183115432</v>
      </c>
    </row>
    <row r="122" spans="1:2" x14ac:dyDescent="0.2">
      <c r="A122">
        <v>0.45680345572354247</v>
      </c>
      <c r="B122">
        <v>0.3405429779825811</v>
      </c>
    </row>
    <row r="123" spans="1:2" x14ac:dyDescent="0.2">
      <c r="A123">
        <v>0.45896328293736538</v>
      </c>
      <c r="B123">
        <v>0.34103825895644324</v>
      </c>
    </row>
    <row r="124" spans="1:2" x14ac:dyDescent="0.2">
      <c r="A124">
        <v>0.46112311015118829</v>
      </c>
      <c r="B124">
        <v>0.34202964236502925</v>
      </c>
    </row>
    <row r="125" spans="1:2" x14ac:dyDescent="0.2">
      <c r="A125">
        <v>0.46328293736501119</v>
      </c>
      <c r="B125">
        <v>0.34252574329299512</v>
      </c>
    </row>
    <row r="126" spans="1:2" x14ac:dyDescent="0.2">
      <c r="A126">
        <v>0.46436285097192265</v>
      </c>
      <c r="B126">
        <v>0.34302211602988675</v>
      </c>
    </row>
    <row r="127" spans="1:2" x14ac:dyDescent="0.2">
      <c r="A127">
        <v>0.47084233261339131</v>
      </c>
      <c r="B127">
        <v>0.34351875981880425</v>
      </c>
    </row>
    <row r="128" spans="1:2" x14ac:dyDescent="0.2">
      <c r="A128">
        <v>0.47300215982721422</v>
      </c>
      <c r="B128">
        <v>0.34401567390144522</v>
      </c>
    </row>
    <row r="129" spans="1:2" x14ac:dyDescent="0.2">
      <c r="A129">
        <v>0.47408207343412567</v>
      </c>
      <c r="B129">
        <v>0.3445128575181084</v>
      </c>
    </row>
    <row r="130" spans="1:2" x14ac:dyDescent="0.2">
      <c r="A130">
        <v>0.47732181425486003</v>
      </c>
      <c r="B130">
        <v>0.34501030990769699</v>
      </c>
    </row>
    <row r="131" spans="1:2" x14ac:dyDescent="0.2">
      <c r="A131">
        <v>0.48056155507559439</v>
      </c>
      <c r="B131">
        <v>0.34550803030772209</v>
      </c>
    </row>
    <row r="132" spans="1:2" x14ac:dyDescent="0.2">
      <c r="A132">
        <v>0.4827213822894173</v>
      </c>
      <c r="B132">
        <v>0.34650427208218598</v>
      </c>
    </row>
    <row r="133" spans="1:2" x14ac:dyDescent="0.2">
      <c r="A133">
        <v>0.48920086393088597</v>
      </c>
      <c r="B133">
        <v>0.34700279192471717</v>
      </c>
    </row>
    <row r="134" spans="1:2" x14ac:dyDescent="0.2">
      <c r="A134">
        <v>0.49244060475162033</v>
      </c>
      <c r="B134">
        <v>0.34750157671387649</v>
      </c>
    </row>
    <row r="135" spans="1:2" x14ac:dyDescent="0.2">
      <c r="A135">
        <v>0.49460043196544323</v>
      </c>
      <c r="B135">
        <v>0.34800062568026591</v>
      </c>
    </row>
    <row r="136" spans="1:2" x14ac:dyDescent="0.2">
      <c r="A136">
        <v>0.49892008639308905</v>
      </c>
      <c r="B136">
        <v>0.34849993805311613</v>
      </c>
    </row>
    <row r="137" spans="1:2" x14ac:dyDescent="0.2">
      <c r="A137">
        <v>0.50107991360691195</v>
      </c>
      <c r="B137">
        <v>0.3489995130602897</v>
      </c>
    </row>
    <row r="138" spans="1:2" x14ac:dyDescent="0.2">
      <c r="A138">
        <v>0.50323974082073486</v>
      </c>
      <c r="B138">
        <v>0.34949934992828496</v>
      </c>
    </row>
    <row r="139" spans="1:2" x14ac:dyDescent="0.2">
      <c r="A139">
        <v>0.50431965442764626</v>
      </c>
      <c r="B139">
        <v>0.34999944788223913</v>
      </c>
    </row>
    <row r="140" spans="1:2" x14ac:dyDescent="0.2">
      <c r="A140">
        <v>0.50539956803455766</v>
      </c>
      <c r="B140">
        <v>0.35049980614593235</v>
      </c>
    </row>
    <row r="141" spans="1:2" x14ac:dyDescent="0.2">
      <c r="A141">
        <v>0.50647948164146905</v>
      </c>
      <c r="B141">
        <v>0.3510004239417906</v>
      </c>
    </row>
    <row r="142" spans="1:2" x14ac:dyDescent="0.2">
      <c r="A142">
        <v>0.50755939524838045</v>
      </c>
      <c r="B142">
        <v>0.35150130049088985</v>
      </c>
    </row>
    <row r="143" spans="1:2" x14ac:dyDescent="0.2">
      <c r="A143">
        <v>0.50863930885529185</v>
      </c>
      <c r="B143">
        <v>0.35200243501295919</v>
      </c>
    </row>
    <row r="144" spans="1:2" x14ac:dyDescent="0.2">
      <c r="A144">
        <v>0.51187904967602615</v>
      </c>
      <c r="B144">
        <v>0.35250382672638469</v>
      </c>
    </row>
    <row r="145" spans="1:2" x14ac:dyDescent="0.2">
      <c r="A145">
        <v>0.51295896328293755</v>
      </c>
      <c r="B145">
        <v>0.35300547484821276</v>
      </c>
    </row>
    <row r="146" spans="1:2" x14ac:dyDescent="0.2">
      <c r="A146">
        <v>0.51619870410367186</v>
      </c>
      <c r="B146">
        <v>0.35350737859415382</v>
      </c>
    </row>
    <row r="147" spans="1:2" x14ac:dyDescent="0.2">
      <c r="A147">
        <v>0.51727861771058326</v>
      </c>
      <c r="B147">
        <v>0.35400953717858619</v>
      </c>
    </row>
    <row r="148" spans="1:2" x14ac:dyDescent="0.2">
      <c r="A148">
        <v>0.51943844492440616</v>
      </c>
      <c r="B148">
        <v>0.35451194981455914</v>
      </c>
    </row>
    <row r="149" spans="1:2" x14ac:dyDescent="0.2">
      <c r="A149">
        <v>0.52159827213822907</v>
      </c>
      <c r="B149">
        <v>0.35501461571379717</v>
      </c>
    </row>
    <row r="150" spans="1:2" x14ac:dyDescent="0.2">
      <c r="A150">
        <v>0.52267818574514047</v>
      </c>
      <c r="B150">
        <v>0.35602070414236192</v>
      </c>
    </row>
    <row r="151" spans="1:2" x14ac:dyDescent="0.2">
      <c r="A151">
        <v>0.52483801295896337</v>
      </c>
      <c r="B151">
        <v>0.35652412508854486</v>
      </c>
    </row>
    <row r="152" spans="1:2" x14ac:dyDescent="0.2">
      <c r="A152">
        <v>0.52699784017278628</v>
      </c>
      <c r="B152">
        <v>0.35803588532831326</v>
      </c>
    </row>
    <row r="153" spans="1:2" x14ac:dyDescent="0.2">
      <c r="A153">
        <v>0.52915766738660919</v>
      </c>
      <c r="B153">
        <v>0.35904496535778097</v>
      </c>
    </row>
    <row r="154" spans="1:2" x14ac:dyDescent="0.2">
      <c r="A154">
        <v>0.533477321814255</v>
      </c>
      <c r="B154">
        <v>0.35954987493717339</v>
      </c>
    </row>
    <row r="155" spans="1:2" x14ac:dyDescent="0.2">
      <c r="A155">
        <v>0.53671706263498931</v>
      </c>
      <c r="B155">
        <v>0.36005502982500198</v>
      </c>
    </row>
    <row r="156" spans="1:2" x14ac:dyDescent="0.2">
      <c r="A156">
        <v>0.53887688984881221</v>
      </c>
      <c r="B156">
        <v>0.36056042921865827</v>
      </c>
    </row>
    <row r="157" spans="1:2" x14ac:dyDescent="0.2">
      <c r="A157">
        <v>0.53995680345572361</v>
      </c>
      <c r="B157">
        <v>0.36106607231425314</v>
      </c>
    </row>
    <row r="158" spans="1:2" x14ac:dyDescent="0.2">
      <c r="A158">
        <v>0.54427645788336942</v>
      </c>
      <c r="B158">
        <v>0.3620780863893216</v>
      </c>
    </row>
    <row r="159" spans="1:2" x14ac:dyDescent="0.2">
      <c r="A159">
        <v>0.55075593952483815</v>
      </c>
      <c r="B159">
        <v>0.36309106559362647</v>
      </c>
    </row>
    <row r="160" spans="1:2" x14ac:dyDescent="0.2">
      <c r="A160">
        <v>0.55183585313174954</v>
      </c>
      <c r="B160">
        <v>0.36359791509602152</v>
      </c>
    </row>
    <row r="161" spans="1:2" x14ac:dyDescent="0.2">
      <c r="A161">
        <v>0.55399568034557245</v>
      </c>
      <c r="B161">
        <v>0.3641050034503403</v>
      </c>
    </row>
    <row r="162" spans="1:2" x14ac:dyDescent="0.2">
      <c r="A162">
        <v>0.55615550755939536</v>
      </c>
      <c r="B162">
        <v>0.36461232984383612</v>
      </c>
    </row>
    <row r="163" spans="1:2" x14ac:dyDescent="0.2">
      <c r="A163">
        <v>0.55723542116630675</v>
      </c>
      <c r="B163">
        <v>0.365119893462512</v>
      </c>
    </row>
    <row r="164" spans="1:2" x14ac:dyDescent="0.2">
      <c r="A164">
        <v>0.55939524838012966</v>
      </c>
      <c r="B164">
        <v>0.36562769349112501</v>
      </c>
    </row>
    <row r="165" spans="1:2" x14ac:dyDescent="0.2">
      <c r="A165">
        <v>0.56155507559395257</v>
      </c>
      <c r="B165">
        <v>0.36613572911318987</v>
      </c>
    </row>
    <row r="166" spans="1:2" x14ac:dyDescent="0.2">
      <c r="A166">
        <v>0.56263498920086397</v>
      </c>
      <c r="B166">
        <v>0.36664399951098281</v>
      </c>
    </row>
    <row r="167" spans="1:2" x14ac:dyDescent="0.2">
      <c r="A167">
        <v>0.56587473002159827</v>
      </c>
      <c r="B167">
        <v>0.36766124135668971</v>
      </c>
    </row>
    <row r="168" spans="1:2" x14ac:dyDescent="0.2">
      <c r="A168">
        <v>0.56803455723542118</v>
      </c>
      <c r="B168">
        <v>0.36817021116299947</v>
      </c>
    </row>
    <row r="169" spans="1:2" x14ac:dyDescent="0.2">
      <c r="A169">
        <v>0.56911447084233258</v>
      </c>
      <c r="B169">
        <v>0.36867941246183678</v>
      </c>
    </row>
    <row r="170" spans="1:2" x14ac:dyDescent="0.2">
      <c r="A170">
        <v>0.57127429805615548</v>
      </c>
      <c r="B170">
        <v>0.36918884442934469</v>
      </c>
    </row>
    <row r="171" spans="1:2" x14ac:dyDescent="0.2">
      <c r="A171">
        <v>0.57343412526997839</v>
      </c>
      <c r="B171">
        <v>0.36969850624045147</v>
      </c>
    </row>
    <row r="172" spans="1:2" x14ac:dyDescent="0.2">
      <c r="A172">
        <v>0.5788336933045356</v>
      </c>
      <c r="B172">
        <v>0.37020839706887454</v>
      </c>
    </row>
    <row r="173" spans="1:2" x14ac:dyDescent="0.2">
      <c r="A173">
        <v>0.579913606911447</v>
      </c>
      <c r="B173">
        <v>0.37071851608712436</v>
      </c>
    </row>
    <row r="174" spans="1:2" x14ac:dyDescent="0.2">
      <c r="A174">
        <v>0.5809935205183584</v>
      </c>
      <c r="B174">
        <v>0.37122886246650855</v>
      </c>
    </row>
    <row r="175" spans="1:2" x14ac:dyDescent="0.2">
      <c r="A175">
        <v>0.5820734341252698</v>
      </c>
      <c r="B175">
        <v>0.37173943537713577</v>
      </c>
    </row>
    <row r="176" spans="1:2" x14ac:dyDescent="0.2">
      <c r="A176">
        <v>0.58315334773218119</v>
      </c>
      <c r="B176">
        <v>0.37225023398792001</v>
      </c>
    </row>
    <row r="177" spans="1:2" x14ac:dyDescent="0.2">
      <c r="A177">
        <v>0.5853131749460041</v>
      </c>
      <c r="B177">
        <v>0.37276125746658406</v>
      </c>
    </row>
    <row r="178" spans="1:2" x14ac:dyDescent="0.2">
      <c r="A178">
        <v>0.5863930885529155</v>
      </c>
      <c r="B178">
        <v>0.37327250497966413</v>
      </c>
    </row>
    <row r="179" spans="1:2" x14ac:dyDescent="0.2">
      <c r="A179">
        <v>0.5896328293736498</v>
      </c>
      <c r="B179">
        <v>0.37378397569251348</v>
      </c>
    </row>
    <row r="180" spans="1:2" x14ac:dyDescent="0.2">
      <c r="A180">
        <v>0.5907127429805612</v>
      </c>
      <c r="B180">
        <v>0.37429566876930681</v>
      </c>
    </row>
    <row r="181" spans="1:2" x14ac:dyDescent="0.2">
      <c r="A181">
        <v>0.59287257019438411</v>
      </c>
      <c r="B181">
        <v>0.37531971866555414</v>
      </c>
    </row>
    <row r="182" spans="1:2" x14ac:dyDescent="0.2">
      <c r="A182">
        <v>0.59503239740820701</v>
      </c>
      <c r="B182">
        <v>0.37583207380750017</v>
      </c>
    </row>
    <row r="183" spans="1:2" x14ac:dyDescent="0.2">
      <c r="A183">
        <v>0.60043196544276423</v>
      </c>
      <c r="B183">
        <v>0.37634464795838235</v>
      </c>
    </row>
    <row r="184" spans="1:2" x14ac:dyDescent="0.2">
      <c r="A184">
        <v>0.60367170626349853</v>
      </c>
      <c r="B184">
        <v>0.37685744027654261</v>
      </c>
    </row>
    <row r="185" spans="1:2" x14ac:dyDescent="0.2">
      <c r="A185">
        <v>0.60475161987040993</v>
      </c>
      <c r="B185">
        <v>0.37737044991916874</v>
      </c>
    </row>
    <row r="186" spans="1:2" x14ac:dyDescent="0.2">
      <c r="A186">
        <v>0.60691144708423284</v>
      </c>
      <c r="B186">
        <v>0.37788367604229833</v>
      </c>
    </row>
    <row r="187" spans="1:2" x14ac:dyDescent="0.2">
      <c r="A187">
        <v>0.61015118790496714</v>
      </c>
      <c r="B187">
        <v>0.37839711780082308</v>
      </c>
    </row>
    <row r="188" spans="1:2" x14ac:dyDescent="0.2">
      <c r="A188">
        <v>0.61123110151187854</v>
      </c>
      <c r="B188">
        <v>0.3789107743484928</v>
      </c>
    </row>
    <row r="189" spans="1:2" x14ac:dyDescent="0.2">
      <c r="A189">
        <v>0.61339092872570145</v>
      </c>
      <c r="B189">
        <v>0.37993872842058213</v>
      </c>
    </row>
    <row r="190" spans="1:2" x14ac:dyDescent="0.2">
      <c r="A190">
        <v>0.61447084233261284</v>
      </c>
      <c r="B190">
        <v>0.38251231295536398</v>
      </c>
    </row>
    <row r="191" spans="1:2" x14ac:dyDescent="0.2">
      <c r="A191">
        <v>0.61771058315334715</v>
      </c>
      <c r="B191">
        <v>0.38302765721554255</v>
      </c>
    </row>
    <row r="192" spans="1:2" x14ac:dyDescent="0.2">
      <c r="A192">
        <v>0.61879049676025855</v>
      </c>
      <c r="B192">
        <v>0.38354320859792068</v>
      </c>
    </row>
    <row r="193" spans="1:2" x14ac:dyDescent="0.2">
      <c r="A193">
        <v>0.62095032397408145</v>
      </c>
      <c r="B193">
        <v>0.38457492929842618</v>
      </c>
    </row>
    <row r="194" spans="1:2" x14ac:dyDescent="0.2">
      <c r="A194">
        <v>0.62311015118790436</v>
      </c>
      <c r="B194">
        <v>0.38509109689839416</v>
      </c>
    </row>
    <row r="195" spans="1:2" x14ac:dyDescent="0.2">
      <c r="A195">
        <v>0.62526997840172727</v>
      </c>
      <c r="B195">
        <v>0.38560746818425135</v>
      </c>
    </row>
    <row r="196" spans="1:2" x14ac:dyDescent="0.2">
      <c r="A196">
        <v>0.62742980561555017</v>
      </c>
      <c r="B196">
        <v>0.3866408183653739</v>
      </c>
    </row>
    <row r="197" spans="1:2" x14ac:dyDescent="0.2">
      <c r="A197">
        <v>0.62958963282937308</v>
      </c>
      <c r="B197">
        <v>0.38715779553381757</v>
      </c>
    </row>
    <row r="198" spans="1:2" x14ac:dyDescent="0.2">
      <c r="A198">
        <v>0.63066954643628448</v>
      </c>
      <c r="B198">
        <v>0.38767497293451569</v>
      </c>
    </row>
    <row r="199" spans="1:2" x14ac:dyDescent="0.2">
      <c r="A199">
        <v>0.63282937365010739</v>
      </c>
      <c r="B199">
        <v>0.38819234970138478</v>
      </c>
    </row>
    <row r="200" spans="1:2" x14ac:dyDescent="0.2">
      <c r="A200">
        <v>0.63390928725701878</v>
      </c>
      <c r="B200">
        <v>0.38974566752229134</v>
      </c>
    </row>
    <row r="201" spans="1:2" x14ac:dyDescent="0.2">
      <c r="A201">
        <v>0.63714902807775309</v>
      </c>
      <c r="B201">
        <v>0.39078219364133177</v>
      </c>
    </row>
    <row r="202" spans="1:2" x14ac:dyDescent="0.2">
      <c r="A202">
        <v>0.64038876889848739</v>
      </c>
      <c r="B202">
        <v>0.39130074835834944</v>
      </c>
    </row>
    <row r="203" spans="1:2" x14ac:dyDescent="0.2">
      <c r="A203">
        <v>0.64146868250539879</v>
      </c>
      <c r="B203">
        <v>0.39233843674028057</v>
      </c>
    </row>
    <row r="204" spans="1:2" x14ac:dyDescent="0.2">
      <c r="A204">
        <v>0.64254859611231019</v>
      </c>
      <c r="B204">
        <v>0.39337689121793618</v>
      </c>
    </row>
    <row r="205" spans="1:2" x14ac:dyDescent="0.2">
      <c r="A205">
        <v>0.64362850971922159</v>
      </c>
      <c r="B205">
        <v>0.39441610477525868</v>
      </c>
    </row>
    <row r="206" spans="1:2" x14ac:dyDescent="0.2">
      <c r="A206">
        <v>0.64686825053995589</v>
      </c>
      <c r="B206">
        <v>0.3949359940118411</v>
      </c>
    </row>
    <row r="207" spans="1:2" x14ac:dyDescent="0.2">
      <c r="A207">
        <v>0.64794816414686729</v>
      </c>
      <c r="B207">
        <v>0.39545607037998204</v>
      </c>
    </row>
    <row r="208" spans="1:2" x14ac:dyDescent="0.2">
      <c r="A208">
        <v>0.64902807775377869</v>
      </c>
      <c r="B208">
        <v>0.395976332998139</v>
      </c>
    </row>
    <row r="209" spans="1:2" x14ac:dyDescent="0.2">
      <c r="A209">
        <v>0.65118790496760159</v>
      </c>
      <c r="B209">
        <v>0.39701741345335945</v>
      </c>
    </row>
    <row r="210" spans="1:2" x14ac:dyDescent="0.2">
      <c r="A210">
        <v>0.65226781857451299</v>
      </c>
      <c r="B210">
        <v>0.39805922830533907</v>
      </c>
    </row>
    <row r="211" spans="1:2" x14ac:dyDescent="0.2">
      <c r="A211">
        <v>0.6544276457883359</v>
      </c>
      <c r="B211">
        <v>0.3991017704662061</v>
      </c>
    </row>
    <row r="212" spans="1:2" x14ac:dyDescent="0.2">
      <c r="A212">
        <v>0.6555075593952473</v>
      </c>
      <c r="B212">
        <v>0.40066693186868485</v>
      </c>
    </row>
    <row r="213" spans="1:2" x14ac:dyDescent="0.2">
      <c r="A213">
        <v>0.6587473002159816</v>
      </c>
      <c r="B213">
        <v>0.40118900828544041</v>
      </c>
    </row>
    <row r="214" spans="1:2" x14ac:dyDescent="0.2">
      <c r="A214">
        <v>0.66306695464362742</v>
      </c>
      <c r="B214">
        <v>0.40171126119054923</v>
      </c>
    </row>
    <row r="215" spans="1:2" x14ac:dyDescent="0.2">
      <c r="A215">
        <v>0.66414686825053881</v>
      </c>
      <c r="B215">
        <v>0.40223368969082351</v>
      </c>
    </row>
    <row r="216" spans="1:2" x14ac:dyDescent="0.2">
      <c r="A216">
        <v>0.66522678185745021</v>
      </c>
      <c r="B216">
        <v>0.40275629289213449</v>
      </c>
    </row>
    <row r="217" spans="1:2" x14ac:dyDescent="0.2">
      <c r="A217">
        <v>0.66630669546436161</v>
      </c>
      <c r="B217">
        <v>0.40380201981667396</v>
      </c>
    </row>
    <row r="218" spans="1:2" x14ac:dyDescent="0.2">
      <c r="A218">
        <v>0.66738660907127301</v>
      </c>
      <c r="B218">
        <v>0.40432514174698136</v>
      </c>
    </row>
    <row r="219" spans="1:2" x14ac:dyDescent="0.2">
      <c r="A219">
        <v>0.6684665226781844</v>
      </c>
      <c r="B219">
        <v>0.40484843479249244</v>
      </c>
    </row>
    <row r="220" spans="1:2" x14ac:dyDescent="0.2">
      <c r="A220">
        <v>0.6695464362850958</v>
      </c>
      <c r="B220">
        <v>0.40589553063315348</v>
      </c>
    </row>
    <row r="221" spans="1:2" x14ac:dyDescent="0.2">
      <c r="A221">
        <v>0.6706263498920072</v>
      </c>
      <c r="B221">
        <v>0.40746743525946799</v>
      </c>
    </row>
    <row r="222" spans="1:2" x14ac:dyDescent="0.2">
      <c r="A222">
        <v>0.6717062634989186</v>
      </c>
      <c r="B222">
        <v>0.40799173609033679</v>
      </c>
    </row>
    <row r="223" spans="1:2" x14ac:dyDescent="0.2">
      <c r="A223">
        <v>0.67386609071274151</v>
      </c>
      <c r="B223">
        <v>0.40904083126151081</v>
      </c>
    </row>
    <row r="224" spans="1:2" x14ac:dyDescent="0.2">
      <c r="A224">
        <v>0.6749460043196529</v>
      </c>
      <c r="B224">
        <v>0.41009057840712887</v>
      </c>
    </row>
    <row r="225" spans="1:2" x14ac:dyDescent="0.2">
      <c r="A225">
        <v>0.6760259179265643</v>
      </c>
      <c r="B225">
        <v>0.41114097026917307</v>
      </c>
    </row>
    <row r="226" spans="1:2" x14ac:dyDescent="0.2">
      <c r="A226">
        <v>0.67818574514038721</v>
      </c>
      <c r="B226">
        <v>0.41166640569692842</v>
      </c>
    </row>
    <row r="227" spans="1:2" x14ac:dyDescent="0.2">
      <c r="A227">
        <v>0.67926565874729861</v>
      </c>
      <c r="B227">
        <v>0.41219199957575808</v>
      </c>
    </row>
    <row r="228" spans="1:2" x14ac:dyDescent="0.2">
      <c r="A228">
        <v>0.68034557235421</v>
      </c>
      <c r="B228">
        <v>0.41271775099453439</v>
      </c>
    </row>
    <row r="229" spans="1:2" x14ac:dyDescent="0.2">
      <c r="A229">
        <v>0.6814254859611214</v>
      </c>
      <c r="B229">
        <v>0.41429594136657594</v>
      </c>
    </row>
    <row r="230" spans="1:2" x14ac:dyDescent="0.2">
      <c r="A230">
        <v>0.68358531317494431</v>
      </c>
      <c r="B230">
        <v>0.41534883923905919</v>
      </c>
    </row>
    <row r="231" spans="1:2" x14ac:dyDescent="0.2">
      <c r="A231">
        <v>0.68466522678185571</v>
      </c>
      <c r="B231">
        <v>0.41587551671668449</v>
      </c>
    </row>
    <row r="232" spans="1:2" x14ac:dyDescent="0.2">
      <c r="A232">
        <v>0.6857451403887671</v>
      </c>
      <c r="B232">
        <v>0.41692932416989231</v>
      </c>
    </row>
    <row r="233" spans="1:2" x14ac:dyDescent="0.2">
      <c r="A233">
        <v>0.68790496760259001</v>
      </c>
      <c r="B233">
        <v>0.41745645230911005</v>
      </c>
    </row>
    <row r="234" spans="1:2" x14ac:dyDescent="0.2">
      <c r="A234">
        <v>0.68898488120950141</v>
      </c>
      <c r="B234">
        <v>0.41798372883114909</v>
      </c>
    </row>
    <row r="235" spans="1:2" x14ac:dyDescent="0.2">
      <c r="A235">
        <v>0.69114470842332432</v>
      </c>
      <c r="B235">
        <v>0.41903872334212627</v>
      </c>
    </row>
    <row r="236" spans="1:2" x14ac:dyDescent="0.2">
      <c r="A236">
        <v>0.69330453563714722</v>
      </c>
      <c r="B236">
        <v>0.42062230494919572</v>
      </c>
    </row>
    <row r="237" spans="1:2" x14ac:dyDescent="0.2">
      <c r="A237">
        <v>0.69438444924405862</v>
      </c>
      <c r="B237">
        <v>0.42167874180865633</v>
      </c>
    </row>
    <row r="238" spans="1:2" x14ac:dyDescent="0.2">
      <c r="A238">
        <v>0.69546436285097002</v>
      </c>
      <c r="B238">
        <v>0.42326445227452519</v>
      </c>
    </row>
    <row r="239" spans="1:2" x14ac:dyDescent="0.2">
      <c r="A239">
        <v>0.69654427645788142</v>
      </c>
      <c r="B239">
        <v>0.42432228521920035</v>
      </c>
    </row>
    <row r="240" spans="1:2" x14ac:dyDescent="0.2">
      <c r="A240">
        <v>0.69870410367170432</v>
      </c>
      <c r="B240">
        <v>0.42538066360180971</v>
      </c>
    </row>
    <row r="241" spans="1:2" x14ac:dyDescent="0.2">
      <c r="A241">
        <v>0.69978401727861572</v>
      </c>
      <c r="B241">
        <v>0.42591005500649937</v>
      </c>
    </row>
    <row r="242" spans="1:2" x14ac:dyDescent="0.2">
      <c r="A242">
        <v>0.70194384449243863</v>
      </c>
      <c r="B242">
        <v>0.4264395799782037</v>
      </c>
    </row>
    <row r="243" spans="1:2" x14ac:dyDescent="0.2">
      <c r="A243">
        <v>0.70410367170626154</v>
      </c>
      <c r="B243">
        <v>0.42749902689259678</v>
      </c>
    </row>
    <row r="244" spans="1:2" x14ac:dyDescent="0.2">
      <c r="A244">
        <v>0.70518358531317293</v>
      </c>
      <c r="B244">
        <v>0.42855899687772497</v>
      </c>
    </row>
    <row r="245" spans="1:2" x14ac:dyDescent="0.2">
      <c r="A245">
        <v>0.70626349892008433</v>
      </c>
      <c r="B245">
        <v>0.43227290293535031</v>
      </c>
    </row>
    <row r="246" spans="1:2" x14ac:dyDescent="0.2">
      <c r="A246">
        <v>0.70734341252699573</v>
      </c>
      <c r="B246">
        <v>0.43439784693047007</v>
      </c>
    </row>
    <row r="247" spans="1:2" x14ac:dyDescent="0.2">
      <c r="A247">
        <v>0.70950323974081864</v>
      </c>
      <c r="B247">
        <v>0.43492938170069717</v>
      </c>
    </row>
    <row r="248" spans="1:2" x14ac:dyDescent="0.2">
      <c r="A248">
        <v>0.71274298056155294</v>
      </c>
      <c r="B248">
        <v>0.43758880101183639</v>
      </c>
    </row>
    <row r="249" spans="1:2" x14ac:dyDescent="0.2">
      <c r="A249">
        <v>0.71490280777537585</v>
      </c>
      <c r="B249">
        <v>0.43971837427808286</v>
      </c>
    </row>
    <row r="250" spans="1:2" x14ac:dyDescent="0.2">
      <c r="A250">
        <v>0.71598272138228725</v>
      </c>
      <c r="B250">
        <v>0.44184969322903084</v>
      </c>
    </row>
    <row r="251" spans="1:2" x14ac:dyDescent="0.2">
      <c r="A251">
        <v>0.71814254859611015</v>
      </c>
      <c r="B251">
        <v>0.44238278860645652</v>
      </c>
    </row>
    <row r="252" spans="1:2" x14ac:dyDescent="0.2">
      <c r="A252">
        <v>0.71922246220302155</v>
      </c>
      <c r="B252">
        <v>0.44398269704928656</v>
      </c>
    </row>
    <row r="253" spans="1:2" x14ac:dyDescent="0.2">
      <c r="A253">
        <v>0.72030237580993295</v>
      </c>
      <c r="B253">
        <v>0.44665122828698978</v>
      </c>
    </row>
    <row r="254" spans="1:2" x14ac:dyDescent="0.2">
      <c r="A254">
        <v>0.72138228941684435</v>
      </c>
      <c r="B254">
        <v>0.44771932450991669</v>
      </c>
    </row>
    <row r="255" spans="1:2" x14ac:dyDescent="0.2">
      <c r="A255">
        <v>0.72246220302375574</v>
      </c>
      <c r="B255">
        <v>0.4487877999567994</v>
      </c>
    </row>
    <row r="256" spans="1:2" x14ac:dyDescent="0.2">
      <c r="A256">
        <v>0.72354211663066714</v>
      </c>
      <c r="B256">
        <v>0.45146059736923649</v>
      </c>
    </row>
    <row r="257" spans="1:2" x14ac:dyDescent="0.2">
      <c r="A257">
        <v>0.72462203023757854</v>
      </c>
      <c r="B257">
        <v>0.45306534059967796</v>
      </c>
    </row>
    <row r="258" spans="1:2" x14ac:dyDescent="0.2">
      <c r="A258">
        <v>0.72570194384448994</v>
      </c>
      <c r="B258">
        <v>0.45520618664541607</v>
      </c>
    </row>
    <row r="259" spans="1:2" x14ac:dyDescent="0.2">
      <c r="A259">
        <v>0.72678185745140134</v>
      </c>
      <c r="B259">
        <v>0.45627710164922913</v>
      </c>
    </row>
    <row r="260" spans="1:2" x14ac:dyDescent="0.2">
      <c r="A260">
        <v>0.72786177105831273</v>
      </c>
      <c r="B260">
        <v>0.45949172196823806</v>
      </c>
    </row>
    <row r="261" spans="1:2" x14ac:dyDescent="0.2">
      <c r="A261">
        <v>0.72894168466522413</v>
      </c>
      <c r="B261">
        <v>0.46002775535927015</v>
      </c>
    </row>
    <row r="262" spans="1:2" x14ac:dyDescent="0.2">
      <c r="A262">
        <v>0.73002159827213553</v>
      </c>
      <c r="B262">
        <v>0.46110003915403075</v>
      </c>
    </row>
    <row r="263" spans="1:2" x14ac:dyDescent="0.2">
      <c r="A263">
        <v>0.73218142548595844</v>
      </c>
      <c r="B263">
        <v>0.46324544767458775</v>
      </c>
    </row>
    <row r="264" spans="1:2" x14ac:dyDescent="0.2">
      <c r="A264">
        <v>0.73326133909286983</v>
      </c>
      <c r="B264">
        <v>0.46485520934006241</v>
      </c>
    </row>
    <row r="265" spans="1:2" x14ac:dyDescent="0.2">
      <c r="A265">
        <v>0.73434125269978123</v>
      </c>
      <c r="B265">
        <v>0.4653919257243625</v>
      </c>
    </row>
    <row r="266" spans="1:2" x14ac:dyDescent="0.2">
      <c r="A266">
        <v>0.73542116630669263</v>
      </c>
      <c r="B266">
        <v>0.46646554640876242</v>
      </c>
    </row>
    <row r="267" spans="1:2" x14ac:dyDescent="0.2">
      <c r="A267">
        <v>0.73758099352051554</v>
      </c>
      <c r="B267">
        <v>0.46700244876502173</v>
      </c>
    </row>
    <row r="268" spans="1:2" x14ac:dyDescent="0.2">
      <c r="A268">
        <v>0.74082073434124984</v>
      </c>
      <c r="B268">
        <v>0.46807643264355164</v>
      </c>
    </row>
    <row r="269" spans="1:2" x14ac:dyDescent="0.2">
      <c r="A269">
        <v>0.74190064794816124</v>
      </c>
      <c r="B269">
        <v>0.47022508981647132</v>
      </c>
    </row>
    <row r="270" spans="1:2" x14ac:dyDescent="0.2">
      <c r="A270">
        <v>0.74298056155507264</v>
      </c>
      <c r="B270">
        <v>0.47291212357610896</v>
      </c>
    </row>
    <row r="271" spans="1:2" x14ac:dyDescent="0.2">
      <c r="A271">
        <v>0.74406047516198404</v>
      </c>
      <c r="B271">
        <v>0.47344968221756151</v>
      </c>
    </row>
    <row r="272" spans="1:2" x14ac:dyDescent="0.2">
      <c r="A272">
        <v>0.74622030237580694</v>
      </c>
      <c r="B272">
        <v>0.4745249435835836</v>
      </c>
    </row>
    <row r="273" spans="1:2" x14ac:dyDescent="0.2">
      <c r="A273">
        <v>0.74730021598271834</v>
      </c>
      <c r="B273">
        <v>0.47506264435535273</v>
      </c>
    </row>
    <row r="274" spans="1:2" x14ac:dyDescent="0.2">
      <c r="A274">
        <v>0.74946004319654125</v>
      </c>
      <c r="B274">
        <v>0.4761381811924964</v>
      </c>
    </row>
    <row r="275" spans="1:2" x14ac:dyDescent="0.2">
      <c r="A275">
        <v>0.75053995680345265</v>
      </c>
      <c r="B275">
        <v>0.47667601530356529</v>
      </c>
    </row>
    <row r="276" spans="1:2" x14ac:dyDescent="0.2">
      <c r="A276">
        <v>0.75161987041036404</v>
      </c>
      <c r="B276">
        <v>0.47828976867593742</v>
      </c>
    </row>
    <row r="277" spans="1:2" x14ac:dyDescent="0.2">
      <c r="A277">
        <v>0.75377969762418695</v>
      </c>
      <c r="B277">
        <v>0.47990387806739637</v>
      </c>
    </row>
    <row r="278" spans="1:2" x14ac:dyDescent="0.2">
      <c r="A278">
        <v>0.75485961123109835</v>
      </c>
      <c r="B278">
        <v>0.48098013573590764</v>
      </c>
    </row>
    <row r="279" spans="1:2" x14ac:dyDescent="0.2">
      <c r="A279">
        <v>0.75593952483800975</v>
      </c>
      <c r="B279">
        <v>0.4825947797675888</v>
      </c>
    </row>
    <row r="280" spans="1:2" x14ac:dyDescent="0.2">
      <c r="A280">
        <v>0.75701943844492114</v>
      </c>
      <c r="B280">
        <v>0.48313305920100857</v>
      </c>
    </row>
    <row r="281" spans="1:2" x14ac:dyDescent="0.2">
      <c r="A281">
        <v>0.75809935205183254</v>
      </c>
      <c r="B281">
        <v>0.48367136937942634</v>
      </c>
    </row>
    <row r="282" spans="1:2" x14ac:dyDescent="0.2">
      <c r="A282">
        <v>0.75917926565874394</v>
      </c>
      <c r="B282">
        <v>0.48636334713689366</v>
      </c>
    </row>
    <row r="283" spans="1:2" x14ac:dyDescent="0.2">
      <c r="A283">
        <v>0.76025917926565534</v>
      </c>
      <c r="B283">
        <v>0.49282639609770856</v>
      </c>
    </row>
    <row r="284" spans="1:2" x14ac:dyDescent="0.2">
      <c r="A284">
        <v>0.76133909287256674</v>
      </c>
      <c r="B284">
        <v>0.49336509194956324</v>
      </c>
    </row>
    <row r="285" spans="1:2" x14ac:dyDescent="0.2">
      <c r="A285">
        <v>0.76241900647947813</v>
      </c>
      <c r="B285">
        <v>0.49390379990160127</v>
      </c>
    </row>
    <row r="286" spans="1:2" x14ac:dyDescent="0.2">
      <c r="A286">
        <v>0.76349892008638953</v>
      </c>
      <c r="B286">
        <v>0.49498124817700573</v>
      </c>
    </row>
    <row r="287" spans="1:2" x14ac:dyDescent="0.2">
      <c r="A287">
        <v>0.76457883369330093</v>
      </c>
      <c r="B287">
        <v>0.49821378123826138</v>
      </c>
    </row>
    <row r="288" spans="1:2" x14ac:dyDescent="0.2">
      <c r="A288">
        <v>0.76565874730021233</v>
      </c>
      <c r="B288">
        <v>0.50306273440181581</v>
      </c>
    </row>
    <row r="289" spans="1:2" x14ac:dyDescent="0.2">
      <c r="A289">
        <v>0.76781857451403523</v>
      </c>
      <c r="B289">
        <v>0.50629516269770236</v>
      </c>
    </row>
    <row r="290" spans="1:2" x14ac:dyDescent="0.2">
      <c r="A290">
        <v>0.76889848812094663</v>
      </c>
      <c r="B290">
        <v>0.50737255742968301</v>
      </c>
    </row>
    <row r="291" spans="1:2" x14ac:dyDescent="0.2">
      <c r="A291">
        <v>0.76997840172785803</v>
      </c>
      <c r="B291">
        <v>0.5089885462338708</v>
      </c>
    </row>
    <row r="292" spans="1:2" x14ac:dyDescent="0.2">
      <c r="A292">
        <v>0.77105831533476943</v>
      </c>
      <c r="B292">
        <v>0.51006579178364486</v>
      </c>
    </row>
    <row r="293" spans="1:2" x14ac:dyDescent="0.2">
      <c r="A293">
        <v>0.77213822894168083</v>
      </c>
      <c r="B293">
        <v>0.51060438751701775</v>
      </c>
    </row>
    <row r="294" spans="1:2" x14ac:dyDescent="0.2">
      <c r="A294">
        <v>0.77321814254859222</v>
      </c>
      <c r="B294">
        <v>0.51114296391377945</v>
      </c>
    </row>
    <row r="295" spans="1:2" x14ac:dyDescent="0.2">
      <c r="A295">
        <v>0.77537796976241513</v>
      </c>
      <c r="B295">
        <v>0.51168151999235933</v>
      </c>
    </row>
    <row r="296" spans="1:2" x14ac:dyDescent="0.2">
      <c r="A296">
        <v>0.77645788336932653</v>
      </c>
      <c r="B296">
        <v>0.5132970565050029</v>
      </c>
    </row>
    <row r="297" spans="1:2" x14ac:dyDescent="0.2">
      <c r="A297">
        <v>0.77753779697623793</v>
      </c>
      <c r="B297">
        <v>0.51491237482875396</v>
      </c>
    </row>
    <row r="298" spans="1:2" x14ac:dyDescent="0.2">
      <c r="A298">
        <v>0.77861771058314933</v>
      </c>
      <c r="B298">
        <v>0.51814225099329847</v>
      </c>
    </row>
    <row r="299" spans="1:2" x14ac:dyDescent="0.2">
      <c r="A299">
        <v>0.77969762419006072</v>
      </c>
      <c r="B299">
        <v>0.520832914126234</v>
      </c>
    </row>
    <row r="300" spans="1:2" x14ac:dyDescent="0.2">
      <c r="A300">
        <v>0.78077753779697212</v>
      </c>
      <c r="B300">
        <v>0.52137093678167035</v>
      </c>
    </row>
    <row r="301" spans="1:2" x14ac:dyDescent="0.2">
      <c r="A301">
        <v>0.78185745140388352</v>
      </c>
      <c r="B301">
        <v>0.52352262821328921</v>
      </c>
    </row>
    <row r="302" spans="1:2" x14ac:dyDescent="0.2">
      <c r="A302">
        <v>0.78293736501079492</v>
      </c>
      <c r="B302">
        <v>0.52782389162570253</v>
      </c>
    </row>
    <row r="303" spans="1:2" x14ac:dyDescent="0.2">
      <c r="A303">
        <v>0.78401727861770631</v>
      </c>
      <c r="B303">
        <v>0.52836133180734712</v>
      </c>
    </row>
    <row r="304" spans="1:2" x14ac:dyDescent="0.2">
      <c r="A304">
        <v>0.78509719222461771</v>
      </c>
      <c r="B304">
        <v>0.52997333860906337</v>
      </c>
    </row>
    <row r="305" spans="1:2" x14ac:dyDescent="0.2">
      <c r="A305">
        <v>0.78617710583152911</v>
      </c>
      <c r="B305">
        <v>0.53426955115972274</v>
      </c>
    </row>
    <row r="306" spans="1:2" x14ac:dyDescent="0.2">
      <c r="A306">
        <v>0.78725701943844051</v>
      </c>
      <c r="B306">
        <v>0.53856177344374723</v>
      </c>
    </row>
    <row r="307" spans="1:2" x14ac:dyDescent="0.2">
      <c r="A307">
        <v>0.78833693304535191</v>
      </c>
      <c r="B307">
        <v>0.53909799590332397</v>
      </c>
    </row>
    <row r="308" spans="1:2" x14ac:dyDescent="0.2">
      <c r="A308">
        <v>0.7894168466522633</v>
      </c>
      <c r="B308">
        <v>0.54231380407299679</v>
      </c>
    </row>
    <row r="309" spans="1:2" x14ac:dyDescent="0.2">
      <c r="A309">
        <v>0.7904967602591747</v>
      </c>
      <c r="B309">
        <v>0.54552684441254784</v>
      </c>
    </row>
    <row r="310" spans="1:2" x14ac:dyDescent="0.2">
      <c r="A310">
        <v>0.79265658747299761</v>
      </c>
      <c r="B310">
        <v>0.54659720675025381</v>
      </c>
    </row>
    <row r="311" spans="1:2" x14ac:dyDescent="0.2">
      <c r="A311">
        <v>0.79373650107990901</v>
      </c>
      <c r="B311">
        <v>0.5471322615000177</v>
      </c>
    </row>
    <row r="312" spans="1:2" x14ac:dyDescent="0.2">
      <c r="A312">
        <v>0.7948164146868204</v>
      </c>
      <c r="B312">
        <v>0.54820211334963154</v>
      </c>
    </row>
    <row r="313" spans="1:2" x14ac:dyDescent="0.2">
      <c r="A313">
        <v>0.7958963282937318</v>
      </c>
      <c r="B313">
        <v>0.55140953850366536</v>
      </c>
    </row>
    <row r="314" spans="1:2" x14ac:dyDescent="0.2">
      <c r="A314">
        <v>0.7969762419006432</v>
      </c>
      <c r="B314">
        <v>0.55461360691790074</v>
      </c>
    </row>
    <row r="315" spans="1:2" x14ac:dyDescent="0.2">
      <c r="A315">
        <v>0.79913606911446611</v>
      </c>
      <c r="B315">
        <v>0.55674768560053312</v>
      </c>
    </row>
    <row r="316" spans="1:2" x14ac:dyDescent="0.2">
      <c r="A316">
        <v>0.80021598272137751</v>
      </c>
      <c r="B316">
        <v>0.55728095065417882</v>
      </c>
    </row>
    <row r="317" spans="1:2" x14ac:dyDescent="0.2">
      <c r="A317">
        <v>0.80345572354211181</v>
      </c>
      <c r="B317">
        <v>0.55834716855083233</v>
      </c>
    </row>
    <row r="318" spans="1:2" x14ac:dyDescent="0.2">
      <c r="A318">
        <v>0.80453563714902321</v>
      </c>
      <c r="B318">
        <v>0.55888011949031291</v>
      </c>
    </row>
    <row r="319" spans="1:2" x14ac:dyDescent="0.2">
      <c r="A319">
        <v>0.80561555075593461</v>
      </c>
      <c r="B319">
        <v>0.56047832886426063</v>
      </c>
    </row>
    <row r="320" spans="1:2" x14ac:dyDescent="0.2">
      <c r="A320">
        <v>0.806695464362846</v>
      </c>
      <c r="B320">
        <v>0.56260773788531171</v>
      </c>
    </row>
    <row r="321" spans="1:2" x14ac:dyDescent="0.2">
      <c r="A321">
        <v>0.8077753779697574</v>
      </c>
      <c r="B321">
        <v>0.56313980939036312</v>
      </c>
    </row>
    <row r="322" spans="1:2" x14ac:dyDescent="0.2">
      <c r="A322">
        <v>0.8088552915766688</v>
      </c>
      <c r="B322">
        <v>0.56739219112964334</v>
      </c>
    </row>
    <row r="323" spans="1:2" x14ac:dyDescent="0.2">
      <c r="A323">
        <v>0.81101511879049171</v>
      </c>
      <c r="B323">
        <v>0.56792320091001136</v>
      </c>
    </row>
    <row r="324" spans="1:2" x14ac:dyDescent="0.2">
      <c r="A324">
        <v>0.8120950323974031</v>
      </c>
      <c r="B324">
        <v>0.56845408801042208</v>
      </c>
    </row>
    <row r="325" spans="1:2" x14ac:dyDescent="0.2">
      <c r="A325">
        <v>0.8131749460043145</v>
      </c>
      <c r="B325">
        <v>0.58168365803927691</v>
      </c>
    </row>
    <row r="326" spans="1:2" x14ac:dyDescent="0.2">
      <c r="A326">
        <v>0.8142548596112259</v>
      </c>
      <c r="B326">
        <v>0.58379224606281566</v>
      </c>
    </row>
    <row r="327" spans="1:2" x14ac:dyDescent="0.2">
      <c r="A327">
        <v>0.8153347732181373</v>
      </c>
      <c r="B327">
        <v>0.58747644330524385</v>
      </c>
    </row>
    <row r="328" spans="1:2" x14ac:dyDescent="0.2">
      <c r="A328">
        <v>0.8164146868250487</v>
      </c>
      <c r="B328">
        <v>0.58905304878669962</v>
      </c>
    </row>
    <row r="329" spans="1:2" x14ac:dyDescent="0.2">
      <c r="A329">
        <v>0.81749460043196009</v>
      </c>
      <c r="B329">
        <v>0.60109080524823988</v>
      </c>
    </row>
    <row r="330" spans="1:2" x14ac:dyDescent="0.2">
      <c r="A330">
        <v>0.81857451403887149</v>
      </c>
      <c r="B330">
        <v>0.60161210007543942</v>
      </c>
    </row>
    <row r="331" spans="1:2" x14ac:dyDescent="0.2">
      <c r="A331">
        <v>0.81965442764578289</v>
      </c>
      <c r="B331">
        <v>0.60265414503907289</v>
      </c>
    </row>
    <row r="332" spans="1:2" x14ac:dyDescent="0.2">
      <c r="A332">
        <v>0.82073434125269429</v>
      </c>
      <c r="B332">
        <v>0.60421583746593688</v>
      </c>
    </row>
    <row r="333" spans="1:2" x14ac:dyDescent="0.2">
      <c r="A333">
        <v>0.82181425485960569</v>
      </c>
      <c r="B333">
        <v>0.61096355439641015</v>
      </c>
    </row>
    <row r="334" spans="1:2" x14ac:dyDescent="0.2">
      <c r="A334">
        <v>0.82289416846651708</v>
      </c>
      <c r="B334">
        <v>0.61148125440322809</v>
      </c>
    </row>
    <row r="335" spans="1:2" x14ac:dyDescent="0.2">
      <c r="A335">
        <v>0.82397408207342848</v>
      </c>
      <c r="B335">
        <v>0.61819302608093063</v>
      </c>
    </row>
    <row r="336" spans="1:2" x14ac:dyDescent="0.2">
      <c r="A336">
        <v>0.82613390928725139</v>
      </c>
      <c r="B336">
        <v>0.61870787618408662</v>
      </c>
    </row>
    <row r="337" spans="1:2" x14ac:dyDescent="0.2">
      <c r="A337">
        <v>0.82721382289416279</v>
      </c>
      <c r="B337">
        <v>0.62127895961854696</v>
      </c>
    </row>
    <row r="338" spans="1:2" x14ac:dyDescent="0.2">
      <c r="A338">
        <v>0.82829373650107418</v>
      </c>
      <c r="B338">
        <v>0.62179253693667302</v>
      </c>
    </row>
    <row r="339" spans="1:2" x14ac:dyDescent="0.2">
      <c r="A339">
        <v>0.82937365010798558</v>
      </c>
      <c r="B339">
        <v>0.62384468673837257</v>
      </c>
    </row>
    <row r="340" spans="1:2" x14ac:dyDescent="0.2">
      <c r="A340">
        <v>0.83045356371489698</v>
      </c>
      <c r="B340">
        <v>0.6248694541432247</v>
      </c>
    </row>
    <row r="341" spans="1:2" x14ac:dyDescent="0.2">
      <c r="A341">
        <v>0.83261339092871989</v>
      </c>
      <c r="B341">
        <v>0.62538150802633985</v>
      </c>
    </row>
    <row r="342" spans="1:2" x14ac:dyDescent="0.2">
      <c r="A342">
        <v>0.83369330453563129</v>
      </c>
      <c r="B342">
        <v>0.62691634033507515</v>
      </c>
    </row>
    <row r="343" spans="1:2" x14ac:dyDescent="0.2">
      <c r="A343">
        <v>0.83477321814254268</v>
      </c>
      <c r="B343">
        <v>0.62895965041985413</v>
      </c>
    </row>
    <row r="344" spans="1:2" x14ac:dyDescent="0.2">
      <c r="A344">
        <v>0.83585313174945408</v>
      </c>
      <c r="B344">
        <v>0.63201779389042501</v>
      </c>
    </row>
    <row r="345" spans="1:2" x14ac:dyDescent="0.2">
      <c r="A345">
        <v>0.83801295896327699</v>
      </c>
      <c r="B345">
        <v>0.63709606880293868</v>
      </c>
    </row>
    <row r="346" spans="1:2" x14ac:dyDescent="0.2">
      <c r="A346">
        <v>0.83909287257018839</v>
      </c>
      <c r="B346">
        <v>0.63861490903379137</v>
      </c>
    </row>
    <row r="347" spans="1:2" x14ac:dyDescent="0.2">
      <c r="A347">
        <v>0.84017278617709978</v>
      </c>
      <c r="B347">
        <v>0.64063663215870903</v>
      </c>
    </row>
    <row r="348" spans="1:2" x14ac:dyDescent="0.2">
      <c r="A348">
        <v>0.84125269978401118</v>
      </c>
      <c r="B348">
        <v>0.64466823833780229</v>
      </c>
    </row>
    <row r="349" spans="1:2" x14ac:dyDescent="0.2">
      <c r="A349">
        <v>0.84233261339092258</v>
      </c>
      <c r="B349">
        <v>0.6461759549085625</v>
      </c>
    </row>
    <row r="350" spans="1:2" x14ac:dyDescent="0.2">
      <c r="A350">
        <v>0.84341252699783398</v>
      </c>
      <c r="B350">
        <v>0.65018528387959751</v>
      </c>
    </row>
    <row r="351" spans="1:2" x14ac:dyDescent="0.2">
      <c r="A351">
        <v>0.84449244060474538</v>
      </c>
      <c r="B351">
        <v>0.65616788303316331</v>
      </c>
    </row>
    <row r="352" spans="1:2" x14ac:dyDescent="0.2">
      <c r="A352">
        <v>0.84557235421165677</v>
      </c>
      <c r="B352">
        <v>0.65815351393308352</v>
      </c>
    </row>
    <row r="353" spans="1:2" x14ac:dyDescent="0.2">
      <c r="A353">
        <v>0.84665226781856817</v>
      </c>
      <c r="B353">
        <v>0.66062940798434744</v>
      </c>
    </row>
    <row r="354" spans="1:2" x14ac:dyDescent="0.2">
      <c r="A354">
        <v>0.84773218142547957</v>
      </c>
      <c r="B354">
        <v>0.66211163125726347</v>
      </c>
    </row>
    <row r="355" spans="1:2" x14ac:dyDescent="0.2">
      <c r="A355">
        <v>0.84881209503239097</v>
      </c>
      <c r="B355">
        <v>0.66997395425490991</v>
      </c>
    </row>
    <row r="356" spans="1:2" x14ac:dyDescent="0.2">
      <c r="A356">
        <v>0.84989200863930237</v>
      </c>
      <c r="B356">
        <v>0.67095157599620581</v>
      </c>
    </row>
    <row r="357" spans="1:2" x14ac:dyDescent="0.2">
      <c r="A357">
        <v>0.85097192224621376</v>
      </c>
      <c r="B357">
        <v>0.67339050841266868</v>
      </c>
    </row>
    <row r="358" spans="1:2" x14ac:dyDescent="0.2">
      <c r="A358">
        <v>0.85205183585312516</v>
      </c>
      <c r="B358">
        <v>0.67533633907556911</v>
      </c>
    </row>
    <row r="359" spans="1:2" x14ac:dyDescent="0.2">
      <c r="A359">
        <v>0.85313174946003656</v>
      </c>
      <c r="B359">
        <v>0.67873002915962555</v>
      </c>
    </row>
    <row r="360" spans="1:2" x14ac:dyDescent="0.2">
      <c r="A360">
        <v>0.85421166306694796</v>
      </c>
      <c r="B360">
        <v>0.67921363463313233</v>
      </c>
    </row>
    <row r="361" spans="1:2" x14ac:dyDescent="0.2">
      <c r="A361">
        <v>0.85529157667385936</v>
      </c>
      <c r="B361">
        <v>0.68355232456956438</v>
      </c>
    </row>
    <row r="362" spans="1:2" x14ac:dyDescent="0.2">
      <c r="A362">
        <v>0.85637149028077075</v>
      </c>
      <c r="B362">
        <v>0.68929809059677949</v>
      </c>
    </row>
    <row r="363" spans="1:2" x14ac:dyDescent="0.2">
      <c r="A363">
        <v>0.85853131749459366</v>
      </c>
      <c r="B363">
        <v>0.69072741981179686</v>
      </c>
    </row>
    <row r="364" spans="1:2" x14ac:dyDescent="0.2">
      <c r="A364">
        <v>0.85961123110150506</v>
      </c>
      <c r="B364">
        <v>0.69167870676625631</v>
      </c>
    </row>
    <row r="365" spans="1:2" x14ac:dyDescent="0.2">
      <c r="A365">
        <v>0.86069114470841646</v>
      </c>
      <c r="B365">
        <v>0.70718556028983615</v>
      </c>
    </row>
    <row r="366" spans="1:2" x14ac:dyDescent="0.2">
      <c r="A366">
        <v>0.86177105831532785</v>
      </c>
      <c r="B366">
        <v>0.71457137429728923</v>
      </c>
    </row>
    <row r="367" spans="1:2" x14ac:dyDescent="0.2">
      <c r="A367">
        <v>0.86285097192223925</v>
      </c>
      <c r="B367">
        <v>0.71777453467481922</v>
      </c>
    </row>
    <row r="368" spans="1:2" x14ac:dyDescent="0.2">
      <c r="A368">
        <v>0.86393088552915065</v>
      </c>
      <c r="B368">
        <v>0.71868653542218497</v>
      </c>
    </row>
    <row r="369" spans="1:2" x14ac:dyDescent="0.2">
      <c r="A369">
        <v>0.86501079913606205</v>
      </c>
      <c r="B369">
        <v>0.7241284612669312</v>
      </c>
    </row>
    <row r="370" spans="1:2" x14ac:dyDescent="0.2">
      <c r="A370">
        <v>0.86609071274297345</v>
      </c>
      <c r="B370">
        <v>0.72772744902825459</v>
      </c>
    </row>
    <row r="371" spans="1:2" x14ac:dyDescent="0.2">
      <c r="A371">
        <v>0.86717062634988484</v>
      </c>
      <c r="B371">
        <v>0.72862353682766001</v>
      </c>
    </row>
    <row r="372" spans="1:2" x14ac:dyDescent="0.2">
      <c r="A372">
        <v>0.86825053995679624</v>
      </c>
      <c r="B372">
        <v>0.73485470927906738</v>
      </c>
    </row>
    <row r="373" spans="1:2" x14ac:dyDescent="0.2">
      <c r="A373">
        <v>0.86933045356370764</v>
      </c>
      <c r="B373">
        <v>0.73529699654386715</v>
      </c>
    </row>
    <row r="374" spans="1:2" x14ac:dyDescent="0.2">
      <c r="A374">
        <v>0.87041036717061904</v>
      </c>
      <c r="B374">
        <v>0.73882173604413393</v>
      </c>
    </row>
    <row r="375" spans="1:2" x14ac:dyDescent="0.2">
      <c r="A375">
        <v>0.87149028077753043</v>
      </c>
      <c r="B375">
        <v>0.74144937189687954</v>
      </c>
    </row>
    <row r="376" spans="1:2" x14ac:dyDescent="0.2">
      <c r="A376">
        <v>0.87257019438444183</v>
      </c>
      <c r="B376">
        <v>0.745798144752986</v>
      </c>
    </row>
    <row r="377" spans="1:2" x14ac:dyDescent="0.2">
      <c r="A377">
        <v>0.87365010799135323</v>
      </c>
      <c r="B377">
        <v>0.74666327352069684</v>
      </c>
    </row>
    <row r="378" spans="1:2" x14ac:dyDescent="0.2">
      <c r="A378">
        <v>0.87473002159826463</v>
      </c>
      <c r="B378">
        <v>0.74752685202666802</v>
      </c>
    </row>
    <row r="379" spans="1:2" x14ac:dyDescent="0.2">
      <c r="A379">
        <v>0.87580993520517603</v>
      </c>
      <c r="B379">
        <v>0.74881930537253327</v>
      </c>
    </row>
    <row r="380" spans="1:2" x14ac:dyDescent="0.2">
      <c r="A380">
        <v>0.87688984881208742</v>
      </c>
      <c r="B380">
        <v>0.74924934423847356</v>
      </c>
    </row>
    <row r="381" spans="1:2" x14ac:dyDescent="0.2">
      <c r="A381">
        <v>0.87796976241899882</v>
      </c>
      <c r="B381">
        <v>0.75010825100929213</v>
      </c>
    </row>
    <row r="382" spans="1:2" x14ac:dyDescent="0.2">
      <c r="A382">
        <v>0.87904967602591022</v>
      </c>
      <c r="B382">
        <v>0.75607661463414133</v>
      </c>
    </row>
    <row r="383" spans="1:2" x14ac:dyDescent="0.2">
      <c r="A383">
        <v>0.88012958963282162</v>
      </c>
      <c r="B383">
        <v>0.76280230855440045</v>
      </c>
    </row>
    <row r="384" spans="1:2" x14ac:dyDescent="0.2">
      <c r="A384">
        <v>0.88120950323973302</v>
      </c>
      <c r="B384">
        <v>0.76571245024004753</v>
      </c>
    </row>
    <row r="385" spans="1:2" x14ac:dyDescent="0.2">
      <c r="A385">
        <v>0.88228941684664441</v>
      </c>
      <c r="B385">
        <v>0.77513378965879109</v>
      </c>
    </row>
    <row r="386" spans="1:2" x14ac:dyDescent="0.2">
      <c r="A386">
        <v>0.88336933045355581</v>
      </c>
      <c r="B386">
        <v>0.78473162753057701</v>
      </c>
    </row>
    <row r="387" spans="1:2" x14ac:dyDescent="0.2">
      <c r="A387">
        <v>0.88444924406046721</v>
      </c>
      <c r="B387">
        <v>0.78591441186215927</v>
      </c>
    </row>
    <row r="388" spans="1:2" x14ac:dyDescent="0.2">
      <c r="A388">
        <v>0.88552915766737861</v>
      </c>
      <c r="B388">
        <v>0.78709340538946426</v>
      </c>
    </row>
    <row r="389" spans="1:2" x14ac:dyDescent="0.2">
      <c r="A389">
        <v>0.88768898488120151</v>
      </c>
      <c r="B389">
        <v>0.7944718855035906</v>
      </c>
    </row>
    <row r="390" spans="1:2" x14ac:dyDescent="0.2">
      <c r="A390">
        <v>0.88876889848811291</v>
      </c>
      <c r="B390">
        <v>0.79562287109033425</v>
      </c>
    </row>
    <row r="391" spans="1:2" x14ac:dyDescent="0.2">
      <c r="A391">
        <v>0.88984881209502431</v>
      </c>
      <c r="B391">
        <v>0.79829353795697444</v>
      </c>
    </row>
    <row r="392" spans="1:2" x14ac:dyDescent="0.2">
      <c r="A392">
        <v>0.89092872570193571</v>
      </c>
      <c r="B392">
        <v>0.80765963226984372</v>
      </c>
    </row>
    <row r="393" spans="1:2" x14ac:dyDescent="0.2">
      <c r="A393">
        <v>0.89200863930884711</v>
      </c>
      <c r="B393">
        <v>0.81059969387395703</v>
      </c>
    </row>
    <row r="394" spans="1:2" x14ac:dyDescent="0.2">
      <c r="A394">
        <v>0.8930885529157585</v>
      </c>
      <c r="B394">
        <v>0.81889713462859781</v>
      </c>
    </row>
    <row r="395" spans="1:2" x14ac:dyDescent="0.2">
      <c r="A395">
        <v>0.8941684665226699</v>
      </c>
      <c r="B395">
        <v>0.82348465878254118</v>
      </c>
    </row>
    <row r="396" spans="1:2" x14ac:dyDescent="0.2">
      <c r="A396">
        <v>0.8952483801295813</v>
      </c>
      <c r="B396">
        <v>0.83107905166946872</v>
      </c>
    </row>
    <row r="397" spans="1:2" x14ac:dyDescent="0.2">
      <c r="A397">
        <v>0.8963282937364927</v>
      </c>
      <c r="B397">
        <v>0.84076403597418403</v>
      </c>
    </row>
    <row r="398" spans="1:2" x14ac:dyDescent="0.2">
      <c r="A398">
        <v>0.8974082073434041</v>
      </c>
      <c r="B398">
        <v>0.84304619834440786</v>
      </c>
    </row>
    <row r="399" spans="1:2" x14ac:dyDescent="0.2">
      <c r="A399">
        <v>0.89848812095031549</v>
      </c>
      <c r="B399">
        <v>0.84562790625230944</v>
      </c>
    </row>
    <row r="400" spans="1:2" x14ac:dyDescent="0.2">
      <c r="A400">
        <v>0.89956803455722689</v>
      </c>
      <c r="B400">
        <v>0.84626892100926243</v>
      </c>
    </row>
    <row r="401" spans="1:2" x14ac:dyDescent="0.2">
      <c r="A401">
        <v>0.9017278617710498</v>
      </c>
      <c r="B401">
        <v>0.85811329054325935</v>
      </c>
    </row>
    <row r="402" spans="1:2" x14ac:dyDescent="0.2">
      <c r="A402">
        <v>0.9028077753779612</v>
      </c>
      <c r="B402">
        <v>0.85871908158116805</v>
      </c>
    </row>
    <row r="403" spans="1:2" x14ac:dyDescent="0.2">
      <c r="A403">
        <v>0.90388768898487259</v>
      </c>
      <c r="B403">
        <v>0.85902131865394926</v>
      </c>
    </row>
    <row r="404" spans="1:2" x14ac:dyDescent="0.2">
      <c r="A404">
        <v>0.90496760259178399</v>
      </c>
      <c r="B404">
        <v>0.87273323488466681</v>
      </c>
    </row>
    <row r="405" spans="1:2" x14ac:dyDescent="0.2">
      <c r="A405">
        <v>0.90604751619869539</v>
      </c>
      <c r="B405">
        <v>0.87608024144185526</v>
      </c>
    </row>
    <row r="406" spans="1:2" x14ac:dyDescent="0.2">
      <c r="A406">
        <v>0.90712742980560679</v>
      </c>
      <c r="B406">
        <v>0.88152073947658249</v>
      </c>
    </row>
    <row r="407" spans="1:2" x14ac:dyDescent="0.2">
      <c r="A407">
        <v>0.90820734341251819</v>
      </c>
      <c r="B407">
        <v>0.8820553569160674</v>
      </c>
    </row>
    <row r="408" spans="1:2" x14ac:dyDescent="0.2">
      <c r="A408">
        <v>0.90928725701942958</v>
      </c>
      <c r="B408">
        <v>0.8921408939906853</v>
      </c>
    </row>
    <row r="409" spans="1:2" x14ac:dyDescent="0.2">
      <c r="A409">
        <v>0.91036717062634098</v>
      </c>
      <c r="B409">
        <v>0.89946509487304838</v>
      </c>
    </row>
    <row r="410" spans="1:2" x14ac:dyDescent="0.2">
      <c r="A410">
        <v>0.91144708423325238</v>
      </c>
      <c r="B410">
        <v>0.90821269984764719</v>
      </c>
    </row>
    <row r="411" spans="1:2" x14ac:dyDescent="0.2">
      <c r="A411">
        <v>0.91252699784016378</v>
      </c>
      <c r="B411">
        <v>0.91782694391321673</v>
      </c>
    </row>
    <row r="412" spans="1:2" x14ac:dyDescent="0.2">
      <c r="A412">
        <v>0.91360691144707518</v>
      </c>
      <c r="B412">
        <v>0.91864338083102737</v>
      </c>
    </row>
    <row r="413" spans="1:2" x14ac:dyDescent="0.2">
      <c r="A413">
        <v>0.91468682505398657</v>
      </c>
      <c r="B413">
        <v>0.92282957088045114</v>
      </c>
    </row>
    <row r="414" spans="1:2" x14ac:dyDescent="0.2">
      <c r="A414">
        <v>0.91576673866089797</v>
      </c>
      <c r="B414">
        <v>0.92476453755453947</v>
      </c>
    </row>
    <row r="415" spans="1:2" x14ac:dyDescent="0.2">
      <c r="A415">
        <v>0.91684665226780937</v>
      </c>
      <c r="B415">
        <v>0.9277832408718456</v>
      </c>
    </row>
    <row r="416" spans="1:2" x14ac:dyDescent="0.2">
      <c r="A416">
        <v>0.91792656587472077</v>
      </c>
      <c r="B416">
        <v>0.92852321304439256</v>
      </c>
    </row>
    <row r="417" spans="1:2" x14ac:dyDescent="0.2">
      <c r="A417">
        <v>0.91900647948163217</v>
      </c>
      <c r="B417">
        <v>0.93016686287071226</v>
      </c>
    </row>
    <row r="418" spans="1:2" x14ac:dyDescent="0.2">
      <c r="A418">
        <v>0.92008639308854356</v>
      </c>
      <c r="B418">
        <v>0.93492349339338254</v>
      </c>
    </row>
    <row r="419" spans="1:2" x14ac:dyDescent="0.2">
      <c r="A419">
        <v>0.92116630669545496</v>
      </c>
      <c r="B419">
        <v>0.93628346489379066</v>
      </c>
    </row>
    <row r="420" spans="1:2" x14ac:dyDescent="0.2">
      <c r="A420">
        <v>0.92224622030236636</v>
      </c>
      <c r="B420">
        <v>0.93844613454633719</v>
      </c>
    </row>
    <row r="421" spans="1:2" x14ac:dyDescent="0.2">
      <c r="A421">
        <v>0.92332613390927776</v>
      </c>
      <c r="B421">
        <v>0.93926250207825002</v>
      </c>
    </row>
    <row r="422" spans="1:2" x14ac:dyDescent="0.2">
      <c r="A422">
        <v>0.92440604751618916</v>
      </c>
      <c r="B422">
        <v>0.94134544317849334</v>
      </c>
    </row>
    <row r="423" spans="1:2" x14ac:dyDescent="0.2">
      <c r="A423">
        <v>0.92548596112310055</v>
      </c>
      <c r="B423">
        <v>0.94228769122558453</v>
      </c>
    </row>
    <row r="424" spans="1:2" x14ac:dyDescent="0.2">
      <c r="A424">
        <v>0.92656587473001195</v>
      </c>
      <c r="B424">
        <v>0.9441364484094128</v>
      </c>
    </row>
    <row r="425" spans="1:2" x14ac:dyDescent="0.2">
      <c r="A425">
        <v>0.92764578833692335</v>
      </c>
      <c r="B425">
        <v>0.94474221062260466</v>
      </c>
    </row>
    <row r="426" spans="1:2" x14ac:dyDescent="0.2">
      <c r="A426">
        <v>0.92872570194383475</v>
      </c>
      <c r="B426">
        <v>0.94504314008999413</v>
      </c>
    </row>
    <row r="427" spans="1:2" x14ac:dyDescent="0.2">
      <c r="A427">
        <v>0.92980561555074615</v>
      </c>
      <c r="B427">
        <v>0.94855414049318743</v>
      </c>
    </row>
    <row r="428" spans="1:2" x14ac:dyDescent="0.2">
      <c r="A428">
        <v>0.93088552915765754</v>
      </c>
      <c r="B428">
        <v>0.95766220933146728</v>
      </c>
    </row>
    <row r="429" spans="1:2" x14ac:dyDescent="0.2">
      <c r="A429">
        <v>0.93196544276456894</v>
      </c>
      <c r="B429">
        <v>0.95802652605903704</v>
      </c>
    </row>
    <row r="430" spans="1:2" x14ac:dyDescent="0.2">
      <c r="A430">
        <v>0.93304535637148034</v>
      </c>
      <c r="B430">
        <v>0.96050622935579966</v>
      </c>
    </row>
    <row r="431" spans="1:2" x14ac:dyDescent="0.2">
      <c r="A431">
        <v>0.93412526997839174</v>
      </c>
      <c r="B431">
        <v>0.96141896192967535</v>
      </c>
    </row>
    <row r="432" spans="1:2" x14ac:dyDescent="0.2">
      <c r="A432">
        <v>0.93520518358530313</v>
      </c>
      <c r="B432">
        <v>0.96153183508544604</v>
      </c>
    </row>
    <row r="433" spans="1:2" x14ac:dyDescent="0.2">
      <c r="A433">
        <v>0.93628509719221453</v>
      </c>
      <c r="B433">
        <v>0.96384063651053287</v>
      </c>
    </row>
    <row r="434" spans="1:2" x14ac:dyDescent="0.2">
      <c r="A434">
        <v>0.93736501079912593</v>
      </c>
      <c r="B434">
        <v>0.96643996825364076</v>
      </c>
    </row>
    <row r="435" spans="1:2" x14ac:dyDescent="0.2">
      <c r="A435">
        <v>0.93844492440603733</v>
      </c>
      <c r="B435">
        <v>0.96704037047663383</v>
      </c>
    </row>
    <row r="436" spans="1:2" x14ac:dyDescent="0.2">
      <c r="A436">
        <v>0.93952483801294873</v>
      </c>
      <c r="B436">
        <v>0.96713957162343611</v>
      </c>
    </row>
    <row r="437" spans="1:2" x14ac:dyDescent="0.2">
      <c r="A437">
        <v>0.94060475161986012</v>
      </c>
      <c r="B437">
        <v>0.97332997653279785</v>
      </c>
    </row>
    <row r="438" spans="1:2" x14ac:dyDescent="0.2">
      <c r="A438">
        <v>0.94168466522677152</v>
      </c>
      <c r="B438">
        <v>0.9767171821577012</v>
      </c>
    </row>
    <row r="439" spans="1:2" x14ac:dyDescent="0.2">
      <c r="A439">
        <v>0.94276457883368292</v>
      </c>
      <c r="B439">
        <v>0.97708644625259278</v>
      </c>
    </row>
    <row r="440" spans="1:2" x14ac:dyDescent="0.2">
      <c r="A440">
        <v>0.94384449244059432</v>
      </c>
      <c r="B440">
        <v>0.97788148755427418</v>
      </c>
    </row>
    <row r="441" spans="1:2" x14ac:dyDescent="0.2">
      <c r="A441">
        <v>0.94492440604750572</v>
      </c>
      <c r="B441">
        <v>0.97919990203326834</v>
      </c>
    </row>
    <row r="442" spans="1:2" x14ac:dyDescent="0.2">
      <c r="A442">
        <v>0.94600431965441711</v>
      </c>
      <c r="B442">
        <v>0.9792674087292097</v>
      </c>
    </row>
    <row r="443" spans="1:2" x14ac:dyDescent="0.2">
      <c r="A443">
        <v>0.94708423326132851</v>
      </c>
      <c r="B443">
        <v>0.98102118672284133</v>
      </c>
    </row>
    <row r="444" spans="1:2" x14ac:dyDescent="0.2">
      <c r="A444">
        <v>0.94816414686823991</v>
      </c>
      <c r="B444">
        <v>0.98120802611768221</v>
      </c>
    </row>
    <row r="445" spans="1:2" x14ac:dyDescent="0.2">
      <c r="A445">
        <v>0.94924406047515131</v>
      </c>
      <c r="B445">
        <v>0.98316202095192451</v>
      </c>
    </row>
    <row r="446" spans="1:2" x14ac:dyDescent="0.2">
      <c r="A446">
        <v>0.95032397408206271</v>
      </c>
      <c r="B446">
        <v>0.98593639819072687</v>
      </c>
    </row>
    <row r="447" spans="1:2" x14ac:dyDescent="0.2">
      <c r="A447">
        <v>0.9514038876889741</v>
      </c>
      <c r="B447">
        <v>0.98641312344125931</v>
      </c>
    </row>
    <row r="448" spans="1:2" x14ac:dyDescent="0.2">
      <c r="A448">
        <v>0.9524838012958855</v>
      </c>
      <c r="B448">
        <v>0.98659987163029605</v>
      </c>
    </row>
    <row r="449" spans="1:2" x14ac:dyDescent="0.2">
      <c r="A449">
        <v>0.9535637149027969</v>
      </c>
      <c r="B449">
        <v>0.98683018656668331</v>
      </c>
    </row>
    <row r="450" spans="1:2" x14ac:dyDescent="0.2">
      <c r="A450">
        <v>0.9546436285097083</v>
      </c>
      <c r="B450">
        <v>0.98719157597044427</v>
      </c>
    </row>
    <row r="451" spans="1:2" x14ac:dyDescent="0.2">
      <c r="A451">
        <v>0.9557235421166197</v>
      </c>
      <c r="B451">
        <v>0.98784610314461729</v>
      </c>
    </row>
    <row r="452" spans="1:2" x14ac:dyDescent="0.2">
      <c r="A452">
        <v>0.95680345572353109</v>
      </c>
      <c r="B452">
        <v>0.98834865642632275</v>
      </c>
    </row>
    <row r="453" spans="1:2" x14ac:dyDescent="0.2">
      <c r="A453">
        <v>0.95788336933044249</v>
      </c>
      <c r="B453">
        <v>0.9926278588019346</v>
      </c>
    </row>
    <row r="454" spans="1:2" x14ac:dyDescent="0.2">
      <c r="A454">
        <v>0.95896328293735389</v>
      </c>
      <c r="B454">
        <v>0.99287214313480998</v>
      </c>
    </row>
    <row r="455" spans="1:2" x14ac:dyDescent="0.2">
      <c r="A455">
        <v>0.96004319654426529</v>
      </c>
      <c r="B455">
        <v>0.99394335283566071</v>
      </c>
    </row>
    <row r="456" spans="1:2" x14ac:dyDescent="0.2">
      <c r="A456">
        <v>0.96112311015117669</v>
      </c>
      <c r="B456">
        <v>0.99430393664371097</v>
      </c>
    </row>
    <row r="457" spans="1:2" x14ac:dyDescent="0.2">
      <c r="A457">
        <v>0.96220302375808808</v>
      </c>
      <c r="B457">
        <v>0.994748224983794</v>
      </c>
    </row>
    <row r="458" spans="1:2" x14ac:dyDescent="0.2">
      <c r="A458">
        <v>0.96328293736499948</v>
      </c>
      <c r="B458">
        <v>0.99478888625071427</v>
      </c>
    </row>
    <row r="459" spans="1:2" x14ac:dyDescent="0.2">
      <c r="A459">
        <v>0.96436285097191088</v>
      </c>
      <c r="B459">
        <v>0.99486936937301818</v>
      </c>
    </row>
    <row r="460" spans="1:2" x14ac:dyDescent="0.2">
      <c r="A460">
        <v>0.96544276457882228</v>
      </c>
      <c r="B460">
        <v>0.99519921406084944</v>
      </c>
    </row>
    <row r="461" spans="1:2" x14ac:dyDescent="0.2">
      <c r="A461">
        <v>0.96652267818573367</v>
      </c>
      <c r="B461">
        <v>0.99586907034310213</v>
      </c>
    </row>
    <row r="462" spans="1:2" x14ac:dyDescent="0.2">
      <c r="A462">
        <v>0.96760259179264507</v>
      </c>
      <c r="B462">
        <v>0.9962477831095029</v>
      </c>
    </row>
    <row r="463" spans="1:2" x14ac:dyDescent="0.2">
      <c r="A463">
        <v>0.96868250539955647</v>
      </c>
      <c r="B463">
        <v>0.9969884097799665</v>
      </c>
    </row>
    <row r="464" spans="1:2" x14ac:dyDescent="0.2">
      <c r="A464">
        <v>0.96976241900646787</v>
      </c>
      <c r="B464">
        <v>0.99836417767872143</v>
      </c>
    </row>
    <row r="465" spans="1:2" x14ac:dyDescent="0.2">
      <c r="A465">
        <v>0.97084233261337927</v>
      </c>
      <c r="B465">
        <v>0.99847473053845626</v>
      </c>
    </row>
    <row r="466" spans="1:2" x14ac:dyDescent="0.2">
      <c r="A466">
        <v>0.97192224622029066</v>
      </c>
      <c r="B466">
        <v>0.99857214068254863</v>
      </c>
    </row>
    <row r="467" spans="1:2" x14ac:dyDescent="0.2">
      <c r="A467">
        <v>0.97300215982720206</v>
      </c>
      <c r="B467">
        <v>0.99857842822784881</v>
      </c>
    </row>
    <row r="468" spans="1:2" x14ac:dyDescent="0.2">
      <c r="A468">
        <v>0.97408207343411346</v>
      </c>
      <c r="B468">
        <v>0.99915386399394623</v>
      </c>
    </row>
    <row r="469" spans="1:2" x14ac:dyDescent="0.2">
      <c r="A469">
        <v>0.97516198704102486</v>
      </c>
      <c r="B469">
        <v>0.9992250533301712</v>
      </c>
    </row>
    <row r="470" spans="1:2" x14ac:dyDescent="0.2">
      <c r="A470">
        <v>0.97624190064793626</v>
      </c>
      <c r="B470">
        <v>0.99943165820918223</v>
      </c>
    </row>
    <row r="471" spans="1:2" x14ac:dyDescent="0.2">
      <c r="A471">
        <v>0.97732181425484765</v>
      </c>
      <c r="B471">
        <v>0.99972949820349111</v>
      </c>
    </row>
    <row r="472" spans="1:2" x14ac:dyDescent="0.2">
      <c r="A472">
        <v>0.97840172786175905</v>
      </c>
      <c r="B472">
        <v>0.99978994134410037</v>
      </c>
    </row>
    <row r="473" spans="1:2" x14ac:dyDescent="0.2">
      <c r="A473">
        <v>0.97948164146867045</v>
      </c>
      <c r="B473">
        <v>0.99980344734440074</v>
      </c>
    </row>
    <row r="474" spans="1:2" x14ac:dyDescent="0.2">
      <c r="A474">
        <v>0.98056155507558185</v>
      </c>
      <c r="B474">
        <v>0.99988138674331561</v>
      </c>
    </row>
    <row r="475" spans="1:2" x14ac:dyDescent="0.2">
      <c r="A475">
        <v>0.98164146868249325</v>
      </c>
      <c r="B475">
        <v>0.99992316455302599</v>
      </c>
    </row>
    <row r="476" spans="1:2" x14ac:dyDescent="0.2">
      <c r="A476">
        <v>0.98272138228940464</v>
      </c>
      <c r="B476">
        <v>0.99993892797739836</v>
      </c>
    </row>
    <row r="477" spans="1:2" x14ac:dyDescent="0.2">
      <c r="A477">
        <v>0.98380129589631604</v>
      </c>
      <c r="B477">
        <v>0.99995909234499769</v>
      </c>
    </row>
    <row r="478" spans="1:2" x14ac:dyDescent="0.2">
      <c r="A478">
        <v>0.98488120950322744</v>
      </c>
      <c r="B478">
        <v>0.99998285642625007</v>
      </c>
    </row>
    <row r="479" spans="1:2" x14ac:dyDescent="0.2">
      <c r="A479">
        <v>0.98596112311013884</v>
      </c>
      <c r="B479">
        <v>0.99998671417748353</v>
      </c>
    </row>
    <row r="480" spans="1:2" x14ac:dyDescent="0.2">
      <c r="A480">
        <v>0.98704103671705024</v>
      </c>
      <c r="B480">
        <v>0.99999057091763677</v>
      </c>
    </row>
    <row r="481" spans="1:2" x14ac:dyDescent="0.2">
      <c r="A481">
        <v>0.98812095032396163</v>
      </c>
      <c r="B481">
        <v>0.99999090818928604</v>
      </c>
    </row>
    <row r="482" spans="1:2" x14ac:dyDescent="0.2">
      <c r="A482">
        <v>0.98920086393087303</v>
      </c>
      <c r="B482">
        <v>0.99999580368259267</v>
      </c>
    </row>
    <row r="483" spans="1:2" x14ac:dyDescent="0.2">
      <c r="A483">
        <v>0.99028077753778443</v>
      </c>
      <c r="B483">
        <v>0.9999985593178089</v>
      </c>
    </row>
    <row r="484" spans="1:2" x14ac:dyDescent="0.2">
      <c r="A484">
        <v>0.99136069114469583</v>
      </c>
      <c r="B484">
        <v>0.99999861518164912</v>
      </c>
    </row>
    <row r="485" spans="1:2" x14ac:dyDescent="0.2">
      <c r="A485">
        <v>0.99244060475160722</v>
      </c>
      <c r="B485">
        <v>0.99999925080598995</v>
      </c>
    </row>
    <row r="486" spans="1:2" x14ac:dyDescent="0.2">
      <c r="A486">
        <v>0.99352051835851862</v>
      </c>
      <c r="B486">
        <v>0.9999997842885312</v>
      </c>
    </row>
    <row r="487" spans="1:2" x14ac:dyDescent="0.2">
      <c r="A487">
        <v>0.99460043196543002</v>
      </c>
      <c r="B487">
        <v>0.99999984671891595</v>
      </c>
    </row>
    <row r="488" spans="1:2" x14ac:dyDescent="0.2">
      <c r="A488">
        <v>0.99568034557234142</v>
      </c>
      <c r="B488">
        <v>0.99999990754606671</v>
      </c>
    </row>
    <row r="489" spans="1:2" x14ac:dyDescent="0.2">
      <c r="A489">
        <v>0.99676025917925282</v>
      </c>
      <c r="B489">
        <v>0.99999996697997318</v>
      </c>
    </row>
    <row r="490" spans="1:2" x14ac:dyDescent="0.2">
      <c r="A490">
        <v>0.99784017278616421</v>
      </c>
      <c r="B490">
        <v>0.99999999643579773</v>
      </c>
    </row>
    <row r="491" spans="1:2" x14ac:dyDescent="0.2">
      <c r="A491">
        <v>0.99892008639307561</v>
      </c>
      <c r="B491">
        <v>0.99999999968396991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45"/>
  <dimension ref="A1:R31"/>
  <sheetViews>
    <sheetView workbookViewId="0"/>
  </sheetViews>
  <sheetFormatPr defaultRowHeight="12.75" x14ac:dyDescent="0.2"/>
  <sheetData>
    <row r="1" spans="1:18" x14ac:dyDescent="0.2">
      <c r="A1" s="1">
        <v>0</v>
      </c>
      <c r="B1" s="1">
        <v>0</v>
      </c>
      <c r="C1" s="1">
        <v>0</v>
      </c>
      <c r="D1" s="1">
        <v>0</v>
      </c>
      <c r="E1" s="1">
        <v>0</v>
      </c>
      <c r="F1" s="1">
        <v>0</v>
      </c>
      <c r="G1" s="1">
        <v>0</v>
      </c>
      <c r="H1" s="1">
        <v>0</v>
      </c>
      <c r="I1" s="1">
        <v>200</v>
      </c>
      <c r="J1" s="1">
        <v>0</v>
      </c>
      <c r="K1" s="1">
        <v>0</v>
      </c>
      <c r="L1" s="1">
        <v>0</v>
      </c>
      <c r="M1" s="1">
        <v>0</v>
      </c>
      <c r="N1" s="1">
        <v>0</v>
      </c>
      <c r="O1" s="1">
        <v>200</v>
      </c>
      <c r="P1" s="1">
        <v>0</v>
      </c>
      <c r="Q1" s="1">
        <v>0</v>
      </c>
      <c r="R1" s="1">
        <v>0</v>
      </c>
    </row>
    <row r="2" spans="1:18" x14ac:dyDescent="0.2">
      <c r="A2" s="1">
        <v>0</v>
      </c>
      <c r="B2" s="1">
        <v>16</v>
      </c>
      <c r="C2" s="1">
        <v>0</v>
      </c>
      <c r="D2" s="1">
        <v>16</v>
      </c>
      <c r="E2" s="1">
        <v>0</v>
      </c>
      <c r="F2" s="1">
        <v>20</v>
      </c>
      <c r="G2" s="1">
        <v>0</v>
      </c>
      <c r="H2" s="1">
        <v>18</v>
      </c>
      <c r="I2" s="1">
        <v>200</v>
      </c>
      <c r="J2" s="1">
        <v>1</v>
      </c>
      <c r="K2" s="1">
        <v>0</v>
      </c>
      <c r="L2" s="1">
        <v>0</v>
      </c>
      <c r="M2" s="1">
        <v>0</v>
      </c>
      <c r="N2" s="1">
        <v>0</v>
      </c>
      <c r="O2" s="1">
        <v>200</v>
      </c>
      <c r="P2" s="1">
        <v>2</v>
      </c>
      <c r="Q2" s="1">
        <v>0</v>
      </c>
      <c r="R2" s="1">
        <v>4</v>
      </c>
    </row>
    <row r="3" spans="1:18" x14ac:dyDescent="0.2">
      <c r="A3" s="1">
        <v>1600</v>
      </c>
      <c r="B3" s="1">
        <v>16</v>
      </c>
      <c r="C3" s="1">
        <v>1600</v>
      </c>
      <c r="D3" s="1">
        <v>16</v>
      </c>
      <c r="E3" s="1">
        <v>8600</v>
      </c>
      <c r="F3" s="1">
        <v>20</v>
      </c>
      <c r="G3" s="1">
        <v>20000</v>
      </c>
      <c r="H3" s="1">
        <v>18</v>
      </c>
      <c r="I3" s="1">
        <v>280</v>
      </c>
      <c r="J3" s="1">
        <v>1</v>
      </c>
      <c r="K3" s="1">
        <v>230</v>
      </c>
      <c r="L3" s="1">
        <v>0</v>
      </c>
      <c r="M3" s="1">
        <v>41</v>
      </c>
      <c r="N3" s="1">
        <v>0</v>
      </c>
      <c r="O3" s="1">
        <v>302</v>
      </c>
      <c r="P3" s="1">
        <v>2</v>
      </c>
      <c r="Q3" s="1">
        <v>32</v>
      </c>
      <c r="R3" s="1">
        <v>4</v>
      </c>
    </row>
    <row r="4" spans="1:18" x14ac:dyDescent="0.2">
      <c r="A4" s="1">
        <v>1600</v>
      </c>
      <c r="B4" s="1">
        <v>0</v>
      </c>
      <c r="C4" s="1">
        <v>1600</v>
      </c>
      <c r="D4" s="1">
        <v>0</v>
      </c>
      <c r="E4" s="1">
        <v>8600</v>
      </c>
      <c r="F4" s="1">
        <v>0</v>
      </c>
      <c r="G4" s="1">
        <v>20000</v>
      </c>
      <c r="H4" s="1">
        <v>0</v>
      </c>
      <c r="I4" s="1">
        <v>280</v>
      </c>
      <c r="J4" s="1">
        <v>0</v>
      </c>
      <c r="K4" s="1">
        <v>230</v>
      </c>
      <c r="L4" s="1">
        <v>0</v>
      </c>
      <c r="M4" s="1">
        <v>41</v>
      </c>
      <c r="N4" s="1">
        <v>0</v>
      </c>
      <c r="O4" s="1">
        <v>302</v>
      </c>
      <c r="P4" s="1">
        <v>0</v>
      </c>
      <c r="Q4" s="1">
        <v>32</v>
      </c>
      <c r="R4" s="1">
        <v>0</v>
      </c>
    </row>
    <row r="5" spans="1:18" x14ac:dyDescent="0.2">
      <c r="A5" s="1">
        <v>1600</v>
      </c>
      <c r="B5" s="1">
        <v>8</v>
      </c>
      <c r="C5" s="1">
        <v>1600</v>
      </c>
      <c r="D5" s="1">
        <v>8</v>
      </c>
      <c r="E5" s="1">
        <v>8600</v>
      </c>
      <c r="F5" s="1">
        <v>13</v>
      </c>
      <c r="G5" s="1">
        <v>20000</v>
      </c>
      <c r="H5" s="1">
        <v>11</v>
      </c>
      <c r="I5" s="1">
        <v>280</v>
      </c>
      <c r="J5" s="1">
        <v>0</v>
      </c>
      <c r="K5" s="1">
        <v>230</v>
      </c>
      <c r="L5" s="1">
        <v>0</v>
      </c>
      <c r="M5" s="1">
        <v>41</v>
      </c>
      <c r="N5" s="1">
        <v>1</v>
      </c>
      <c r="O5" s="1">
        <v>302</v>
      </c>
      <c r="P5" s="1">
        <v>5</v>
      </c>
      <c r="Q5" s="1">
        <v>32</v>
      </c>
      <c r="R5" s="1">
        <v>6</v>
      </c>
    </row>
    <row r="6" spans="1:18" x14ac:dyDescent="0.2">
      <c r="A6" s="1">
        <v>3200</v>
      </c>
      <c r="B6" s="1">
        <v>8</v>
      </c>
      <c r="C6" s="1">
        <v>3200</v>
      </c>
      <c r="D6" s="1">
        <v>8</v>
      </c>
      <c r="E6" s="1">
        <v>17200</v>
      </c>
      <c r="F6" s="1">
        <v>13</v>
      </c>
      <c r="G6" s="1">
        <v>40000</v>
      </c>
      <c r="H6" s="1">
        <v>11</v>
      </c>
      <c r="I6" s="1">
        <v>360</v>
      </c>
      <c r="J6" s="1">
        <v>0</v>
      </c>
      <c r="K6" s="1">
        <v>460</v>
      </c>
      <c r="L6" s="1">
        <v>0</v>
      </c>
      <c r="M6" s="1">
        <v>82</v>
      </c>
      <c r="N6" s="1">
        <v>1</v>
      </c>
      <c r="O6" s="1">
        <v>404</v>
      </c>
      <c r="P6" s="1">
        <v>5</v>
      </c>
      <c r="Q6" s="1">
        <v>64</v>
      </c>
      <c r="R6" s="1">
        <v>6</v>
      </c>
    </row>
    <row r="7" spans="1:18" x14ac:dyDescent="0.2">
      <c r="A7" s="1">
        <v>3200</v>
      </c>
      <c r="B7" s="1">
        <v>0</v>
      </c>
      <c r="C7" s="1">
        <v>3200</v>
      </c>
      <c r="D7" s="1">
        <v>0</v>
      </c>
      <c r="E7" s="1">
        <v>17200</v>
      </c>
      <c r="F7" s="1">
        <v>0</v>
      </c>
      <c r="G7" s="1">
        <v>40000</v>
      </c>
      <c r="H7" s="1">
        <v>0</v>
      </c>
      <c r="I7" s="1">
        <v>360</v>
      </c>
      <c r="J7" s="1">
        <v>0</v>
      </c>
      <c r="K7" s="1">
        <v>460</v>
      </c>
      <c r="L7" s="1">
        <v>0</v>
      </c>
      <c r="M7" s="1">
        <v>82</v>
      </c>
      <c r="N7" s="1">
        <v>0</v>
      </c>
      <c r="O7" s="1">
        <v>404</v>
      </c>
      <c r="P7" s="1">
        <v>0</v>
      </c>
      <c r="Q7" s="1">
        <v>64</v>
      </c>
      <c r="R7" s="1">
        <v>0</v>
      </c>
    </row>
    <row r="8" spans="1:18" x14ac:dyDescent="0.2">
      <c r="A8" s="1">
        <v>3200</v>
      </c>
      <c r="B8" s="1">
        <v>10</v>
      </c>
      <c r="C8" s="1">
        <v>3200</v>
      </c>
      <c r="D8" s="1">
        <v>10</v>
      </c>
      <c r="E8" s="1">
        <v>17200</v>
      </c>
      <c r="F8" s="1">
        <v>4</v>
      </c>
      <c r="G8" s="1">
        <v>40000</v>
      </c>
      <c r="H8" s="1">
        <v>7</v>
      </c>
      <c r="I8" s="1">
        <v>360</v>
      </c>
      <c r="J8" s="1">
        <v>4</v>
      </c>
      <c r="K8" s="1">
        <v>460</v>
      </c>
      <c r="L8" s="1">
        <v>0</v>
      </c>
      <c r="M8" s="1">
        <v>82</v>
      </c>
      <c r="N8" s="1">
        <v>1</v>
      </c>
      <c r="O8" s="1">
        <v>404</v>
      </c>
      <c r="P8" s="1">
        <v>4</v>
      </c>
      <c r="Q8" s="1">
        <v>64</v>
      </c>
      <c r="R8" s="1">
        <v>2</v>
      </c>
    </row>
    <row r="9" spans="1:18" x14ac:dyDescent="0.2">
      <c r="A9" s="1">
        <v>4800</v>
      </c>
      <c r="B9" s="1">
        <v>10</v>
      </c>
      <c r="C9" s="1">
        <v>4800</v>
      </c>
      <c r="D9" s="1">
        <v>10</v>
      </c>
      <c r="E9" s="1">
        <v>25800</v>
      </c>
      <c r="F9" s="1">
        <v>4</v>
      </c>
      <c r="G9" s="1">
        <v>60000</v>
      </c>
      <c r="H9" s="1">
        <v>7</v>
      </c>
      <c r="I9" s="1">
        <v>440</v>
      </c>
      <c r="J9" s="1">
        <v>4</v>
      </c>
      <c r="K9" s="1">
        <v>690</v>
      </c>
      <c r="L9" s="1">
        <v>0</v>
      </c>
      <c r="M9" s="1">
        <v>123</v>
      </c>
      <c r="N9" s="1">
        <v>1</v>
      </c>
      <c r="O9" s="1">
        <v>506</v>
      </c>
      <c r="P9" s="1">
        <v>4</v>
      </c>
      <c r="Q9" s="1">
        <v>96</v>
      </c>
      <c r="R9" s="1">
        <v>2</v>
      </c>
    </row>
    <row r="10" spans="1:18" x14ac:dyDescent="0.2">
      <c r="A10" s="1">
        <v>4800</v>
      </c>
      <c r="B10" s="1">
        <v>0</v>
      </c>
      <c r="C10" s="1">
        <v>4800</v>
      </c>
      <c r="D10" s="1">
        <v>0</v>
      </c>
      <c r="E10" s="1">
        <v>25800</v>
      </c>
      <c r="F10" s="1">
        <v>0</v>
      </c>
      <c r="G10" s="1">
        <v>60000</v>
      </c>
      <c r="H10" s="1">
        <v>0</v>
      </c>
      <c r="I10" s="1">
        <v>440</v>
      </c>
      <c r="J10" s="1">
        <v>0</v>
      </c>
      <c r="K10" s="1">
        <v>690</v>
      </c>
      <c r="L10" s="1">
        <v>0</v>
      </c>
      <c r="M10" s="1">
        <v>123</v>
      </c>
      <c r="N10" s="1">
        <v>0</v>
      </c>
      <c r="O10" s="1">
        <v>506</v>
      </c>
      <c r="P10" s="1">
        <v>0</v>
      </c>
      <c r="Q10" s="1">
        <v>96</v>
      </c>
      <c r="R10" s="1">
        <v>0</v>
      </c>
    </row>
    <row r="11" spans="1:18" x14ac:dyDescent="0.2">
      <c r="A11" s="1">
        <v>4800</v>
      </c>
      <c r="B11" s="1">
        <v>3</v>
      </c>
      <c r="C11" s="1">
        <v>4800</v>
      </c>
      <c r="D11" s="1">
        <v>3</v>
      </c>
      <c r="E11" s="1">
        <v>25800</v>
      </c>
      <c r="F11" s="1">
        <v>0</v>
      </c>
      <c r="G11" s="1">
        <v>60000</v>
      </c>
      <c r="H11" s="1">
        <v>3</v>
      </c>
      <c r="I11" s="1">
        <v>440</v>
      </c>
      <c r="J11" s="1">
        <v>4</v>
      </c>
      <c r="K11" s="1">
        <v>690</v>
      </c>
      <c r="L11" s="1">
        <v>1</v>
      </c>
      <c r="M11" s="1">
        <v>123</v>
      </c>
      <c r="N11" s="1">
        <v>2</v>
      </c>
      <c r="O11" s="1">
        <v>506</v>
      </c>
      <c r="P11" s="1">
        <v>3</v>
      </c>
      <c r="Q11" s="1">
        <v>96</v>
      </c>
      <c r="R11" s="1">
        <v>5</v>
      </c>
    </row>
    <row r="12" spans="1:18" x14ac:dyDescent="0.2">
      <c r="A12" s="1">
        <v>6400</v>
      </c>
      <c r="B12" s="1">
        <v>3</v>
      </c>
      <c r="C12" s="1">
        <v>6400</v>
      </c>
      <c r="D12" s="1">
        <v>3</v>
      </c>
      <c r="E12" s="1">
        <v>34400</v>
      </c>
      <c r="F12" s="1">
        <v>0</v>
      </c>
      <c r="G12" s="1">
        <v>80000</v>
      </c>
      <c r="H12" s="1">
        <v>3</v>
      </c>
      <c r="I12" s="1">
        <v>520</v>
      </c>
      <c r="J12" s="1">
        <v>4</v>
      </c>
      <c r="K12" s="1">
        <v>920</v>
      </c>
      <c r="L12" s="1">
        <v>1</v>
      </c>
      <c r="M12" s="1">
        <v>164</v>
      </c>
      <c r="N12" s="1">
        <v>2</v>
      </c>
      <c r="O12" s="1">
        <v>608</v>
      </c>
      <c r="P12" s="1">
        <v>3</v>
      </c>
      <c r="Q12" s="1">
        <v>128</v>
      </c>
      <c r="R12" s="1">
        <v>5</v>
      </c>
    </row>
    <row r="13" spans="1:18" x14ac:dyDescent="0.2">
      <c r="A13" s="1">
        <v>6400</v>
      </c>
      <c r="B13" s="1">
        <v>0</v>
      </c>
      <c r="C13" s="1">
        <v>6400</v>
      </c>
      <c r="D13" s="1">
        <v>0</v>
      </c>
      <c r="E13" s="1">
        <v>34400</v>
      </c>
      <c r="F13" s="1">
        <v>0</v>
      </c>
      <c r="G13" s="1">
        <v>80000</v>
      </c>
      <c r="H13" s="1">
        <v>0</v>
      </c>
      <c r="I13" s="1">
        <v>520</v>
      </c>
      <c r="J13" s="1">
        <v>0</v>
      </c>
      <c r="K13" s="1">
        <v>920</v>
      </c>
      <c r="L13" s="1">
        <v>0</v>
      </c>
      <c r="M13" s="1">
        <v>164</v>
      </c>
      <c r="N13" s="1">
        <v>0</v>
      </c>
      <c r="O13" s="1">
        <v>608</v>
      </c>
      <c r="P13" s="1">
        <v>0</v>
      </c>
      <c r="Q13" s="1">
        <v>128</v>
      </c>
      <c r="R13" s="1">
        <v>0</v>
      </c>
    </row>
    <row r="14" spans="1:18" x14ac:dyDescent="0.2">
      <c r="A14" s="1">
        <v>6400</v>
      </c>
      <c r="B14" s="1">
        <v>1</v>
      </c>
      <c r="C14" s="1">
        <v>6400</v>
      </c>
      <c r="D14" s="1">
        <v>1</v>
      </c>
      <c r="E14" s="1">
        <v>34400</v>
      </c>
      <c r="F14" s="1">
        <v>2</v>
      </c>
      <c r="G14" s="1">
        <v>80000</v>
      </c>
      <c r="H14" s="1">
        <v>2</v>
      </c>
      <c r="I14" s="1">
        <v>520</v>
      </c>
      <c r="J14" s="1">
        <v>2</v>
      </c>
      <c r="K14" s="1">
        <v>920</v>
      </c>
      <c r="L14" s="1">
        <v>0</v>
      </c>
      <c r="M14" s="1">
        <v>164</v>
      </c>
      <c r="N14" s="1">
        <v>5</v>
      </c>
      <c r="O14" s="1">
        <v>608</v>
      </c>
      <c r="P14" s="1">
        <v>6</v>
      </c>
      <c r="Q14" s="1">
        <v>128</v>
      </c>
      <c r="R14" s="1">
        <v>6</v>
      </c>
    </row>
    <row r="15" spans="1:18" x14ac:dyDescent="0.2">
      <c r="A15" s="1">
        <v>8000</v>
      </c>
      <c r="B15" s="1">
        <v>1</v>
      </c>
      <c r="C15" s="1">
        <v>8000</v>
      </c>
      <c r="D15" s="1">
        <v>1</v>
      </c>
      <c r="E15" s="1">
        <v>43000</v>
      </c>
      <c r="F15" s="1">
        <v>2</v>
      </c>
      <c r="G15" s="1">
        <v>100000</v>
      </c>
      <c r="H15" s="1">
        <v>2</v>
      </c>
      <c r="I15" s="1">
        <v>600</v>
      </c>
      <c r="J15" s="1">
        <v>2</v>
      </c>
      <c r="K15" s="1">
        <v>1150</v>
      </c>
      <c r="L15" s="1">
        <v>0</v>
      </c>
      <c r="M15" s="1">
        <v>205</v>
      </c>
      <c r="N15" s="1">
        <v>5</v>
      </c>
      <c r="O15" s="1">
        <v>710</v>
      </c>
      <c r="P15" s="1">
        <v>6</v>
      </c>
      <c r="Q15" s="1">
        <v>160</v>
      </c>
      <c r="R15" s="1">
        <v>6</v>
      </c>
    </row>
    <row r="16" spans="1:18" x14ac:dyDescent="0.2">
      <c r="A16" s="1">
        <v>8000</v>
      </c>
      <c r="B16" s="1">
        <v>0</v>
      </c>
      <c r="C16" s="1">
        <v>8000</v>
      </c>
      <c r="D16" s="1">
        <v>0</v>
      </c>
      <c r="E16" s="1">
        <v>43000</v>
      </c>
      <c r="F16" s="1">
        <v>0</v>
      </c>
      <c r="G16" s="1">
        <v>100000</v>
      </c>
      <c r="H16" s="1">
        <v>0</v>
      </c>
      <c r="I16" s="1">
        <v>600</v>
      </c>
      <c r="J16" s="1">
        <v>0</v>
      </c>
      <c r="K16" s="1">
        <v>1150</v>
      </c>
      <c r="L16" s="1">
        <v>0</v>
      </c>
      <c r="M16" s="1">
        <v>205</v>
      </c>
      <c r="N16" s="1">
        <v>0</v>
      </c>
      <c r="O16" s="1">
        <v>710</v>
      </c>
      <c r="P16" s="1">
        <v>0</v>
      </c>
      <c r="Q16" s="1">
        <v>160</v>
      </c>
      <c r="R16" s="1">
        <v>0</v>
      </c>
    </row>
    <row r="17" spans="1:18" x14ac:dyDescent="0.2">
      <c r="A17" s="1">
        <v>8000</v>
      </c>
      <c r="B17" s="1">
        <v>5</v>
      </c>
      <c r="C17" s="1">
        <v>8000</v>
      </c>
      <c r="D17" s="1">
        <v>5</v>
      </c>
      <c r="E17" s="1">
        <v>43000</v>
      </c>
      <c r="F17" s="1">
        <v>2</v>
      </c>
      <c r="G17" s="1">
        <v>100000</v>
      </c>
      <c r="H17" s="1">
        <v>3</v>
      </c>
      <c r="I17" s="1">
        <v>600</v>
      </c>
      <c r="J17" s="1">
        <v>7</v>
      </c>
      <c r="K17" s="1">
        <v>1150</v>
      </c>
      <c r="L17" s="1">
        <v>5</v>
      </c>
      <c r="M17" s="1">
        <v>205</v>
      </c>
      <c r="N17" s="1">
        <v>6</v>
      </c>
      <c r="O17" s="1">
        <v>710</v>
      </c>
      <c r="P17" s="1">
        <v>3</v>
      </c>
      <c r="Q17" s="1">
        <v>160</v>
      </c>
      <c r="R17" s="1">
        <v>2</v>
      </c>
    </row>
    <row r="18" spans="1:18" x14ac:dyDescent="0.2">
      <c r="A18" s="1">
        <v>9600</v>
      </c>
      <c r="B18" s="1">
        <v>5</v>
      </c>
      <c r="C18" s="1">
        <v>9600</v>
      </c>
      <c r="D18" s="1">
        <v>5</v>
      </c>
      <c r="E18" s="1">
        <v>51600</v>
      </c>
      <c r="F18" s="1">
        <v>2</v>
      </c>
      <c r="G18" s="1">
        <v>120000</v>
      </c>
      <c r="H18" s="1">
        <v>3</v>
      </c>
      <c r="I18" s="1">
        <v>680</v>
      </c>
      <c r="J18" s="1">
        <v>7</v>
      </c>
      <c r="K18" s="1">
        <v>1380</v>
      </c>
      <c r="L18" s="1">
        <v>5</v>
      </c>
      <c r="M18" s="1">
        <v>246</v>
      </c>
      <c r="N18" s="1">
        <v>6</v>
      </c>
      <c r="O18" s="1">
        <v>812</v>
      </c>
      <c r="P18" s="1">
        <v>3</v>
      </c>
      <c r="Q18" s="1">
        <v>192</v>
      </c>
      <c r="R18" s="1">
        <v>2</v>
      </c>
    </row>
    <row r="19" spans="1:18" x14ac:dyDescent="0.2">
      <c r="A19" s="1">
        <v>9600</v>
      </c>
      <c r="B19" s="1">
        <v>0</v>
      </c>
      <c r="C19" s="1">
        <v>9600</v>
      </c>
      <c r="D19" s="1">
        <v>0</v>
      </c>
      <c r="E19" s="1">
        <v>51600</v>
      </c>
      <c r="F19" s="1">
        <v>0</v>
      </c>
      <c r="G19" s="1">
        <v>120000</v>
      </c>
      <c r="H19" s="1">
        <v>0</v>
      </c>
      <c r="I19" s="1">
        <v>680</v>
      </c>
      <c r="J19" s="1">
        <v>0</v>
      </c>
      <c r="K19" s="1">
        <v>1380</v>
      </c>
      <c r="L19" s="1">
        <v>0</v>
      </c>
      <c r="M19" s="1">
        <v>246</v>
      </c>
      <c r="N19" s="1">
        <v>0</v>
      </c>
      <c r="O19" s="1">
        <v>812</v>
      </c>
      <c r="P19" s="1">
        <v>0</v>
      </c>
      <c r="Q19" s="1">
        <v>192</v>
      </c>
      <c r="R19" s="1">
        <v>0</v>
      </c>
    </row>
    <row r="20" spans="1:18" x14ac:dyDescent="0.2">
      <c r="A20" s="1">
        <v>9600</v>
      </c>
      <c r="B20" s="1">
        <v>4</v>
      </c>
      <c r="C20" s="1">
        <v>9600</v>
      </c>
      <c r="D20" s="1">
        <v>4</v>
      </c>
      <c r="E20" s="1">
        <v>51600</v>
      </c>
      <c r="F20" s="1">
        <v>3</v>
      </c>
      <c r="G20" s="1">
        <v>120000</v>
      </c>
      <c r="H20" s="1">
        <v>0</v>
      </c>
      <c r="I20" s="1">
        <v>680</v>
      </c>
      <c r="J20" s="1">
        <v>4</v>
      </c>
      <c r="K20" s="1">
        <v>1380</v>
      </c>
      <c r="L20" s="1">
        <v>7</v>
      </c>
      <c r="M20" s="1">
        <v>246</v>
      </c>
      <c r="N20" s="1">
        <v>6</v>
      </c>
      <c r="O20" s="1">
        <v>812</v>
      </c>
      <c r="P20" s="1">
        <v>3</v>
      </c>
      <c r="Q20" s="1">
        <v>192</v>
      </c>
      <c r="R20" s="1">
        <v>0</v>
      </c>
    </row>
    <row r="21" spans="1:18" x14ac:dyDescent="0.2">
      <c r="A21" s="1">
        <v>11200</v>
      </c>
      <c r="B21" s="1">
        <v>4</v>
      </c>
      <c r="C21" s="1">
        <v>11200</v>
      </c>
      <c r="D21" s="1">
        <v>4</v>
      </c>
      <c r="E21" s="1">
        <v>60200</v>
      </c>
      <c r="F21" s="1">
        <v>3</v>
      </c>
      <c r="G21" s="1">
        <v>140000</v>
      </c>
      <c r="H21" s="1">
        <v>0</v>
      </c>
      <c r="I21" s="1">
        <v>760</v>
      </c>
      <c r="J21" s="1">
        <v>4</v>
      </c>
      <c r="K21" s="1">
        <v>1610</v>
      </c>
      <c r="L21" s="1">
        <v>7</v>
      </c>
      <c r="M21" s="1">
        <v>287</v>
      </c>
      <c r="N21" s="1">
        <v>6</v>
      </c>
      <c r="O21" s="1">
        <v>914</v>
      </c>
      <c r="P21" s="1">
        <v>3</v>
      </c>
      <c r="Q21" s="1">
        <v>224</v>
      </c>
      <c r="R21" s="1">
        <v>0</v>
      </c>
    </row>
    <row r="22" spans="1:18" x14ac:dyDescent="0.2">
      <c r="A22" s="1">
        <v>11200</v>
      </c>
      <c r="B22" s="1">
        <v>0</v>
      </c>
      <c r="C22" s="1">
        <v>11200</v>
      </c>
      <c r="D22" s="1">
        <v>0</v>
      </c>
      <c r="E22" s="1">
        <v>60200</v>
      </c>
      <c r="F22" s="1">
        <v>0</v>
      </c>
      <c r="G22" s="1">
        <v>140000</v>
      </c>
      <c r="H22" s="1">
        <v>0</v>
      </c>
      <c r="I22" s="1">
        <v>760</v>
      </c>
      <c r="J22" s="1">
        <v>0</v>
      </c>
      <c r="K22" s="1">
        <v>1610</v>
      </c>
      <c r="L22" s="1">
        <v>0</v>
      </c>
      <c r="M22" s="1">
        <v>287</v>
      </c>
      <c r="N22" s="1">
        <v>0</v>
      </c>
      <c r="O22" s="1">
        <v>914</v>
      </c>
      <c r="P22" s="1">
        <v>0</v>
      </c>
      <c r="Q22" s="1">
        <v>224</v>
      </c>
      <c r="R22" s="1">
        <v>0</v>
      </c>
    </row>
    <row r="23" spans="1:18" x14ac:dyDescent="0.2">
      <c r="A23" s="1">
        <v>11200</v>
      </c>
      <c r="B23" s="1">
        <v>2</v>
      </c>
      <c r="C23" s="1">
        <v>11200</v>
      </c>
      <c r="D23" s="1">
        <v>2</v>
      </c>
      <c r="E23" s="1">
        <v>60200</v>
      </c>
      <c r="F23" s="1">
        <v>0</v>
      </c>
      <c r="G23" s="1">
        <v>140000</v>
      </c>
      <c r="H23" s="1">
        <v>0</v>
      </c>
      <c r="I23" s="1">
        <v>760</v>
      </c>
      <c r="J23" s="1">
        <v>1</v>
      </c>
      <c r="K23" s="1">
        <v>1610</v>
      </c>
      <c r="L23" s="1">
        <v>4</v>
      </c>
      <c r="M23" s="1">
        <v>287</v>
      </c>
      <c r="N23" s="1">
        <v>2</v>
      </c>
      <c r="O23" s="1">
        <v>914</v>
      </c>
      <c r="P23" s="1">
        <v>0</v>
      </c>
      <c r="Q23" s="1">
        <v>224</v>
      </c>
      <c r="R23" s="1">
        <v>0</v>
      </c>
    </row>
    <row r="24" spans="1:18" x14ac:dyDescent="0.2">
      <c r="A24" s="1">
        <v>12800</v>
      </c>
      <c r="B24" s="1">
        <v>2</v>
      </c>
      <c r="C24" s="1">
        <v>12800</v>
      </c>
      <c r="D24" s="1">
        <v>2</v>
      </c>
      <c r="E24" s="1">
        <v>68800</v>
      </c>
      <c r="F24" s="1">
        <v>0</v>
      </c>
      <c r="G24" s="1">
        <v>160000</v>
      </c>
      <c r="H24" s="1">
        <v>0</v>
      </c>
      <c r="I24" s="1">
        <v>840</v>
      </c>
      <c r="J24" s="1">
        <v>1</v>
      </c>
      <c r="K24" s="1">
        <v>1840</v>
      </c>
      <c r="L24" s="1">
        <v>4</v>
      </c>
      <c r="M24" s="1">
        <v>328</v>
      </c>
      <c r="N24" s="1">
        <v>2</v>
      </c>
      <c r="O24" s="1">
        <v>1016</v>
      </c>
      <c r="P24" s="1">
        <v>0</v>
      </c>
      <c r="Q24" s="1">
        <v>256</v>
      </c>
      <c r="R24" s="1">
        <v>0</v>
      </c>
    </row>
    <row r="25" spans="1:18" x14ac:dyDescent="0.2">
      <c r="A25" s="1">
        <v>12800</v>
      </c>
      <c r="B25" s="1">
        <v>0</v>
      </c>
      <c r="C25" s="1">
        <v>12800</v>
      </c>
      <c r="D25" s="1">
        <v>0</v>
      </c>
      <c r="E25" s="1">
        <v>68800</v>
      </c>
      <c r="F25" s="1">
        <v>0</v>
      </c>
      <c r="G25" s="1">
        <v>160000</v>
      </c>
      <c r="H25" s="1">
        <v>0</v>
      </c>
      <c r="I25" s="1">
        <v>840</v>
      </c>
      <c r="J25" s="1">
        <v>0</v>
      </c>
      <c r="K25" s="1">
        <v>1840</v>
      </c>
      <c r="L25" s="1">
        <v>0</v>
      </c>
      <c r="M25" s="1">
        <v>328</v>
      </c>
      <c r="N25" s="1">
        <v>0</v>
      </c>
      <c r="O25" s="1">
        <v>1016</v>
      </c>
      <c r="P25" s="1">
        <v>0</v>
      </c>
      <c r="Q25" s="1">
        <v>256</v>
      </c>
      <c r="R25" s="1">
        <v>0</v>
      </c>
    </row>
    <row r="26" spans="1:18" x14ac:dyDescent="0.2">
      <c r="A26" s="1">
        <v>12800</v>
      </c>
      <c r="B26" s="1">
        <v>2</v>
      </c>
      <c r="C26" s="1">
        <v>12800</v>
      </c>
      <c r="D26" s="1">
        <v>2</v>
      </c>
      <c r="E26" s="1">
        <v>68800</v>
      </c>
      <c r="F26" s="1">
        <v>0</v>
      </c>
      <c r="G26" s="1">
        <v>160000</v>
      </c>
      <c r="H26" s="1">
        <v>0</v>
      </c>
      <c r="I26" s="1">
        <v>840</v>
      </c>
      <c r="J26" s="1">
        <v>4</v>
      </c>
      <c r="K26" s="1">
        <v>1840</v>
      </c>
      <c r="L26" s="1">
        <v>8</v>
      </c>
      <c r="M26" s="1">
        <v>328</v>
      </c>
      <c r="N26" s="1">
        <v>1</v>
      </c>
      <c r="O26" s="1">
        <v>1016</v>
      </c>
      <c r="P26" s="1">
        <v>0</v>
      </c>
      <c r="Q26" s="1">
        <v>256</v>
      </c>
      <c r="R26" s="1">
        <v>2</v>
      </c>
    </row>
    <row r="27" spans="1:18" x14ac:dyDescent="0.2">
      <c r="A27" s="1">
        <v>14400</v>
      </c>
      <c r="B27" s="1">
        <v>2</v>
      </c>
      <c r="C27" s="1">
        <v>14400</v>
      </c>
      <c r="D27" s="1">
        <v>2</v>
      </c>
      <c r="E27" s="1">
        <v>77400</v>
      </c>
      <c r="F27" s="1">
        <v>0</v>
      </c>
      <c r="G27" s="1">
        <v>180000</v>
      </c>
      <c r="H27" s="1">
        <v>0</v>
      </c>
      <c r="I27" s="1">
        <v>920</v>
      </c>
      <c r="J27" s="1">
        <v>4</v>
      </c>
      <c r="K27" s="1">
        <v>2070</v>
      </c>
      <c r="L27" s="1">
        <v>8</v>
      </c>
      <c r="M27" s="1">
        <v>369</v>
      </c>
      <c r="N27" s="1">
        <v>1</v>
      </c>
      <c r="O27" s="1">
        <v>1118</v>
      </c>
      <c r="P27" s="1">
        <v>0</v>
      </c>
      <c r="Q27" s="1">
        <v>288</v>
      </c>
      <c r="R27" s="1">
        <v>2</v>
      </c>
    </row>
    <row r="28" spans="1:18" x14ac:dyDescent="0.2">
      <c r="A28" s="1">
        <v>14400</v>
      </c>
      <c r="B28" s="1">
        <v>0</v>
      </c>
      <c r="C28" s="1">
        <v>14400</v>
      </c>
      <c r="D28" s="1">
        <v>0</v>
      </c>
      <c r="E28" s="1">
        <v>77400</v>
      </c>
      <c r="F28" s="1">
        <v>0</v>
      </c>
      <c r="G28" s="1">
        <v>180000</v>
      </c>
      <c r="H28" s="1">
        <v>0</v>
      </c>
      <c r="I28" s="1">
        <v>920</v>
      </c>
      <c r="J28" s="1">
        <v>0</v>
      </c>
      <c r="K28" s="1">
        <v>2070</v>
      </c>
      <c r="L28" s="1">
        <v>0</v>
      </c>
      <c r="M28" s="1">
        <v>369</v>
      </c>
      <c r="N28" s="1">
        <v>0</v>
      </c>
      <c r="O28" s="1">
        <v>1118</v>
      </c>
      <c r="P28" s="1">
        <v>0</v>
      </c>
      <c r="Q28" s="1">
        <v>288</v>
      </c>
      <c r="R28" s="1">
        <v>0</v>
      </c>
    </row>
    <row r="29" spans="1:18" x14ac:dyDescent="0.2">
      <c r="A29" s="1">
        <v>14400</v>
      </c>
      <c r="B29" s="1">
        <v>1</v>
      </c>
      <c r="C29" s="1">
        <v>14400</v>
      </c>
      <c r="D29" s="1">
        <v>1</v>
      </c>
      <c r="E29" s="1">
        <v>77400</v>
      </c>
      <c r="F29" s="1">
        <v>1</v>
      </c>
      <c r="G29" s="1">
        <v>180000</v>
      </c>
      <c r="H29" s="1">
        <v>1</v>
      </c>
      <c r="I29" s="1">
        <v>920</v>
      </c>
      <c r="J29" s="1">
        <v>1</v>
      </c>
      <c r="K29" s="1">
        <v>2070</v>
      </c>
      <c r="L29" s="1">
        <v>3</v>
      </c>
      <c r="M29" s="1">
        <v>369</v>
      </c>
      <c r="N29" s="1">
        <v>4</v>
      </c>
      <c r="O29" s="1">
        <v>1118</v>
      </c>
      <c r="P29" s="1">
        <v>2</v>
      </c>
      <c r="Q29" s="1">
        <v>288</v>
      </c>
      <c r="R29" s="1">
        <v>1</v>
      </c>
    </row>
    <row r="30" spans="1:18" x14ac:dyDescent="0.2">
      <c r="A30" s="1">
        <v>16000</v>
      </c>
      <c r="B30" s="1">
        <v>1</v>
      </c>
      <c r="C30" s="1">
        <v>16000</v>
      </c>
      <c r="D30" s="1">
        <v>1</v>
      </c>
      <c r="E30" s="1">
        <v>86000</v>
      </c>
      <c r="F30" s="1">
        <v>1</v>
      </c>
      <c r="G30" s="1">
        <v>200000</v>
      </c>
      <c r="H30" s="1">
        <v>1</v>
      </c>
      <c r="I30" s="1">
        <v>1000</v>
      </c>
      <c r="J30" s="1">
        <v>1</v>
      </c>
      <c r="K30" s="1">
        <v>2300</v>
      </c>
      <c r="L30" s="1">
        <v>3</v>
      </c>
      <c r="M30" s="1">
        <v>410</v>
      </c>
      <c r="N30" s="1">
        <v>4</v>
      </c>
      <c r="O30" s="1">
        <v>1220</v>
      </c>
      <c r="P30" s="1">
        <v>2</v>
      </c>
      <c r="Q30" s="1">
        <v>320</v>
      </c>
      <c r="R30" s="1">
        <v>1</v>
      </c>
    </row>
    <row r="31" spans="1:18" x14ac:dyDescent="0.2">
      <c r="A31" s="1">
        <v>16000</v>
      </c>
      <c r="B31" s="1">
        <v>0</v>
      </c>
      <c r="C31" s="1">
        <v>16000</v>
      </c>
      <c r="D31" s="1">
        <v>0</v>
      </c>
      <c r="E31" s="1">
        <v>86000</v>
      </c>
      <c r="F31" s="1">
        <v>0</v>
      </c>
      <c r="G31" s="1">
        <v>200000</v>
      </c>
      <c r="H31" s="1">
        <v>0</v>
      </c>
      <c r="I31" s="1">
        <v>1000</v>
      </c>
      <c r="J31" s="1">
        <v>0</v>
      </c>
      <c r="K31" s="1">
        <v>2300</v>
      </c>
      <c r="L31" s="1">
        <v>0</v>
      </c>
      <c r="M31" s="1">
        <v>410</v>
      </c>
      <c r="N31" s="1">
        <v>0</v>
      </c>
      <c r="O31" s="1">
        <v>1220</v>
      </c>
      <c r="P31" s="1">
        <v>0</v>
      </c>
      <c r="Q31" s="1">
        <v>320</v>
      </c>
      <c r="R31" s="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48"/>
  <dimension ref="D1:IB52"/>
  <sheetViews>
    <sheetView workbookViewId="0"/>
  </sheetViews>
  <sheetFormatPr defaultRowHeight="12.75" x14ac:dyDescent="0.2"/>
  <sheetData>
    <row r="1" spans="4:236" x14ac:dyDescent="0.2">
      <c r="D1" s="1">
        <v>353.5</v>
      </c>
      <c r="E1" s="1">
        <v>356</v>
      </c>
      <c r="G1" s="1">
        <v>5462.8</v>
      </c>
      <c r="H1" s="1">
        <v>376</v>
      </c>
      <c r="J1" s="1">
        <v>11120.7</v>
      </c>
      <c r="K1" s="1">
        <v>376</v>
      </c>
      <c r="M1" s="1">
        <v>657</v>
      </c>
      <c r="N1" s="1">
        <v>4721</v>
      </c>
      <c r="P1" s="1">
        <v>2206</v>
      </c>
      <c r="Q1" s="1">
        <v>4721</v>
      </c>
      <c r="S1" s="1">
        <v>158</v>
      </c>
      <c r="T1" s="1">
        <v>4721</v>
      </c>
      <c r="V1" s="1">
        <v>1180</v>
      </c>
      <c r="W1" s="1">
        <v>4721</v>
      </c>
      <c r="Y1" s="1">
        <v>72</v>
      </c>
      <c r="Z1" s="1">
        <v>4721</v>
      </c>
      <c r="AB1" s="1">
        <v>356</v>
      </c>
      <c r="AC1" s="1">
        <v>353.5</v>
      </c>
      <c r="AH1" s="1">
        <v>5462.8</v>
      </c>
      <c r="AI1" s="1">
        <v>373.5</v>
      </c>
      <c r="AK1" s="1">
        <v>11120.7</v>
      </c>
      <c r="AL1" s="1">
        <v>373.5</v>
      </c>
      <c r="AN1" s="1">
        <v>657</v>
      </c>
      <c r="AO1" s="1">
        <v>4718.5</v>
      </c>
      <c r="AQ1" s="1">
        <v>2206</v>
      </c>
      <c r="AR1" s="1">
        <v>4718.5</v>
      </c>
      <c r="AT1" s="1">
        <v>158</v>
      </c>
      <c r="AU1" s="1">
        <v>4718.5</v>
      </c>
      <c r="AW1" s="1">
        <v>1180</v>
      </c>
      <c r="AX1" s="1">
        <v>4718.5</v>
      </c>
      <c r="AZ1" s="1">
        <v>72</v>
      </c>
      <c r="BA1" s="1">
        <v>4718.5</v>
      </c>
      <c r="BC1" s="1">
        <v>376</v>
      </c>
      <c r="BD1" s="1">
        <v>5462.8</v>
      </c>
      <c r="BF1" s="1">
        <v>373.5</v>
      </c>
      <c r="BG1" s="1">
        <v>5462.8</v>
      </c>
      <c r="BL1" s="1">
        <v>11120.7</v>
      </c>
      <c r="BM1" s="1">
        <v>5462.8</v>
      </c>
      <c r="BO1" s="1">
        <v>657</v>
      </c>
      <c r="BP1" s="1">
        <v>40860.699999999997</v>
      </c>
      <c r="BR1" s="1">
        <v>2206</v>
      </c>
      <c r="BS1" s="1">
        <v>40860.699999999997</v>
      </c>
      <c r="BU1" s="1">
        <v>158</v>
      </c>
      <c r="BV1" s="1">
        <v>40860.699999999997</v>
      </c>
      <c r="BX1" s="1">
        <v>1180</v>
      </c>
      <c r="BY1" s="1">
        <v>40860.699999999997</v>
      </c>
      <c r="CA1" s="1">
        <v>72</v>
      </c>
      <c r="CB1" s="1">
        <v>40860.699999999997</v>
      </c>
      <c r="CD1" s="1">
        <v>376</v>
      </c>
      <c r="CE1" s="1">
        <v>11120.7</v>
      </c>
      <c r="CG1" s="1">
        <v>373.5</v>
      </c>
      <c r="CH1" s="1">
        <v>11120.7</v>
      </c>
      <c r="CJ1" s="1">
        <v>5462.8</v>
      </c>
      <c r="CK1" s="1">
        <v>11120.7</v>
      </c>
      <c r="CP1" s="1">
        <v>657</v>
      </c>
      <c r="CQ1" s="1">
        <v>107495.70000000001</v>
      </c>
      <c r="CS1" s="1">
        <v>2206</v>
      </c>
      <c r="CT1" s="1">
        <v>107495.70000000001</v>
      </c>
      <c r="CV1" s="1">
        <v>158</v>
      </c>
      <c r="CW1" s="1">
        <v>107495.70000000001</v>
      </c>
      <c r="CY1" s="1">
        <v>1180</v>
      </c>
      <c r="CZ1" s="1">
        <v>107495.70000000001</v>
      </c>
      <c r="DB1" s="1">
        <v>72</v>
      </c>
      <c r="DC1" s="1">
        <v>107495.70000000001</v>
      </c>
      <c r="DE1" s="1">
        <v>4721</v>
      </c>
      <c r="DF1" s="1">
        <v>657</v>
      </c>
      <c r="DH1" s="1">
        <v>4718.5</v>
      </c>
      <c r="DI1" s="1">
        <v>657</v>
      </c>
      <c r="DK1" s="1">
        <v>40860.699999999997</v>
      </c>
      <c r="DL1" s="1">
        <v>657</v>
      </c>
      <c r="DN1" s="1">
        <v>107495.70000000001</v>
      </c>
      <c r="DO1" s="1">
        <v>657</v>
      </c>
      <c r="DT1" s="1">
        <v>2206</v>
      </c>
      <c r="DU1" s="1">
        <v>657</v>
      </c>
      <c r="DW1" s="1">
        <v>158</v>
      </c>
      <c r="DX1" s="1">
        <v>657</v>
      </c>
      <c r="DZ1" s="1">
        <v>1180</v>
      </c>
      <c r="EA1" s="1">
        <v>657</v>
      </c>
      <c r="EC1" s="1">
        <v>72</v>
      </c>
      <c r="ED1" s="1">
        <v>657</v>
      </c>
      <c r="EF1" s="1">
        <v>4721</v>
      </c>
      <c r="EG1" s="1">
        <v>2206</v>
      </c>
      <c r="EI1" s="1">
        <v>4718.5</v>
      </c>
      <c r="EJ1" s="1">
        <v>2206</v>
      </c>
      <c r="EL1" s="1">
        <v>40860.699999999997</v>
      </c>
      <c r="EM1" s="1">
        <v>2206</v>
      </c>
      <c r="EO1" s="1">
        <v>107495.70000000001</v>
      </c>
      <c r="EP1" s="1">
        <v>2206</v>
      </c>
      <c r="ER1" s="1">
        <v>657</v>
      </c>
      <c r="ES1" s="1">
        <v>2206</v>
      </c>
      <c r="EX1" s="1">
        <v>158</v>
      </c>
      <c r="EY1" s="1">
        <v>2206</v>
      </c>
      <c r="FA1" s="1">
        <v>1180</v>
      </c>
      <c r="FB1" s="1">
        <v>2206</v>
      </c>
      <c r="FD1" s="1">
        <v>72</v>
      </c>
      <c r="FE1" s="1">
        <v>2206</v>
      </c>
      <c r="FG1" s="1">
        <v>4721</v>
      </c>
      <c r="FH1" s="1">
        <v>158</v>
      </c>
      <c r="FJ1" s="1">
        <v>4718.5</v>
      </c>
      <c r="FK1" s="1">
        <v>158</v>
      </c>
      <c r="FM1" s="1">
        <v>40860.699999999997</v>
      </c>
      <c r="FN1" s="1">
        <v>158</v>
      </c>
      <c r="FP1" s="1">
        <v>107495.70000000001</v>
      </c>
      <c r="FQ1" s="1">
        <v>158</v>
      </c>
      <c r="FS1" s="1">
        <v>657</v>
      </c>
      <c r="FT1" s="1">
        <v>158</v>
      </c>
      <c r="FV1" s="1">
        <v>2206</v>
      </c>
      <c r="FW1" s="1">
        <v>158</v>
      </c>
      <c r="GB1" s="1">
        <v>1180</v>
      </c>
      <c r="GC1" s="1">
        <v>158</v>
      </c>
      <c r="GE1" s="1">
        <v>72</v>
      </c>
      <c r="GF1" s="1">
        <v>158</v>
      </c>
      <c r="GH1" s="1">
        <v>4721</v>
      </c>
      <c r="GI1" s="1">
        <v>1180</v>
      </c>
      <c r="GK1" s="1">
        <v>4718.5</v>
      </c>
      <c r="GL1" s="1">
        <v>1180</v>
      </c>
      <c r="GN1" s="1">
        <v>40860.699999999997</v>
      </c>
      <c r="GO1" s="1">
        <v>1180</v>
      </c>
      <c r="GQ1" s="1">
        <v>107495.70000000001</v>
      </c>
      <c r="GR1" s="1">
        <v>1180</v>
      </c>
      <c r="GT1" s="1">
        <v>657</v>
      </c>
      <c r="GU1" s="1">
        <v>1180</v>
      </c>
      <c r="GW1" s="1">
        <v>2206</v>
      </c>
      <c r="GX1" s="1">
        <v>1180</v>
      </c>
      <c r="GZ1" s="1">
        <v>158</v>
      </c>
      <c r="HA1" s="1">
        <v>1180</v>
      </c>
      <c r="HF1" s="1">
        <v>72</v>
      </c>
      <c r="HG1" s="1">
        <v>1180</v>
      </c>
      <c r="HI1" s="1">
        <v>4721</v>
      </c>
      <c r="HJ1" s="1">
        <v>72</v>
      </c>
      <c r="HL1" s="1">
        <v>4718.5</v>
      </c>
      <c r="HM1" s="1">
        <v>72</v>
      </c>
      <c r="HO1" s="1">
        <v>40860.699999999997</v>
      </c>
      <c r="HP1" s="1">
        <v>72</v>
      </c>
      <c r="HR1" s="1">
        <v>107495.70000000001</v>
      </c>
      <c r="HS1" s="1">
        <v>72</v>
      </c>
      <c r="HU1" s="1">
        <v>657</v>
      </c>
      <c r="HV1" s="1">
        <v>72</v>
      </c>
      <c r="HX1" s="1">
        <v>2206</v>
      </c>
      <c r="HY1" s="1">
        <v>72</v>
      </c>
      <c r="IA1" s="1">
        <v>158</v>
      </c>
      <c r="IB1" s="1">
        <v>72</v>
      </c>
    </row>
    <row r="2" spans="4:236" x14ac:dyDescent="0.2">
      <c r="D2" s="1">
        <v>468.5</v>
      </c>
      <c r="E2" s="1">
        <v>471</v>
      </c>
      <c r="G2" s="1">
        <v>12681</v>
      </c>
      <c r="H2" s="1">
        <v>513</v>
      </c>
      <c r="J2" s="1">
        <v>19804.900000000001</v>
      </c>
      <c r="K2" s="1">
        <v>513</v>
      </c>
      <c r="M2" s="1">
        <v>734</v>
      </c>
      <c r="N2" s="1">
        <v>2370</v>
      </c>
      <c r="P2" s="1">
        <v>1807</v>
      </c>
      <c r="Q2" s="1">
        <v>2370</v>
      </c>
      <c r="S2" s="1">
        <v>387</v>
      </c>
      <c r="T2" s="1">
        <v>2370</v>
      </c>
      <c r="V2" s="1">
        <v>850</v>
      </c>
      <c r="W2" s="1">
        <v>2370</v>
      </c>
      <c r="Y2" s="1">
        <v>130</v>
      </c>
      <c r="Z2" s="1">
        <v>2370</v>
      </c>
      <c r="AB2" s="1">
        <v>471</v>
      </c>
      <c r="AC2" s="1">
        <v>468.5</v>
      </c>
      <c r="AH2" s="1">
        <v>12681</v>
      </c>
      <c r="AI2" s="1">
        <v>510.5</v>
      </c>
      <c r="AK2" s="1">
        <v>19804.900000000001</v>
      </c>
      <c r="AL2" s="1">
        <v>510.5</v>
      </c>
      <c r="AN2" s="1">
        <v>734</v>
      </c>
      <c r="AO2" s="1">
        <v>2367.5</v>
      </c>
      <c r="AQ2" s="1">
        <v>1807</v>
      </c>
      <c r="AR2" s="1">
        <v>2367.5</v>
      </c>
      <c r="AT2" s="1">
        <v>387</v>
      </c>
      <c r="AU2" s="1">
        <v>2367.5</v>
      </c>
      <c r="AW2" s="1">
        <v>850</v>
      </c>
      <c r="AX2" s="1">
        <v>2367.5</v>
      </c>
      <c r="AZ2" s="1">
        <v>130</v>
      </c>
      <c r="BA2" s="1">
        <v>2367.5</v>
      </c>
      <c r="BC2" s="1">
        <v>513</v>
      </c>
      <c r="BD2" s="1">
        <v>12681</v>
      </c>
      <c r="BF2" s="1">
        <v>510.5</v>
      </c>
      <c r="BG2" s="1">
        <v>12681</v>
      </c>
      <c r="BL2" s="1">
        <v>19804.900000000001</v>
      </c>
      <c r="BM2" s="1">
        <v>12681</v>
      </c>
      <c r="BO2" s="1">
        <v>734</v>
      </c>
      <c r="BP2" s="1">
        <v>14503.1</v>
      </c>
      <c r="BR2" s="1">
        <v>1807</v>
      </c>
      <c r="BS2" s="1">
        <v>14503.1</v>
      </c>
      <c r="BU2" s="1">
        <v>387</v>
      </c>
      <c r="BV2" s="1">
        <v>14503.1</v>
      </c>
      <c r="BX2" s="1">
        <v>850</v>
      </c>
      <c r="BY2" s="1">
        <v>14503.1</v>
      </c>
      <c r="CA2" s="1">
        <v>130</v>
      </c>
      <c r="CB2" s="1">
        <v>14503.1</v>
      </c>
      <c r="CD2" s="1">
        <v>513</v>
      </c>
      <c r="CE2" s="1">
        <v>19804.900000000001</v>
      </c>
      <c r="CG2" s="1">
        <v>510.5</v>
      </c>
      <c r="CH2" s="1">
        <v>19804.900000000001</v>
      </c>
      <c r="CJ2" s="1">
        <v>12681</v>
      </c>
      <c r="CK2" s="1">
        <v>19804.900000000001</v>
      </c>
      <c r="CP2" s="1">
        <v>734</v>
      </c>
      <c r="CQ2" s="1">
        <v>30981.699999999997</v>
      </c>
      <c r="CS2" s="1">
        <v>1807</v>
      </c>
      <c r="CT2" s="1">
        <v>30981.699999999997</v>
      </c>
      <c r="CV2" s="1">
        <v>387</v>
      </c>
      <c r="CW2" s="1">
        <v>30981.699999999997</v>
      </c>
      <c r="CY2" s="1">
        <v>850</v>
      </c>
      <c r="CZ2" s="1">
        <v>30981.699999999997</v>
      </c>
      <c r="DB2" s="1">
        <v>130</v>
      </c>
      <c r="DC2" s="1">
        <v>30981.699999999997</v>
      </c>
      <c r="DE2" s="1">
        <v>2370</v>
      </c>
      <c r="DF2" s="1">
        <v>734</v>
      </c>
      <c r="DH2" s="1">
        <v>2367.5</v>
      </c>
      <c r="DI2" s="1">
        <v>734</v>
      </c>
      <c r="DK2" s="1">
        <v>14503.1</v>
      </c>
      <c r="DL2" s="1">
        <v>734</v>
      </c>
      <c r="DN2" s="1">
        <v>30981.699999999997</v>
      </c>
      <c r="DO2" s="1">
        <v>734</v>
      </c>
      <c r="DT2" s="1">
        <v>1807</v>
      </c>
      <c r="DU2" s="1">
        <v>734</v>
      </c>
      <c r="DW2" s="1">
        <v>387</v>
      </c>
      <c r="DX2" s="1">
        <v>734</v>
      </c>
      <c r="DZ2" s="1">
        <v>850</v>
      </c>
      <c r="EA2" s="1">
        <v>734</v>
      </c>
      <c r="EC2" s="1">
        <v>130</v>
      </c>
      <c r="ED2" s="1">
        <v>734</v>
      </c>
      <c r="EF2" s="1">
        <v>2370</v>
      </c>
      <c r="EG2" s="1">
        <v>1807</v>
      </c>
      <c r="EI2" s="1">
        <v>2367.5</v>
      </c>
      <c r="EJ2" s="1">
        <v>1807</v>
      </c>
      <c r="EL2" s="1">
        <v>14503.1</v>
      </c>
      <c r="EM2" s="1">
        <v>1807</v>
      </c>
      <c r="EO2" s="1">
        <v>30981.699999999997</v>
      </c>
      <c r="EP2" s="1">
        <v>1807</v>
      </c>
      <c r="ER2" s="1">
        <v>734</v>
      </c>
      <c r="ES2" s="1">
        <v>1807</v>
      </c>
      <c r="EX2" s="1">
        <v>387</v>
      </c>
      <c r="EY2" s="1">
        <v>1807</v>
      </c>
      <c r="FA2" s="1">
        <v>850</v>
      </c>
      <c r="FB2" s="1">
        <v>1807</v>
      </c>
      <c r="FD2" s="1">
        <v>130</v>
      </c>
      <c r="FE2" s="1">
        <v>1807</v>
      </c>
      <c r="FG2" s="1">
        <v>2370</v>
      </c>
      <c r="FH2" s="1">
        <v>387</v>
      </c>
      <c r="FJ2" s="1">
        <v>2367.5</v>
      </c>
      <c r="FK2" s="1">
        <v>387</v>
      </c>
      <c r="FM2" s="1">
        <v>14503.1</v>
      </c>
      <c r="FN2" s="1">
        <v>387</v>
      </c>
      <c r="FP2" s="1">
        <v>30981.699999999997</v>
      </c>
      <c r="FQ2" s="1">
        <v>387</v>
      </c>
      <c r="FS2" s="1">
        <v>734</v>
      </c>
      <c r="FT2" s="1">
        <v>387</v>
      </c>
      <c r="FV2" s="1">
        <v>1807</v>
      </c>
      <c r="FW2" s="1">
        <v>387</v>
      </c>
      <c r="GB2" s="1">
        <v>850</v>
      </c>
      <c r="GC2" s="1">
        <v>387</v>
      </c>
      <c r="GE2" s="1">
        <v>130</v>
      </c>
      <c r="GF2" s="1">
        <v>387</v>
      </c>
      <c r="GH2" s="1">
        <v>2370</v>
      </c>
      <c r="GI2" s="1">
        <v>850</v>
      </c>
      <c r="GK2" s="1">
        <v>2367.5</v>
      </c>
      <c r="GL2" s="1">
        <v>850</v>
      </c>
      <c r="GN2" s="1">
        <v>14503.1</v>
      </c>
      <c r="GO2" s="1">
        <v>850</v>
      </c>
      <c r="GQ2" s="1">
        <v>30981.699999999997</v>
      </c>
      <c r="GR2" s="1">
        <v>850</v>
      </c>
      <c r="GT2" s="1">
        <v>734</v>
      </c>
      <c r="GU2" s="1">
        <v>850</v>
      </c>
      <c r="GW2" s="1">
        <v>1807</v>
      </c>
      <c r="GX2" s="1">
        <v>850</v>
      </c>
      <c r="GZ2" s="1">
        <v>387</v>
      </c>
      <c r="HA2" s="1">
        <v>850</v>
      </c>
      <c r="HF2" s="1">
        <v>130</v>
      </c>
      <c r="HG2" s="1">
        <v>850</v>
      </c>
      <c r="HI2" s="1">
        <v>2370</v>
      </c>
      <c r="HJ2" s="1">
        <v>130</v>
      </c>
      <c r="HL2" s="1">
        <v>2367.5</v>
      </c>
      <c r="HM2" s="1">
        <v>130</v>
      </c>
      <c r="HO2" s="1">
        <v>14503.1</v>
      </c>
      <c r="HP2" s="1">
        <v>130</v>
      </c>
      <c r="HR2" s="1">
        <v>30981.699999999997</v>
      </c>
      <c r="HS2" s="1">
        <v>130</v>
      </c>
      <c r="HU2" s="1">
        <v>734</v>
      </c>
      <c r="HV2" s="1">
        <v>130</v>
      </c>
      <c r="HX2" s="1">
        <v>1807</v>
      </c>
      <c r="HY2" s="1">
        <v>130</v>
      </c>
      <c r="IA2" s="1">
        <v>387</v>
      </c>
      <c r="IB2" s="1">
        <v>130</v>
      </c>
    </row>
    <row r="3" spans="4:236" x14ac:dyDescent="0.2">
      <c r="D3" s="1">
        <v>227.5</v>
      </c>
      <c r="E3" s="1">
        <v>230</v>
      </c>
      <c r="G3" s="1">
        <v>6976.5</v>
      </c>
      <c r="H3" s="1">
        <v>1165</v>
      </c>
      <c r="J3" s="1">
        <v>17646</v>
      </c>
      <c r="K3" s="1">
        <v>1165</v>
      </c>
      <c r="M3" s="1">
        <v>769</v>
      </c>
      <c r="N3" s="1">
        <v>3900</v>
      </c>
      <c r="P3" s="1">
        <v>2167</v>
      </c>
      <c r="Q3" s="1">
        <v>3900</v>
      </c>
      <c r="S3" s="1">
        <v>404</v>
      </c>
      <c r="T3" s="1">
        <v>3900</v>
      </c>
      <c r="V3" s="1">
        <v>772</v>
      </c>
      <c r="W3" s="1">
        <v>3900</v>
      </c>
      <c r="Y3" s="1">
        <v>6</v>
      </c>
      <c r="Z3" s="1">
        <v>3900</v>
      </c>
      <c r="AB3" s="1">
        <v>230</v>
      </c>
      <c r="AC3" s="1">
        <v>227.5</v>
      </c>
      <c r="AH3" s="1">
        <v>6976.5</v>
      </c>
      <c r="AI3" s="1">
        <v>1162.5</v>
      </c>
      <c r="AK3" s="1">
        <v>17646</v>
      </c>
      <c r="AL3" s="1">
        <v>1162.5</v>
      </c>
      <c r="AN3" s="1">
        <v>769</v>
      </c>
      <c r="AO3" s="1">
        <v>3897.5</v>
      </c>
      <c r="AQ3" s="1">
        <v>2167</v>
      </c>
      <c r="AR3" s="1">
        <v>3897.5</v>
      </c>
      <c r="AT3" s="1">
        <v>404</v>
      </c>
      <c r="AU3" s="1">
        <v>3897.5</v>
      </c>
      <c r="AW3" s="1">
        <v>772</v>
      </c>
      <c r="AX3" s="1">
        <v>3897.5</v>
      </c>
      <c r="AZ3" s="1">
        <v>6</v>
      </c>
      <c r="BA3" s="1">
        <v>3897.5</v>
      </c>
      <c r="BC3" s="1">
        <v>1165</v>
      </c>
      <c r="BD3" s="1">
        <v>6976.5</v>
      </c>
      <c r="BF3" s="1">
        <v>1162.5</v>
      </c>
      <c r="BG3" s="1">
        <v>6976.5</v>
      </c>
      <c r="BL3" s="1">
        <v>17646</v>
      </c>
      <c r="BM3" s="1">
        <v>6976.5</v>
      </c>
      <c r="BO3" s="1">
        <v>769</v>
      </c>
      <c r="BP3" s="1">
        <v>22614.1</v>
      </c>
      <c r="BR3" s="1">
        <v>2167</v>
      </c>
      <c r="BS3" s="1">
        <v>22614.1</v>
      </c>
      <c r="BU3" s="1">
        <v>404</v>
      </c>
      <c r="BV3" s="1">
        <v>22614.1</v>
      </c>
      <c r="BX3" s="1">
        <v>772</v>
      </c>
      <c r="BY3" s="1">
        <v>22614.1</v>
      </c>
      <c r="CA3" s="1">
        <v>6</v>
      </c>
      <c r="CB3" s="1">
        <v>22614.1</v>
      </c>
      <c r="CD3" s="1">
        <v>1165</v>
      </c>
      <c r="CE3" s="1">
        <v>17646</v>
      </c>
      <c r="CG3" s="1">
        <v>1162.5</v>
      </c>
      <c r="CH3" s="1">
        <v>17646</v>
      </c>
      <c r="CJ3" s="1">
        <v>6976.5</v>
      </c>
      <c r="CK3" s="1">
        <v>17646</v>
      </c>
      <c r="CP3" s="1">
        <v>769</v>
      </c>
      <c r="CQ3" s="1">
        <v>60592.899999999994</v>
      </c>
      <c r="CS3" s="1">
        <v>2167</v>
      </c>
      <c r="CT3" s="1">
        <v>60592.899999999994</v>
      </c>
      <c r="CV3" s="1">
        <v>404</v>
      </c>
      <c r="CW3" s="1">
        <v>60592.899999999994</v>
      </c>
      <c r="CY3" s="1">
        <v>772</v>
      </c>
      <c r="CZ3" s="1">
        <v>60592.899999999994</v>
      </c>
      <c r="DB3" s="1">
        <v>6</v>
      </c>
      <c r="DC3" s="1">
        <v>60592.899999999994</v>
      </c>
      <c r="DE3" s="1">
        <v>3900</v>
      </c>
      <c r="DF3" s="1">
        <v>769</v>
      </c>
      <c r="DH3" s="1">
        <v>3897.5</v>
      </c>
      <c r="DI3" s="1">
        <v>769</v>
      </c>
      <c r="DK3" s="1">
        <v>22614.1</v>
      </c>
      <c r="DL3" s="1">
        <v>769</v>
      </c>
      <c r="DN3" s="1">
        <v>60592.899999999994</v>
      </c>
      <c r="DO3" s="1">
        <v>769</v>
      </c>
      <c r="DT3" s="1">
        <v>2167</v>
      </c>
      <c r="DU3" s="1">
        <v>769</v>
      </c>
      <c r="DW3" s="1">
        <v>404</v>
      </c>
      <c r="DX3" s="1">
        <v>769</v>
      </c>
      <c r="DZ3" s="1">
        <v>772</v>
      </c>
      <c r="EA3" s="1">
        <v>769</v>
      </c>
      <c r="EC3" s="1">
        <v>6</v>
      </c>
      <c r="ED3" s="1">
        <v>769</v>
      </c>
      <c r="EF3" s="1">
        <v>3900</v>
      </c>
      <c r="EG3" s="1">
        <v>2167</v>
      </c>
      <c r="EI3" s="1">
        <v>3897.5</v>
      </c>
      <c r="EJ3" s="1">
        <v>2167</v>
      </c>
      <c r="EL3" s="1">
        <v>22614.1</v>
      </c>
      <c r="EM3" s="1">
        <v>2167</v>
      </c>
      <c r="EO3" s="1">
        <v>60592.899999999994</v>
      </c>
      <c r="EP3" s="1">
        <v>2167</v>
      </c>
      <c r="ER3" s="1">
        <v>769</v>
      </c>
      <c r="ES3" s="1">
        <v>2167</v>
      </c>
      <c r="EX3" s="1">
        <v>404</v>
      </c>
      <c r="EY3" s="1">
        <v>2167</v>
      </c>
      <c r="FA3" s="1">
        <v>772</v>
      </c>
      <c r="FB3" s="1">
        <v>2167</v>
      </c>
      <c r="FD3" s="1">
        <v>6</v>
      </c>
      <c r="FE3" s="1">
        <v>2167</v>
      </c>
      <c r="FG3" s="1">
        <v>3900</v>
      </c>
      <c r="FH3" s="1">
        <v>404</v>
      </c>
      <c r="FJ3" s="1">
        <v>3897.5</v>
      </c>
      <c r="FK3" s="1">
        <v>404</v>
      </c>
      <c r="FM3" s="1">
        <v>22614.1</v>
      </c>
      <c r="FN3" s="1">
        <v>404</v>
      </c>
      <c r="FP3" s="1">
        <v>60592.899999999994</v>
      </c>
      <c r="FQ3" s="1">
        <v>404</v>
      </c>
      <c r="FS3" s="1">
        <v>769</v>
      </c>
      <c r="FT3" s="1">
        <v>404</v>
      </c>
      <c r="FV3" s="1">
        <v>2167</v>
      </c>
      <c r="FW3" s="1">
        <v>404</v>
      </c>
      <c r="GB3" s="1">
        <v>772</v>
      </c>
      <c r="GC3" s="1">
        <v>404</v>
      </c>
      <c r="GE3" s="1">
        <v>6</v>
      </c>
      <c r="GF3" s="1">
        <v>404</v>
      </c>
      <c r="GH3" s="1">
        <v>3900</v>
      </c>
      <c r="GI3" s="1">
        <v>772</v>
      </c>
      <c r="GK3" s="1">
        <v>3897.5</v>
      </c>
      <c r="GL3" s="1">
        <v>772</v>
      </c>
      <c r="GN3" s="1">
        <v>22614.1</v>
      </c>
      <c r="GO3" s="1">
        <v>772</v>
      </c>
      <c r="GQ3" s="1">
        <v>60592.899999999994</v>
      </c>
      <c r="GR3" s="1">
        <v>772</v>
      </c>
      <c r="GT3" s="1">
        <v>769</v>
      </c>
      <c r="GU3" s="1">
        <v>772</v>
      </c>
      <c r="GW3" s="1">
        <v>2167</v>
      </c>
      <c r="GX3" s="1">
        <v>772</v>
      </c>
      <c r="GZ3" s="1">
        <v>404</v>
      </c>
      <c r="HA3" s="1">
        <v>772</v>
      </c>
      <c r="HF3" s="1">
        <v>6</v>
      </c>
      <c r="HG3" s="1">
        <v>772</v>
      </c>
      <c r="HI3" s="1">
        <v>3900</v>
      </c>
      <c r="HJ3" s="1">
        <v>6</v>
      </c>
      <c r="HL3" s="1">
        <v>3897.5</v>
      </c>
      <c r="HM3" s="1">
        <v>6</v>
      </c>
      <c r="HO3" s="1">
        <v>22614.1</v>
      </c>
      <c r="HP3" s="1">
        <v>6</v>
      </c>
      <c r="HR3" s="1">
        <v>60592.899999999994</v>
      </c>
      <c r="HS3" s="1">
        <v>6</v>
      </c>
      <c r="HU3" s="1">
        <v>769</v>
      </c>
      <c r="HV3" s="1">
        <v>6</v>
      </c>
      <c r="HX3" s="1">
        <v>2167</v>
      </c>
      <c r="HY3" s="1">
        <v>6</v>
      </c>
      <c r="IA3" s="1">
        <v>404</v>
      </c>
      <c r="IB3" s="1">
        <v>6</v>
      </c>
    </row>
    <row r="4" spans="4:236" x14ac:dyDescent="0.2">
      <c r="D4" s="1">
        <v>261.5</v>
      </c>
      <c r="E4" s="1">
        <v>264</v>
      </c>
      <c r="G4" s="1">
        <v>3456.8</v>
      </c>
      <c r="H4" s="1">
        <v>459</v>
      </c>
      <c r="J4" s="1">
        <v>7407.4000000000005</v>
      </c>
      <c r="K4" s="1">
        <v>459</v>
      </c>
      <c r="M4" s="1">
        <v>667</v>
      </c>
      <c r="N4" s="1">
        <v>3895</v>
      </c>
      <c r="P4" s="1">
        <v>1741</v>
      </c>
      <c r="Q4" s="1">
        <v>3895</v>
      </c>
      <c r="S4" s="1">
        <v>258</v>
      </c>
      <c r="T4" s="1">
        <v>3895</v>
      </c>
      <c r="V4" s="1">
        <v>908</v>
      </c>
      <c r="W4" s="1">
        <v>3895</v>
      </c>
      <c r="Y4" s="1">
        <v>160</v>
      </c>
      <c r="Z4" s="1">
        <v>3895</v>
      </c>
      <c r="AB4" s="1">
        <v>264</v>
      </c>
      <c r="AC4" s="1">
        <v>261.5</v>
      </c>
      <c r="AH4" s="1">
        <v>3456.8</v>
      </c>
      <c r="AI4" s="1">
        <v>456.50000000000006</v>
      </c>
      <c r="AK4" s="1">
        <v>7407.4000000000005</v>
      </c>
      <c r="AL4" s="1">
        <v>456.50000000000006</v>
      </c>
      <c r="AN4" s="1">
        <v>667</v>
      </c>
      <c r="AO4" s="1">
        <v>3892.5</v>
      </c>
      <c r="AQ4" s="1">
        <v>1741</v>
      </c>
      <c r="AR4" s="1">
        <v>3892.5</v>
      </c>
      <c r="AT4" s="1">
        <v>258</v>
      </c>
      <c r="AU4" s="1">
        <v>3892.5</v>
      </c>
      <c r="AW4" s="1">
        <v>908</v>
      </c>
      <c r="AX4" s="1">
        <v>3892.5</v>
      </c>
      <c r="AZ4" s="1">
        <v>160</v>
      </c>
      <c r="BA4" s="1">
        <v>3892.5</v>
      </c>
      <c r="BC4" s="1">
        <v>459</v>
      </c>
      <c r="BD4" s="1">
        <v>3456.8</v>
      </c>
      <c r="BF4" s="1">
        <v>456.50000000000006</v>
      </c>
      <c r="BG4" s="1">
        <v>3456.8</v>
      </c>
      <c r="BL4" s="1">
        <v>7407.4000000000005</v>
      </c>
      <c r="BM4" s="1">
        <v>3456.8</v>
      </c>
      <c r="BO4" s="1">
        <v>667</v>
      </c>
      <c r="BP4" s="1">
        <v>13112.2</v>
      </c>
      <c r="BR4" s="1">
        <v>1741</v>
      </c>
      <c r="BS4" s="1">
        <v>13112.2</v>
      </c>
      <c r="BU4" s="1">
        <v>258</v>
      </c>
      <c r="BV4" s="1">
        <v>13112.2</v>
      </c>
      <c r="BX4" s="1">
        <v>908</v>
      </c>
      <c r="BY4" s="1">
        <v>13112.2</v>
      </c>
      <c r="CA4" s="1">
        <v>160</v>
      </c>
      <c r="CB4" s="1">
        <v>13112.2</v>
      </c>
      <c r="CD4" s="1">
        <v>459</v>
      </c>
      <c r="CE4" s="1">
        <v>7407.4000000000005</v>
      </c>
      <c r="CG4" s="1">
        <v>456.50000000000006</v>
      </c>
      <c r="CH4" s="1">
        <v>7407.4000000000005</v>
      </c>
      <c r="CJ4" s="1">
        <v>3456.8</v>
      </c>
      <c r="CK4" s="1">
        <v>7407.4000000000005</v>
      </c>
      <c r="CP4" s="1">
        <v>667</v>
      </c>
      <c r="CQ4" s="1">
        <v>38789.399999999994</v>
      </c>
      <c r="CS4" s="1">
        <v>1741</v>
      </c>
      <c r="CT4" s="1">
        <v>38789.399999999994</v>
      </c>
      <c r="CV4" s="1">
        <v>258</v>
      </c>
      <c r="CW4" s="1">
        <v>38789.399999999994</v>
      </c>
      <c r="CY4" s="1">
        <v>908</v>
      </c>
      <c r="CZ4" s="1">
        <v>38789.399999999994</v>
      </c>
      <c r="DB4" s="1">
        <v>160</v>
      </c>
      <c r="DC4" s="1">
        <v>38789.399999999994</v>
      </c>
      <c r="DE4" s="1">
        <v>3895</v>
      </c>
      <c r="DF4" s="1">
        <v>667</v>
      </c>
      <c r="DH4" s="1">
        <v>3892.5</v>
      </c>
      <c r="DI4" s="1">
        <v>667</v>
      </c>
      <c r="DK4" s="1">
        <v>13112.2</v>
      </c>
      <c r="DL4" s="1">
        <v>667</v>
      </c>
      <c r="DN4" s="1">
        <v>38789.399999999994</v>
      </c>
      <c r="DO4" s="1">
        <v>667</v>
      </c>
      <c r="DT4" s="1">
        <v>1741</v>
      </c>
      <c r="DU4" s="1">
        <v>667</v>
      </c>
      <c r="DW4" s="1">
        <v>258</v>
      </c>
      <c r="DX4" s="1">
        <v>667</v>
      </c>
      <c r="DZ4" s="1">
        <v>908</v>
      </c>
      <c r="EA4" s="1">
        <v>667</v>
      </c>
      <c r="EC4" s="1">
        <v>160</v>
      </c>
      <c r="ED4" s="1">
        <v>667</v>
      </c>
      <c r="EF4" s="1">
        <v>3895</v>
      </c>
      <c r="EG4" s="1">
        <v>1741</v>
      </c>
      <c r="EI4" s="1">
        <v>3892.5</v>
      </c>
      <c r="EJ4" s="1">
        <v>1741</v>
      </c>
      <c r="EL4" s="1">
        <v>13112.2</v>
      </c>
      <c r="EM4" s="1">
        <v>1741</v>
      </c>
      <c r="EO4" s="1">
        <v>38789.399999999994</v>
      </c>
      <c r="EP4" s="1">
        <v>1741</v>
      </c>
      <c r="ER4" s="1">
        <v>667</v>
      </c>
      <c r="ES4" s="1">
        <v>1741</v>
      </c>
      <c r="EX4" s="1">
        <v>258</v>
      </c>
      <c r="EY4" s="1">
        <v>1741</v>
      </c>
      <c r="FA4" s="1">
        <v>908</v>
      </c>
      <c r="FB4" s="1">
        <v>1741</v>
      </c>
      <c r="FD4" s="1">
        <v>160</v>
      </c>
      <c r="FE4" s="1">
        <v>1741</v>
      </c>
      <c r="FG4" s="1">
        <v>3895</v>
      </c>
      <c r="FH4" s="1">
        <v>258</v>
      </c>
      <c r="FJ4" s="1">
        <v>3892.5</v>
      </c>
      <c r="FK4" s="1">
        <v>258</v>
      </c>
      <c r="FM4" s="1">
        <v>13112.2</v>
      </c>
      <c r="FN4" s="1">
        <v>258</v>
      </c>
      <c r="FP4" s="1">
        <v>38789.399999999994</v>
      </c>
      <c r="FQ4" s="1">
        <v>258</v>
      </c>
      <c r="FS4" s="1">
        <v>667</v>
      </c>
      <c r="FT4" s="1">
        <v>258</v>
      </c>
      <c r="FV4" s="1">
        <v>1741</v>
      </c>
      <c r="FW4" s="1">
        <v>258</v>
      </c>
      <c r="GB4" s="1">
        <v>908</v>
      </c>
      <c r="GC4" s="1">
        <v>258</v>
      </c>
      <c r="GE4" s="1">
        <v>160</v>
      </c>
      <c r="GF4" s="1">
        <v>258</v>
      </c>
      <c r="GH4" s="1">
        <v>3895</v>
      </c>
      <c r="GI4" s="1">
        <v>908</v>
      </c>
      <c r="GK4" s="1">
        <v>3892.5</v>
      </c>
      <c r="GL4" s="1">
        <v>908</v>
      </c>
      <c r="GN4" s="1">
        <v>13112.2</v>
      </c>
      <c r="GO4" s="1">
        <v>908</v>
      </c>
      <c r="GQ4" s="1">
        <v>38789.399999999994</v>
      </c>
      <c r="GR4" s="1">
        <v>908</v>
      </c>
      <c r="GT4" s="1">
        <v>667</v>
      </c>
      <c r="GU4" s="1">
        <v>908</v>
      </c>
      <c r="GW4" s="1">
        <v>1741</v>
      </c>
      <c r="GX4" s="1">
        <v>908</v>
      </c>
      <c r="GZ4" s="1">
        <v>258</v>
      </c>
      <c r="HA4" s="1">
        <v>908</v>
      </c>
      <c r="HF4" s="1">
        <v>160</v>
      </c>
      <c r="HG4" s="1">
        <v>908</v>
      </c>
      <c r="HI4" s="1">
        <v>3895</v>
      </c>
      <c r="HJ4" s="1">
        <v>160</v>
      </c>
      <c r="HL4" s="1">
        <v>3892.5</v>
      </c>
      <c r="HM4" s="1">
        <v>160</v>
      </c>
      <c r="HO4" s="1">
        <v>13112.2</v>
      </c>
      <c r="HP4" s="1">
        <v>160</v>
      </c>
      <c r="HR4" s="1">
        <v>38789.399999999994</v>
      </c>
      <c r="HS4" s="1">
        <v>160</v>
      </c>
      <c r="HU4" s="1">
        <v>667</v>
      </c>
      <c r="HV4" s="1">
        <v>160</v>
      </c>
      <c r="HX4" s="1">
        <v>1741</v>
      </c>
      <c r="HY4" s="1">
        <v>160</v>
      </c>
      <c r="IA4" s="1">
        <v>258</v>
      </c>
      <c r="IB4" s="1">
        <v>160</v>
      </c>
    </row>
    <row r="5" spans="4:236" x14ac:dyDescent="0.2">
      <c r="D5" s="1">
        <v>209.50000000000003</v>
      </c>
      <c r="E5" s="1">
        <v>212</v>
      </c>
      <c r="G5" s="1">
        <v>10036.1</v>
      </c>
      <c r="H5" s="1">
        <v>1104</v>
      </c>
      <c r="J5" s="1">
        <v>28868.6</v>
      </c>
      <c r="K5" s="1">
        <v>1104</v>
      </c>
      <c r="M5" s="1">
        <v>371</v>
      </c>
      <c r="N5" s="1">
        <v>8243</v>
      </c>
      <c r="P5" s="1">
        <v>1560</v>
      </c>
      <c r="Q5" s="1">
        <v>8243</v>
      </c>
      <c r="S5" s="1">
        <v>71</v>
      </c>
      <c r="T5" s="1">
        <v>8243</v>
      </c>
      <c r="V5" s="1">
        <v>465</v>
      </c>
      <c r="W5" s="1">
        <v>8243</v>
      </c>
      <c r="Y5" s="1">
        <v>48</v>
      </c>
      <c r="Z5" s="1">
        <v>8243</v>
      </c>
      <c r="AB5" s="1">
        <v>212</v>
      </c>
      <c r="AC5" s="1">
        <v>209.50000000000003</v>
      </c>
      <c r="AH5" s="1">
        <v>10036.1</v>
      </c>
      <c r="AI5" s="1">
        <v>1101.5</v>
      </c>
      <c r="AK5" s="1">
        <v>28868.6</v>
      </c>
      <c r="AL5" s="1">
        <v>1101.5</v>
      </c>
      <c r="AN5" s="1">
        <v>371</v>
      </c>
      <c r="AO5" s="1">
        <v>8240.5</v>
      </c>
      <c r="AQ5" s="1">
        <v>1560</v>
      </c>
      <c r="AR5" s="1">
        <v>8240.5</v>
      </c>
      <c r="AT5" s="1">
        <v>71</v>
      </c>
      <c r="AU5" s="1">
        <v>8240.5</v>
      </c>
      <c r="AW5" s="1">
        <v>465</v>
      </c>
      <c r="AX5" s="1">
        <v>8240.5</v>
      </c>
      <c r="AZ5" s="1">
        <v>48</v>
      </c>
      <c r="BA5" s="1">
        <v>8240.5</v>
      </c>
      <c r="BC5" s="1">
        <v>1104</v>
      </c>
      <c r="BD5" s="1">
        <v>10036.1</v>
      </c>
      <c r="BF5" s="1">
        <v>1101.5</v>
      </c>
      <c r="BG5" s="1">
        <v>10036.1</v>
      </c>
      <c r="BL5" s="1">
        <v>28868.6</v>
      </c>
      <c r="BM5" s="1">
        <v>10036.1</v>
      </c>
      <c r="BO5" s="1">
        <v>371</v>
      </c>
      <c r="BP5" s="1">
        <v>85108.7</v>
      </c>
      <c r="BR5" s="1">
        <v>1560</v>
      </c>
      <c r="BS5" s="1">
        <v>85108.7</v>
      </c>
      <c r="BU5" s="1">
        <v>71</v>
      </c>
      <c r="BV5" s="1">
        <v>85108.7</v>
      </c>
      <c r="BX5" s="1">
        <v>465</v>
      </c>
      <c r="BY5" s="1">
        <v>85108.7</v>
      </c>
      <c r="CA5" s="1">
        <v>48</v>
      </c>
      <c r="CB5" s="1">
        <v>85108.7</v>
      </c>
      <c r="CD5" s="1">
        <v>1104</v>
      </c>
      <c r="CE5" s="1">
        <v>28868.6</v>
      </c>
      <c r="CG5" s="1">
        <v>1101.5</v>
      </c>
      <c r="CH5" s="1">
        <v>28868.6</v>
      </c>
      <c r="CJ5" s="1">
        <v>10036.1</v>
      </c>
      <c r="CK5" s="1">
        <v>28868.6</v>
      </c>
      <c r="CP5" s="1">
        <v>371</v>
      </c>
      <c r="CQ5" s="1">
        <v>198643.09999999998</v>
      </c>
      <c r="CS5" s="1">
        <v>1560</v>
      </c>
      <c r="CT5" s="1">
        <v>198643.09999999998</v>
      </c>
      <c r="CV5" s="1">
        <v>71</v>
      </c>
      <c r="CW5" s="1">
        <v>198643.09999999998</v>
      </c>
      <c r="CY5" s="1">
        <v>465</v>
      </c>
      <c r="CZ5" s="1">
        <v>198643.09999999998</v>
      </c>
      <c r="DB5" s="1">
        <v>48</v>
      </c>
      <c r="DC5" s="1">
        <v>198643.09999999998</v>
      </c>
      <c r="DE5" s="1">
        <v>8243</v>
      </c>
      <c r="DF5" s="1">
        <v>371</v>
      </c>
      <c r="DH5" s="1">
        <v>8240.5</v>
      </c>
      <c r="DI5" s="1">
        <v>371</v>
      </c>
      <c r="DK5" s="1">
        <v>85108.7</v>
      </c>
      <c r="DL5" s="1">
        <v>371</v>
      </c>
      <c r="DN5" s="1">
        <v>198643.09999999998</v>
      </c>
      <c r="DO5" s="1">
        <v>371</v>
      </c>
      <c r="DT5" s="1">
        <v>1560</v>
      </c>
      <c r="DU5" s="1">
        <v>371</v>
      </c>
      <c r="DW5" s="1">
        <v>71</v>
      </c>
      <c r="DX5" s="1">
        <v>371</v>
      </c>
      <c r="DZ5" s="1">
        <v>465</v>
      </c>
      <c r="EA5" s="1">
        <v>371</v>
      </c>
      <c r="EC5" s="1">
        <v>48</v>
      </c>
      <c r="ED5" s="1">
        <v>371</v>
      </c>
      <c r="EF5" s="1">
        <v>8243</v>
      </c>
      <c r="EG5" s="1">
        <v>1560</v>
      </c>
      <c r="EI5" s="1">
        <v>8240.5</v>
      </c>
      <c r="EJ5" s="1">
        <v>1560</v>
      </c>
      <c r="EL5" s="1">
        <v>85108.7</v>
      </c>
      <c r="EM5" s="1">
        <v>1560</v>
      </c>
      <c r="EO5" s="1">
        <v>198643.09999999998</v>
      </c>
      <c r="EP5" s="1">
        <v>1560</v>
      </c>
      <c r="ER5" s="1">
        <v>371</v>
      </c>
      <c r="ES5" s="1">
        <v>1560</v>
      </c>
      <c r="EX5" s="1">
        <v>71</v>
      </c>
      <c r="EY5" s="1">
        <v>1560</v>
      </c>
      <c r="FA5" s="1">
        <v>465</v>
      </c>
      <c r="FB5" s="1">
        <v>1560</v>
      </c>
      <c r="FD5" s="1">
        <v>48</v>
      </c>
      <c r="FE5" s="1">
        <v>1560</v>
      </c>
      <c r="FG5" s="1">
        <v>8243</v>
      </c>
      <c r="FH5" s="1">
        <v>71</v>
      </c>
      <c r="FJ5" s="1">
        <v>8240.5</v>
      </c>
      <c r="FK5" s="1">
        <v>71</v>
      </c>
      <c r="FM5" s="1">
        <v>85108.7</v>
      </c>
      <c r="FN5" s="1">
        <v>71</v>
      </c>
      <c r="FP5" s="1">
        <v>198643.09999999998</v>
      </c>
      <c r="FQ5" s="1">
        <v>71</v>
      </c>
      <c r="FS5" s="1">
        <v>371</v>
      </c>
      <c r="FT5" s="1">
        <v>71</v>
      </c>
      <c r="FV5" s="1">
        <v>1560</v>
      </c>
      <c r="FW5" s="1">
        <v>71</v>
      </c>
      <c r="GB5" s="1">
        <v>465</v>
      </c>
      <c r="GC5" s="1">
        <v>71</v>
      </c>
      <c r="GE5" s="1">
        <v>48</v>
      </c>
      <c r="GF5" s="1">
        <v>71</v>
      </c>
      <c r="GH5" s="1">
        <v>8243</v>
      </c>
      <c r="GI5" s="1">
        <v>465</v>
      </c>
      <c r="GK5" s="1">
        <v>8240.5</v>
      </c>
      <c r="GL5" s="1">
        <v>465</v>
      </c>
      <c r="GN5" s="1">
        <v>85108.7</v>
      </c>
      <c r="GO5" s="1">
        <v>465</v>
      </c>
      <c r="GQ5" s="1">
        <v>198643.09999999998</v>
      </c>
      <c r="GR5" s="1">
        <v>465</v>
      </c>
      <c r="GT5" s="1">
        <v>371</v>
      </c>
      <c r="GU5" s="1">
        <v>465</v>
      </c>
      <c r="GW5" s="1">
        <v>1560</v>
      </c>
      <c r="GX5" s="1">
        <v>465</v>
      </c>
      <c r="GZ5" s="1">
        <v>71</v>
      </c>
      <c r="HA5" s="1">
        <v>465</v>
      </c>
      <c r="HF5" s="1">
        <v>48</v>
      </c>
      <c r="HG5" s="1">
        <v>465</v>
      </c>
      <c r="HI5" s="1">
        <v>8243</v>
      </c>
      <c r="HJ5" s="1">
        <v>48</v>
      </c>
      <c r="HL5" s="1">
        <v>8240.5</v>
      </c>
      <c r="HM5" s="1">
        <v>48</v>
      </c>
      <c r="HO5" s="1">
        <v>85108.7</v>
      </c>
      <c r="HP5" s="1">
        <v>48</v>
      </c>
      <c r="HR5" s="1">
        <v>198643.09999999998</v>
      </c>
      <c r="HS5" s="1">
        <v>48</v>
      </c>
      <c r="HU5" s="1">
        <v>371</v>
      </c>
      <c r="HV5" s="1">
        <v>48</v>
      </c>
      <c r="HX5" s="1">
        <v>1560</v>
      </c>
      <c r="HY5" s="1">
        <v>48</v>
      </c>
      <c r="IA5" s="1">
        <v>71</v>
      </c>
      <c r="IB5" s="1">
        <v>48</v>
      </c>
    </row>
    <row r="6" spans="4:236" x14ac:dyDescent="0.2">
      <c r="D6" s="1">
        <v>177.5</v>
      </c>
      <c r="E6" s="1">
        <v>180</v>
      </c>
      <c r="G6" s="1">
        <v>13926.599999999999</v>
      </c>
      <c r="H6" s="1">
        <v>1449</v>
      </c>
      <c r="J6" s="1">
        <v>31592.400000000001</v>
      </c>
      <c r="K6" s="1">
        <v>1449</v>
      </c>
      <c r="M6" s="1">
        <v>249</v>
      </c>
      <c r="N6" s="1">
        <v>4045</v>
      </c>
      <c r="P6" s="1">
        <v>1272</v>
      </c>
      <c r="Q6" s="1">
        <v>4045</v>
      </c>
      <c r="S6" s="1">
        <v>93</v>
      </c>
      <c r="T6" s="1">
        <v>4045</v>
      </c>
      <c r="V6" s="1">
        <v>435</v>
      </c>
      <c r="W6" s="1">
        <v>4045</v>
      </c>
      <c r="Y6" s="1">
        <v>20</v>
      </c>
      <c r="Z6" s="1">
        <v>4045</v>
      </c>
      <c r="AB6" s="1">
        <v>180</v>
      </c>
      <c r="AC6" s="1">
        <v>177.5</v>
      </c>
      <c r="AH6" s="1">
        <v>13926.599999999999</v>
      </c>
      <c r="AI6" s="1">
        <v>1446.5</v>
      </c>
      <c r="AK6" s="1">
        <v>31592.400000000001</v>
      </c>
      <c r="AL6" s="1">
        <v>1446.5</v>
      </c>
      <c r="AN6" s="1">
        <v>249</v>
      </c>
      <c r="AO6" s="1">
        <v>4042.5</v>
      </c>
      <c r="AQ6" s="1">
        <v>1272</v>
      </c>
      <c r="AR6" s="1">
        <v>4042.5</v>
      </c>
      <c r="AT6" s="1">
        <v>93</v>
      </c>
      <c r="AU6" s="1">
        <v>4042.5</v>
      </c>
      <c r="AW6" s="1">
        <v>435</v>
      </c>
      <c r="AX6" s="1">
        <v>4042.5</v>
      </c>
      <c r="AZ6" s="1">
        <v>20</v>
      </c>
      <c r="BA6" s="1">
        <v>4042.5</v>
      </c>
      <c r="BC6" s="1">
        <v>1449</v>
      </c>
      <c r="BD6" s="1">
        <v>13926.599999999999</v>
      </c>
      <c r="BF6" s="1">
        <v>1446.5</v>
      </c>
      <c r="BG6" s="1">
        <v>13926.599999999999</v>
      </c>
      <c r="BL6" s="1">
        <v>31592.400000000001</v>
      </c>
      <c r="BM6" s="1">
        <v>13926.599999999999</v>
      </c>
      <c r="BO6" s="1">
        <v>249</v>
      </c>
      <c r="BP6" s="1">
        <v>18740.8</v>
      </c>
      <c r="BR6" s="1">
        <v>1272</v>
      </c>
      <c r="BS6" s="1">
        <v>18740.8</v>
      </c>
      <c r="BU6" s="1">
        <v>93</v>
      </c>
      <c r="BV6" s="1">
        <v>18740.8</v>
      </c>
      <c r="BX6" s="1">
        <v>435</v>
      </c>
      <c r="BY6" s="1">
        <v>18740.8</v>
      </c>
      <c r="CA6" s="1">
        <v>20</v>
      </c>
      <c r="CB6" s="1">
        <v>18740.8</v>
      </c>
      <c r="CD6" s="1">
        <v>1449</v>
      </c>
      <c r="CE6" s="1">
        <v>31592.400000000001</v>
      </c>
      <c r="CG6" s="1">
        <v>1446.5</v>
      </c>
      <c r="CH6" s="1">
        <v>31592.400000000001</v>
      </c>
      <c r="CJ6" s="1">
        <v>13926.599999999999</v>
      </c>
      <c r="CK6" s="1">
        <v>31592.400000000001</v>
      </c>
      <c r="CP6" s="1">
        <v>249</v>
      </c>
      <c r="CQ6" s="1">
        <v>51227.1</v>
      </c>
      <c r="CS6" s="1">
        <v>1272</v>
      </c>
      <c r="CT6" s="1">
        <v>51227.1</v>
      </c>
      <c r="CV6" s="1">
        <v>93</v>
      </c>
      <c r="CW6" s="1">
        <v>51227.1</v>
      </c>
      <c r="CY6" s="1">
        <v>435</v>
      </c>
      <c r="CZ6" s="1">
        <v>51227.1</v>
      </c>
      <c r="DB6" s="1">
        <v>20</v>
      </c>
      <c r="DC6" s="1">
        <v>51227.1</v>
      </c>
      <c r="DE6" s="1">
        <v>4045</v>
      </c>
      <c r="DF6" s="1">
        <v>249</v>
      </c>
      <c r="DH6" s="1">
        <v>4042.5</v>
      </c>
      <c r="DI6" s="1">
        <v>249</v>
      </c>
      <c r="DK6" s="1">
        <v>18740.8</v>
      </c>
      <c r="DL6" s="1">
        <v>249</v>
      </c>
      <c r="DN6" s="1">
        <v>51227.1</v>
      </c>
      <c r="DO6" s="1">
        <v>249</v>
      </c>
      <c r="DT6" s="1">
        <v>1272</v>
      </c>
      <c r="DU6" s="1">
        <v>249</v>
      </c>
      <c r="DW6" s="1">
        <v>93</v>
      </c>
      <c r="DX6" s="1">
        <v>249</v>
      </c>
      <c r="DZ6" s="1">
        <v>435</v>
      </c>
      <c r="EA6" s="1">
        <v>249</v>
      </c>
      <c r="EC6" s="1">
        <v>20</v>
      </c>
      <c r="ED6" s="1">
        <v>249</v>
      </c>
      <c r="EF6" s="1">
        <v>4045</v>
      </c>
      <c r="EG6" s="1">
        <v>1272</v>
      </c>
      <c r="EI6" s="1">
        <v>4042.5</v>
      </c>
      <c r="EJ6" s="1">
        <v>1272</v>
      </c>
      <c r="EL6" s="1">
        <v>18740.8</v>
      </c>
      <c r="EM6" s="1">
        <v>1272</v>
      </c>
      <c r="EO6" s="1">
        <v>51227.1</v>
      </c>
      <c r="EP6" s="1">
        <v>1272</v>
      </c>
      <c r="ER6" s="1">
        <v>249</v>
      </c>
      <c r="ES6" s="1">
        <v>1272</v>
      </c>
      <c r="EX6" s="1">
        <v>93</v>
      </c>
      <c r="EY6" s="1">
        <v>1272</v>
      </c>
      <c r="FA6" s="1">
        <v>435</v>
      </c>
      <c r="FB6" s="1">
        <v>1272</v>
      </c>
      <c r="FD6" s="1">
        <v>20</v>
      </c>
      <c r="FE6" s="1">
        <v>1272</v>
      </c>
      <c r="FG6" s="1">
        <v>4045</v>
      </c>
      <c r="FH6" s="1">
        <v>93</v>
      </c>
      <c r="FJ6" s="1">
        <v>4042.5</v>
      </c>
      <c r="FK6" s="1">
        <v>93</v>
      </c>
      <c r="FM6" s="1">
        <v>18740.8</v>
      </c>
      <c r="FN6" s="1">
        <v>93</v>
      </c>
      <c r="FP6" s="1">
        <v>51227.1</v>
      </c>
      <c r="FQ6" s="1">
        <v>93</v>
      </c>
      <c r="FS6" s="1">
        <v>249</v>
      </c>
      <c r="FT6" s="1">
        <v>93</v>
      </c>
      <c r="FV6" s="1">
        <v>1272</v>
      </c>
      <c r="FW6" s="1">
        <v>93</v>
      </c>
      <c r="GB6" s="1">
        <v>435</v>
      </c>
      <c r="GC6" s="1">
        <v>93</v>
      </c>
      <c r="GE6" s="1">
        <v>20</v>
      </c>
      <c r="GF6" s="1">
        <v>93</v>
      </c>
      <c r="GH6" s="1">
        <v>4045</v>
      </c>
      <c r="GI6" s="1">
        <v>435</v>
      </c>
      <c r="GK6" s="1">
        <v>4042.5</v>
      </c>
      <c r="GL6" s="1">
        <v>435</v>
      </c>
      <c r="GN6" s="1">
        <v>18740.8</v>
      </c>
      <c r="GO6" s="1">
        <v>435</v>
      </c>
      <c r="GQ6" s="1">
        <v>51227.1</v>
      </c>
      <c r="GR6" s="1">
        <v>435</v>
      </c>
      <c r="GT6" s="1">
        <v>249</v>
      </c>
      <c r="GU6" s="1">
        <v>435</v>
      </c>
      <c r="GW6" s="1">
        <v>1272</v>
      </c>
      <c r="GX6" s="1">
        <v>435</v>
      </c>
      <c r="GZ6" s="1">
        <v>93</v>
      </c>
      <c r="HA6" s="1">
        <v>435</v>
      </c>
      <c r="HF6" s="1">
        <v>20</v>
      </c>
      <c r="HG6" s="1">
        <v>435</v>
      </c>
      <c r="HI6" s="1">
        <v>4045</v>
      </c>
      <c r="HJ6" s="1">
        <v>20</v>
      </c>
      <c r="HL6" s="1">
        <v>4042.5</v>
      </c>
      <c r="HM6" s="1">
        <v>20</v>
      </c>
      <c r="HO6" s="1">
        <v>18740.8</v>
      </c>
      <c r="HP6" s="1">
        <v>20</v>
      </c>
      <c r="HR6" s="1">
        <v>51227.1</v>
      </c>
      <c r="HS6" s="1">
        <v>20</v>
      </c>
      <c r="HU6" s="1">
        <v>249</v>
      </c>
      <c r="HV6" s="1">
        <v>20</v>
      </c>
      <c r="HX6" s="1">
        <v>1272</v>
      </c>
      <c r="HY6" s="1">
        <v>20</v>
      </c>
      <c r="IA6" s="1">
        <v>93</v>
      </c>
      <c r="IB6" s="1">
        <v>20</v>
      </c>
    </row>
    <row r="7" spans="4:236" x14ac:dyDescent="0.2">
      <c r="D7" s="1">
        <v>397.5</v>
      </c>
      <c r="E7" s="1">
        <v>400</v>
      </c>
      <c r="G7" s="1">
        <v>19974.7</v>
      </c>
      <c r="H7" s="1">
        <v>1414</v>
      </c>
      <c r="J7" s="1">
        <v>42069.9</v>
      </c>
      <c r="K7" s="1">
        <v>1414</v>
      </c>
      <c r="M7" s="1">
        <v>660</v>
      </c>
      <c r="N7" s="1">
        <v>4717</v>
      </c>
      <c r="P7" s="1">
        <v>1493</v>
      </c>
      <c r="Q7" s="1">
        <v>4717</v>
      </c>
      <c r="S7" s="1">
        <v>389</v>
      </c>
      <c r="T7" s="1">
        <v>4717</v>
      </c>
      <c r="V7" s="1">
        <v>671</v>
      </c>
      <c r="W7" s="1">
        <v>4717</v>
      </c>
      <c r="Y7" s="1">
        <v>14</v>
      </c>
      <c r="Z7" s="1">
        <v>4717</v>
      </c>
      <c r="AB7" s="1">
        <v>400</v>
      </c>
      <c r="AC7" s="1">
        <v>397.5</v>
      </c>
      <c r="AH7" s="1">
        <v>19974.7</v>
      </c>
      <c r="AI7" s="1">
        <v>1411.5</v>
      </c>
      <c r="AK7" s="1">
        <v>42069.9</v>
      </c>
      <c r="AL7" s="1">
        <v>1411.5</v>
      </c>
      <c r="AN7" s="1">
        <v>660</v>
      </c>
      <c r="AO7" s="1">
        <v>4714.5</v>
      </c>
      <c r="AQ7" s="1">
        <v>1493</v>
      </c>
      <c r="AR7" s="1">
        <v>4714.5</v>
      </c>
      <c r="AT7" s="1">
        <v>389</v>
      </c>
      <c r="AU7" s="1">
        <v>4714.5</v>
      </c>
      <c r="AW7" s="1">
        <v>671</v>
      </c>
      <c r="AX7" s="1">
        <v>4714.5</v>
      </c>
      <c r="AZ7" s="1">
        <v>14</v>
      </c>
      <c r="BA7" s="1">
        <v>4714.5</v>
      </c>
      <c r="BC7" s="1">
        <v>1414</v>
      </c>
      <c r="BD7" s="1">
        <v>19974.7</v>
      </c>
      <c r="BF7" s="1">
        <v>1411.5</v>
      </c>
      <c r="BG7" s="1">
        <v>19974.7</v>
      </c>
      <c r="BL7" s="1">
        <v>42069.9</v>
      </c>
      <c r="BM7" s="1">
        <v>19974.7</v>
      </c>
      <c r="BO7" s="1">
        <v>660</v>
      </c>
      <c r="BP7" s="1">
        <v>2488.5</v>
      </c>
      <c r="BR7" s="1">
        <v>1493</v>
      </c>
      <c r="BS7" s="1">
        <v>2488.5</v>
      </c>
      <c r="BU7" s="1">
        <v>389</v>
      </c>
      <c r="BV7" s="1">
        <v>2488.5</v>
      </c>
      <c r="BX7" s="1">
        <v>671</v>
      </c>
      <c r="BY7" s="1">
        <v>2488.5</v>
      </c>
      <c r="CA7" s="1">
        <v>14</v>
      </c>
      <c r="CB7" s="1">
        <v>2488.5</v>
      </c>
      <c r="CD7" s="1">
        <v>1414</v>
      </c>
      <c r="CE7" s="1">
        <v>42069.9</v>
      </c>
      <c r="CG7" s="1">
        <v>1411.5</v>
      </c>
      <c r="CH7" s="1">
        <v>42069.9</v>
      </c>
      <c r="CJ7" s="1">
        <v>19974.7</v>
      </c>
      <c r="CK7" s="1">
        <v>42069.9</v>
      </c>
      <c r="CP7" s="1">
        <v>660</v>
      </c>
      <c r="CQ7" s="1">
        <v>12855.2</v>
      </c>
      <c r="CS7" s="1">
        <v>1493</v>
      </c>
      <c r="CT7" s="1">
        <v>12855.2</v>
      </c>
      <c r="CV7" s="1">
        <v>389</v>
      </c>
      <c r="CW7" s="1">
        <v>12855.2</v>
      </c>
      <c r="CY7" s="1">
        <v>671</v>
      </c>
      <c r="CZ7" s="1">
        <v>12855.2</v>
      </c>
      <c r="DB7" s="1">
        <v>14</v>
      </c>
      <c r="DC7" s="1">
        <v>12855.2</v>
      </c>
      <c r="DE7" s="1">
        <v>4717</v>
      </c>
      <c r="DF7" s="1">
        <v>660</v>
      </c>
      <c r="DH7" s="1">
        <v>4714.5</v>
      </c>
      <c r="DI7" s="1">
        <v>660</v>
      </c>
      <c r="DK7" s="1">
        <v>2488.5</v>
      </c>
      <c r="DL7" s="1">
        <v>660</v>
      </c>
      <c r="DN7" s="1">
        <v>12855.2</v>
      </c>
      <c r="DO7" s="1">
        <v>660</v>
      </c>
      <c r="DT7" s="1">
        <v>1493</v>
      </c>
      <c r="DU7" s="1">
        <v>660</v>
      </c>
      <c r="DW7" s="1">
        <v>389</v>
      </c>
      <c r="DX7" s="1">
        <v>660</v>
      </c>
      <c r="DZ7" s="1">
        <v>671</v>
      </c>
      <c r="EA7" s="1">
        <v>660</v>
      </c>
      <c r="EC7" s="1">
        <v>14</v>
      </c>
      <c r="ED7" s="1">
        <v>660</v>
      </c>
      <c r="EF7" s="1">
        <v>4717</v>
      </c>
      <c r="EG7" s="1">
        <v>1493</v>
      </c>
      <c r="EI7" s="1">
        <v>4714.5</v>
      </c>
      <c r="EJ7" s="1">
        <v>1493</v>
      </c>
      <c r="EL7" s="1">
        <v>2488.5</v>
      </c>
      <c r="EM7" s="1">
        <v>1493</v>
      </c>
      <c r="EO7" s="1">
        <v>12855.2</v>
      </c>
      <c r="EP7" s="1">
        <v>1493</v>
      </c>
      <c r="ER7" s="1">
        <v>660</v>
      </c>
      <c r="ES7" s="1">
        <v>1493</v>
      </c>
      <c r="EX7" s="1">
        <v>389</v>
      </c>
      <c r="EY7" s="1">
        <v>1493</v>
      </c>
      <c r="FA7" s="1">
        <v>671</v>
      </c>
      <c r="FB7" s="1">
        <v>1493</v>
      </c>
      <c r="FD7" s="1">
        <v>14</v>
      </c>
      <c r="FE7" s="1">
        <v>1493</v>
      </c>
      <c r="FG7" s="1">
        <v>4717</v>
      </c>
      <c r="FH7" s="1">
        <v>389</v>
      </c>
      <c r="FJ7" s="1">
        <v>4714.5</v>
      </c>
      <c r="FK7" s="1">
        <v>389</v>
      </c>
      <c r="FM7" s="1">
        <v>2488.5</v>
      </c>
      <c r="FN7" s="1">
        <v>389</v>
      </c>
      <c r="FP7" s="1">
        <v>12855.2</v>
      </c>
      <c r="FQ7" s="1">
        <v>389</v>
      </c>
      <c r="FS7" s="1">
        <v>660</v>
      </c>
      <c r="FT7" s="1">
        <v>389</v>
      </c>
      <c r="FV7" s="1">
        <v>1493</v>
      </c>
      <c r="FW7" s="1">
        <v>389</v>
      </c>
      <c r="GB7" s="1">
        <v>671</v>
      </c>
      <c r="GC7" s="1">
        <v>389</v>
      </c>
      <c r="GE7" s="1">
        <v>14</v>
      </c>
      <c r="GF7" s="1">
        <v>389</v>
      </c>
      <c r="GH7" s="1">
        <v>4717</v>
      </c>
      <c r="GI7" s="1">
        <v>671</v>
      </c>
      <c r="GK7" s="1">
        <v>4714.5</v>
      </c>
      <c r="GL7" s="1">
        <v>671</v>
      </c>
      <c r="GN7" s="1">
        <v>2488.5</v>
      </c>
      <c r="GO7" s="1">
        <v>671</v>
      </c>
      <c r="GQ7" s="1">
        <v>12855.2</v>
      </c>
      <c r="GR7" s="1">
        <v>671</v>
      </c>
      <c r="GT7" s="1">
        <v>660</v>
      </c>
      <c r="GU7" s="1">
        <v>671</v>
      </c>
      <c r="GW7" s="1">
        <v>1493</v>
      </c>
      <c r="GX7" s="1">
        <v>671</v>
      </c>
      <c r="GZ7" s="1">
        <v>389</v>
      </c>
      <c r="HA7" s="1">
        <v>671</v>
      </c>
      <c r="HF7" s="1">
        <v>14</v>
      </c>
      <c r="HG7" s="1">
        <v>671</v>
      </c>
      <c r="HI7" s="1">
        <v>4717</v>
      </c>
      <c r="HJ7" s="1">
        <v>14</v>
      </c>
      <c r="HL7" s="1">
        <v>4714.5</v>
      </c>
      <c r="HM7" s="1">
        <v>14</v>
      </c>
      <c r="HO7" s="1">
        <v>2488.5</v>
      </c>
      <c r="HP7" s="1">
        <v>14</v>
      </c>
      <c r="HR7" s="1">
        <v>12855.2</v>
      </c>
      <c r="HS7" s="1">
        <v>14</v>
      </c>
      <c r="HU7" s="1">
        <v>660</v>
      </c>
      <c r="HV7" s="1">
        <v>14</v>
      </c>
      <c r="HX7" s="1">
        <v>1493</v>
      </c>
      <c r="HY7" s="1">
        <v>14</v>
      </c>
      <c r="IA7" s="1">
        <v>389</v>
      </c>
      <c r="IB7" s="1">
        <v>14</v>
      </c>
    </row>
    <row r="8" spans="4:236" x14ac:dyDescent="0.2">
      <c r="D8" s="1">
        <v>373.5</v>
      </c>
      <c r="E8" s="1">
        <v>376</v>
      </c>
      <c r="G8" s="1">
        <v>46208.2</v>
      </c>
      <c r="H8" s="1">
        <v>1923</v>
      </c>
      <c r="J8" s="1">
        <v>75817.8</v>
      </c>
      <c r="K8" s="1">
        <v>1923</v>
      </c>
      <c r="M8" s="1">
        <v>647</v>
      </c>
      <c r="N8" s="1">
        <v>8145</v>
      </c>
      <c r="P8" s="1">
        <v>1236</v>
      </c>
      <c r="Q8" s="1">
        <v>8145</v>
      </c>
      <c r="S8" s="1">
        <v>365</v>
      </c>
      <c r="T8" s="1">
        <v>8145</v>
      </c>
      <c r="V8" s="1">
        <v>279</v>
      </c>
      <c r="W8" s="1">
        <v>8145</v>
      </c>
      <c r="Y8" s="1">
        <v>116</v>
      </c>
      <c r="Z8" s="1">
        <v>8145</v>
      </c>
      <c r="AB8" s="1">
        <v>376</v>
      </c>
      <c r="AC8" s="1">
        <v>373.5</v>
      </c>
      <c r="AH8" s="1">
        <v>46208.2</v>
      </c>
      <c r="AI8" s="1">
        <v>1920.5</v>
      </c>
      <c r="AK8" s="1">
        <v>75817.8</v>
      </c>
      <c r="AL8" s="1">
        <v>1920.5</v>
      </c>
      <c r="AN8" s="1">
        <v>647</v>
      </c>
      <c r="AO8" s="1">
        <v>8142.5</v>
      </c>
      <c r="AQ8" s="1">
        <v>1236</v>
      </c>
      <c r="AR8" s="1">
        <v>8142.5</v>
      </c>
      <c r="AT8" s="1">
        <v>365</v>
      </c>
      <c r="AU8" s="1">
        <v>8142.5</v>
      </c>
      <c r="AW8" s="1">
        <v>279</v>
      </c>
      <c r="AX8" s="1">
        <v>8142.5</v>
      </c>
      <c r="AZ8" s="1">
        <v>116</v>
      </c>
      <c r="BA8" s="1">
        <v>8142.5</v>
      </c>
      <c r="BC8" s="1">
        <v>1923</v>
      </c>
      <c r="BD8" s="1">
        <v>46208.2</v>
      </c>
      <c r="BF8" s="1">
        <v>1920.5</v>
      </c>
      <c r="BG8" s="1">
        <v>46208.2</v>
      </c>
      <c r="BL8" s="1">
        <v>75817.8</v>
      </c>
      <c r="BM8" s="1">
        <v>46208.2</v>
      </c>
      <c r="BO8" s="1">
        <v>647</v>
      </c>
      <c r="BP8" s="1">
        <v>2586</v>
      </c>
      <c r="BR8" s="1">
        <v>1236</v>
      </c>
      <c r="BS8" s="1">
        <v>2586</v>
      </c>
      <c r="BU8" s="1">
        <v>365</v>
      </c>
      <c r="BV8" s="1">
        <v>2586</v>
      </c>
      <c r="BX8" s="1">
        <v>279</v>
      </c>
      <c r="BY8" s="1">
        <v>2586</v>
      </c>
      <c r="CA8" s="1">
        <v>116</v>
      </c>
      <c r="CB8" s="1">
        <v>2586</v>
      </c>
      <c r="CD8" s="1">
        <v>1923</v>
      </c>
      <c r="CE8" s="1">
        <v>75817.8</v>
      </c>
      <c r="CG8" s="1">
        <v>1920.5</v>
      </c>
      <c r="CH8" s="1">
        <v>75817.8</v>
      </c>
      <c r="CJ8" s="1">
        <v>46208.2</v>
      </c>
      <c r="CK8" s="1">
        <v>75817.8</v>
      </c>
      <c r="CP8" s="1">
        <v>647</v>
      </c>
      <c r="CQ8" s="1">
        <v>12293.2</v>
      </c>
      <c r="CS8" s="1">
        <v>1236</v>
      </c>
      <c r="CT8" s="1">
        <v>12293.2</v>
      </c>
      <c r="CV8" s="1">
        <v>365</v>
      </c>
      <c r="CW8" s="1">
        <v>12293.2</v>
      </c>
      <c r="CY8" s="1">
        <v>279</v>
      </c>
      <c r="CZ8" s="1">
        <v>12293.2</v>
      </c>
      <c r="DB8" s="1">
        <v>116</v>
      </c>
      <c r="DC8" s="1">
        <v>12293.2</v>
      </c>
      <c r="DE8" s="1">
        <v>8145</v>
      </c>
      <c r="DF8" s="1">
        <v>647</v>
      </c>
      <c r="DH8" s="1">
        <v>8142.5</v>
      </c>
      <c r="DI8" s="1">
        <v>647</v>
      </c>
      <c r="DK8" s="1">
        <v>2586</v>
      </c>
      <c r="DL8" s="1">
        <v>647</v>
      </c>
      <c r="DN8" s="1">
        <v>12293.2</v>
      </c>
      <c r="DO8" s="1">
        <v>647</v>
      </c>
      <c r="DT8" s="1">
        <v>1236</v>
      </c>
      <c r="DU8" s="1">
        <v>647</v>
      </c>
      <c r="DW8" s="1">
        <v>365</v>
      </c>
      <c r="DX8" s="1">
        <v>647</v>
      </c>
      <c r="DZ8" s="1">
        <v>279</v>
      </c>
      <c r="EA8" s="1">
        <v>647</v>
      </c>
      <c r="EC8" s="1">
        <v>116</v>
      </c>
      <c r="ED8" s="1">
        <v>647</v>
      </c>
      <c r="EF8" s="1">
        <v>8145</v>
      </c>
      <c r="EG8" s="1">
        <v>1236</v>
      </c>
      <c r="EI8" s="1">
        <v>8142.5</v>
      </c>
      <c r="EJ8" s="1">
        <v>1236</v>
      </c>
      <c r="EL8" s="1">
        <v>2586</v>
      </c>
      <c r="EM8" s="1">
        <v>1236</v>
      </c>
      <c r="EO8" s="1">
        <v>12293.2</v>
      </c>
      <c r="EP8" s="1">
        <v>1236</v>
      </c>
      <c r="ER8" s="1">
        <v>647</v>
      </c>
      <c r="ES8" s="1">
        <v>1236</v>
      </c>
      <c r="EX8" s="1">
        <v>365</v>
      </c>
      <c r="EY8" s="1">
        <v>1236</v>
      </c>
      <c r="FA8" s="1">
        <v>279</v>
      </c>
      <c r="FB8" s="1">
        <v>1236</v>
      </c>
      <c r="FD8" s="1">
        <v>116</v>
      </c>
      <c r="FE8" s="1">
        <v>1236</v>
      </c>
      <c r="FG8" s="1">
        <v>8145</v>
      </c>
      <c r="FH8" s="1">
        <v>365</v>
      </c>
      <c r="FJ8" s="1">
        <v>8142.5</v>
      </c>
      <c r="FK8" s="1">
        <v>365</v>
      </c>
      <c r="FM8" s="1">
        <v>2586</v>
      </c>
      <c r="FN8" s="1">
        <v>365</v>
      </c>
      <c r="FP8" s="1">
        <v>12293.2</v>
      </c>
      <c r="FQ8" s="1">
        <v>365</v>
      </c>
      <c r="FS8" s="1">
        <v>647</v>
      </c>
      <c r="FT8" s="1">
        <v>365</v>
      </c>
      <c r="FV8" s="1">
        <v>1236</v>
      </c>
      <c r="FW8" s="1">
        <v>365</v>
      </c>
      <c r="GB8" s="1">
        <v>279</v>
      </c>
      <c r="GC8" s="1">
        <v>365</v>
      </c>
      <c r="GE8" s="1">
        <v>116</v>
      </c>
      <c r="GF8" s="1">
        <v>365</v>
      </c>
      <c r="GH8" s="1">
        <v>8145</v>
      </c>
      <c r="GI8" s="1">
        <v>279</v>
      </c>
      <c r="GK8" s="1">
        <v>8142.5</v>
      </c>
      <c r="GL8" s="1">
        <v>279</v>
      </c>
      <c r="GN8" s="1">
        <v>2586</v>
      </c>
      <c r="GO8" s="1">
        <v>279</v>
      </c>
      <c r="GQ8" s="1">
        <v>12293.2</v>
      </c>
      <c r="GR8" s="1">
        <v>279</v>
      </c>
      <c r="GT8" s="1">
        <v>647</v>
      </c>
      <c r="GU8" s="1">
        <v>279</v>
      </c>
      <c r="GW8" s="1">
        <v>1236</v>
      </c>
      <c r="GX8" s="1">
        <v>279</v>
      </c>
      <c r="GZ8" s="1">
        <v>365</v>
      </c>
      <c r="HA8" s="1">
        <v>279</v>
      </c>
      <c r="HF8" s="1">
        <v>116</v>
      </c>
      <c r="HG8" s="1">
        <v>279</v>
      </c>
      <c r="HI8" s="1">
        <v>8145</v>
      </c>
      <c r="HJ8" s="1">
        <v>116</v>
      </c>
      <c r="HL8" s="1">
        <v>8142.5</v>
      </c>
      <c r="HM8" s="1">
        <v>116</v>
      </c>
      <c r="HO8" s="1">
        <v>2586</v>
      </c>
      <c r="HP8" s="1">
        <v>116</v>
      </c>
      <c r="HR8" s="1">
        <v>12293.2</v>
      </c>
      <c r="HS8" s="1">
        <v>116</v>
      </c>
      <c r="HU8" s="1">
        <v>647</v>
      </c>
      <c r="HV8" s="1">
        <v>116</v>
      </c>
      <c r="HX8" s="1">
        <v>1236</v>
      </c>
      <c r="HY8" s="1">
        <v>116</v>
      </c>
      <c r="IA8" s="1">
        <v>365</v>
      </c>
      <c r="IB8" s="1">
        <v>116</v>
      </c>
    </row>
    <row r="9" spans="4:236" x14ac:dyDescent="0.2">
      <c r="D9" s="1">
        <v>510.5</v>
      </c>
      <c r="E9" s="1">
        <v>513</v>
      </c>
      <c r="G9" s="1">
        <v>47395.7</v>
      </c>
      <c r="H9" s="1">
        <v>2146</v>
      </c>
      <c r="J9" s="1">
        <v>79845.700000000012</v>
      </c>
      <c r="K9" s="1">
        <v>2146</v>
      </c>
      <c r="M9" s="1">
        <v>841</v>
      </c>
      <c r="N9" s="1">
        <v>6339</v>
      </c>
      <c r="P9" s="1">
        <v>1627</v>
      </c>
      <c r="Q9" s="1">
        <v>6339</v>
      </c>
      <c r="S9" s="1">
        <v>230</v>
      </c>
      <c r="T9" s="1">
        <v>6339</v>
      </c>
      <c r="V9" s="1">
        <v>385</v>
      </c>
      <c r="W9" s="1">
        <v>6339</v>
      </c>
      <c r="Y9" s="1">
        <v>317</v>
      </c>
      <c r="Z9" s="1">
        <v>6339</v>
      </c>
      <c r="AB9" s="1">
        <v>513</v>
      </c>
      <c r="AC9" s="1">
        <v>510.5</v>
      </c>
      <c r="AH9" s="1">
        <v>47395.7</v>
      </c>
      <c r="AI9" s="1">
        <v>2143.5</v>
      </c>
      <c r="AK9" s="1">
        <v>79845.700000000012</v>
      </c>
      <c r="AL9" s="1">
        <v>2143.5</v>
      </c>
      <c r="AN9" s="1">
        <v>841</v>
      </c>
      <c r="AO9" s="1">
        <v>6336.5000000000009</v>
      </c>
      <c r="AQ9" s="1">
        <v>1627</v>
      </c>
      <c r="AR9" s="1">
        <v>6336.5000000000009</v>
      </c>
      <c r="AT9" s="1">
        <v>230</v>
      </c>
      <c r="AU9" s="1">
        <v>6336.5000000000009</v>
      </c>
      <c r="AW9" s="1">
        <v>385</v>
      </c>
      <c r="AX9" s="1">
        <v>6336.5000000000009</v>
      </c>
      <c r="AZ9" s="1">
        <v>317</v>
      </c>
      <c r="BA9" s="1">
        <v>6336.5000000000009</v>
      </c>
      <c r="BC9" s="1">
        <v>2146</v>
      </c>
      <c r="BD9" s="1">
        <v>47395.7</v>
      </c>
      <c r="BF9" s="1">
        <v>2143.5</v>
      </c>
      <c r="BG9" s="1">
        <v>47395.7</v>
      </c>
      <c r="BL9" s="1">
        <v>79845.700000000012</v>
      </c>
      <c r="BM9" s="1">
        <v>47395.7</v>
      </c>
      <c r="BO9" s="1">
        <v>841</v>
      </c>
      <c r="BP9" s="1">
        <v>1306.0999999999999</v>
      </c>
      <c r="BR9" s="1">
        <v>1627</v>
      </c>
      <c r="BS9" s="1">
        <v>1306.0999999999999</v>
      </c>
      <c r="BU9" s="1">
        <v>230</v>
      </c>
      <c r="BV9" s="1">
        <v>1306.0999999999999</v>
      </c>
      <c r="BX9" s="1">
        <v>385</v>
      </c>
      <c r="BY9" s="1">
        <v>1306.0999999999999</v>
      </c>
      <c r="CA9" s="1">
        <v>317</v>
      </c>
      <c r="CB9" s="1">
        <v>1306.0999999999999</v>
      </c>
      <c r="CD9" s="1">
        <v>2146</v>
      </c>
      <c r="CE9" s="1">
        <v>79845.700000000012</v>
      </c>
      <c r="CG9" s="1">
        <v>2143.5</v>
      </c>
      <c r="CH9" s="1">
        <v>79845.700000000012</v>
      </c>
      <c r="CJ9" s="1">
        <v>47395.7</v>
      </c>
      <c r="CK9" s="1">
        <v>79845.700000000012</v>
      </c>
      <c r="CP9" s="1">
        <v>841</v>
      </c>
      <c r="CQ9" s="1">
        <v>7051.5</v>
      </c>
      <c r="CS9" s="1">
        <v>1627</v>
      </c>
      <c r="CT9" s="1">
        <v>7051.5</v>
      </c>
      <c r="CV9" s="1">
        <v>230</v>
      </c>
      <c r="CW9" s="1">
        <v>7051.5</v>
      </c>
      <c r="CY9" s="1">
        <v>385</v>
      </c>
      <c r="CZ9" s="1">
        <v>7051.5</v>
      </c>
      <c r="DB9" s="1">
        <v>317</v>
      </c>
      <c r="DC9" s="1">
        <v>7051.5</v>
      </c>
      <c r="DE9" s="1">
        <v>6339</v>
      </c>
      <c r="DF9" s="1">
        <v>841</v>
      </c>
      <c r="DH9" s="1">
        <v>6336.5000000000009</v>
      </c>
      <c r="DI9" s="1">
        <v>841</v>
      </c>
      <c r="DK9" s="1">
        <v>1306.0999999999999</v>
      </c>
      <c r="DL9" s="1">
        <v>841</v>
      </c>
      <c r="DN9" s="1">
        <v>7051.5</v>
      </c>
      <c r="DO9" s="1">
        <v>841</v>
      </c>
      <c r="DT9" s="1">
        <v>1627</v>
      </c>
      <c r="DU9" s="1">
        <v>841</v>
      </c>
      <c r="DW9" s="1">
        <v>230</v>
      </c>
      <c r="DX9" s="1">
        <v>841</v>
      </c>
      <c r="DZ9" s="1">
        <v>385</v>
      </c>
      <c r="EA9" s="1">
        <v>841</v>
      </c>
      <c r="EC9" s="1">
        <v>317</v>
      </c>
      <c r="ED9" s="1">
        <v>841</v>
      </c>
      <c r="EF9" s="1">
        <v>6339</v>
      </c>
      <c r="EG9" s="1">
        <v>1627</v>
      </c>
      <c r="EI9" s="1">
        <v>6336.5000000000009</v>
      </c>
      <c r="EJ9" s="1">
        <v>1627</v>
      </c>
      <c r="EL9" s="1">
        <v>1306.0999999999999</v>
      </c>
      <c r="EM9" s="1">
        <v>1627</v>
      </c>
      <c r="EO9" s="1">
        <v>7051.5</v>
      </c>
      <c r="EP9" s="1">
        <v>1627</v>
      </c>
      <c r="ER9" s="1">
        <v>841</v>
      </c>
      <c r="ES9" s="1">
        <v>1627</v>
      </c>
      <c r="EX9" s="1">
        <v>230</v>
      </c>
      <c r="EY9" s="1">
        <v>1627</v>
      </c>
      <c r="FA9" s="1">
        <v>385</v>
      </c>
      <c r="FB9" s="1">
        <v>1627</v>
      </c>
      <c r="FD9" s="1">
        <v>317</v>
      </c>
      <c r="FE9" s="1">
        <v>1627</v>
      </c>
      <c r="FG9" s="1">
        <v>6339</v>
      </c>
      <c r="FH9" s="1">
        <v>230</v>
      </c>
      <c r="FJ9" s="1">
        <v>6336.5000000000009</v>
      </c>
      <c r="FK9" s="1">
        <v>230</v>
      </c>
      <c r="FM9" s="1">
        <v>1306.0999999999999</v>
      </c>
      <c r="FN9" s="1">
        <v>230</v>
      </c>
      <c r="FP9" s="1">
        <v>7051.5</v>
      </c>
      <c r="FQ9" s="1">
        <v>230</v>
      </c>
      <c r="FS9" s="1">
        <v>841</v>
      </c>
      <c r="FT9" s="1">
        <v>230</v>
      </c>
      <c r="FV9" s="1">
        <v>1627</v>
      </c>
      <c r="FW9" s="1">
        <v>230</v>
      </c>
      <c r="GB9" s="1">
        <v>385</v>
      </c>
      <c r="GC9" s="1">
        <v>230</v>
      </c>
      <c r="GE9" s="1">
        <v>317</v>
      </c>
      <c r="GF9" s="1">
        <v>230</v>
      </c>
      <c r="GH9" s="1">
        <v>6339</v>
      </c>
      <c r="GI9" s="1">
        <v>385</v>
      </c>
      <c r="GK9" s="1">
        <v>6336.5000000000009</v>
      </c>
      <c r="GL9" s="1">
        <v>385</v>
      </c>
      <c r="GN9" s="1">
        <v>1306.0999999999999</v>
      </c>
      <c r="GO9" s="1">
        <v>385</v>
      </c>
      <c r="GQ9" s="1">
        <v>7051.5</v>
      </c>
      <c r="GR9" s="1">
        <v>385</v>
      </c>
      <c r="GT9" s="1">
        <v>841</v>
      </c>
      <c r="GU9" s="1">
        <v>385</v>
      </c>
      <c r="GW9" s="1">
        <v>1627</v>
      </c>
      <c r="GX9" s="1">
        <v>385</v>
      </c>
      <c r="GZ9" s="1">
        <v>230</v>
      </c>
      <c r="HA9" s="1">
        <v>385</v>
      </c>
      <c r="HF9" s="1">
        <v>317</v>
      </c>
      <c r="HG9" s="1">
        <v>385</v>
      </c>
      <c r="HI9" s="1">
        <v>6339</v>
      </c>
      <c r="HJ9" s="1">
        <v>317</v>
      </c>
      <c r="HL9" s="1">
        <v>6336.5000000000009</v>
      </c>
      <c r="HM9" s="1">
        <v>317</v>
      </c>
      <c r="HO9" s="1">
        <v>1306.0999999999999</v>
      </c>
      <c r="HP9" s="1">
        <v>317</v>
      </c>
      <c r="HR9" s="1">
        <v>7051.5</v>
      </c>
      <c r="HS9" s="1">
        <v>317</v>
      </c>
      <c r="HU9" s="1">
        <v>841</v>
      </c>
      <c r="HV9" s="1">
        <v>317</v>
      </c>
      <c r="HX9" s="1">
        <v>1627</v>
      </c>
      <c r="HY9" s="1">
        <v>317</v>
      </c>
      <c r="IA9" s="1">
        <v>230</v>
      </c>
      <c r="IB9" s="1">
        <v>317</v>
      </c>
    </row>
    <row r="10" spans="4:236" x14ac:dyDescent="0.2">
      <c r="D10" s="1">
        <v>1162.5</v>
      </c>
      <c r="E10" s="1">
        <v>1165</v>
      </c>
      <c r="G10" s="1">
        <v>2295.5</v>
      </c>
      <c r="H10" s="1">
        <v>402</v>
      </c>
      <c r="J10" s="1">
        <v>3913.1000000000004</v>
      </c>
      <c r="K10" s="1">
        <v>402</v>
      </c>
      <c r="M10" s="1">
        <v>667</v>
      </c>
      <c r="N10" s="1">
        <v>8480</v>
      </c>
      <c r="P10" s="1">
        <v>1871</v>
      </c>
      <c r="Q10" s="1">
        <v>8480</v>
      </c>
      <c r="S10" s="1">
        <v>246</v>
      </c>
      <c r="T10" s="1">
        <v>8480</v>
      </c>
      <c r="V10" s="1">
        <v>662</v>
      </c>
      <c r="W10" s="1">
        <v>8480</v>
      </c>
      <c r="Y10" s="1">
        <v>278</v>
      </c>
      <c r="Z10" s="1">
        <v>8480</v>
      </c>
      <c r="AB10" s="1">
        <v>1165</v>
      </c>
      <c r="AC10" s="1">
        <v>1162.5</v>
      </c>
      <c r="AH10" s="1">
        <v>2295.5</v>
      </c>
      <c r="AI10" s="1">
        <v>399.5</v>
      </c>
      <c r="AK10" s="1">
        <v>3913.1000000000004</v>
      </c>
      <c r="AL10" s="1">
        <v>399.5</v>
      </c>
      <c r="AN10" s="1">
        <v>667</v>
      </c>
      <c r="AO10" s="1">
        <v>8477.5</v>
      </c>
      <c r="AQ10" s="1">
        <v>1871</v>
      </c>
      <c r="AR10" s="1">
        <v>8477.5</v>
      </c>
      <c r="AT10" s="1">
        <v>246</v>
      </c>
      <c r="AU10" s="1">
        <v>8477.5</v>
      </c>
      <c r="AW10" s="1">
        <v>662</v>
      </c>
      <c r="AX10" s="1">
        <v>8477.5</v>
      </c>
      <c r="AZ10" s="1">
        <v>278</v>
      </c>
      <c r="BA10" s="1">
        <v>8477.5</v>
      </c>
      <c r="BC10" s="1">
        <v>402</v>
      </c>
      <c r="BD10" s="1">
        <v>2295.5</v>
      </c>
      <c r="BF10" s="1">
        <v>399.5</v>
      </c>
      <c r="BG10" s="1">
        <v>2295.5</v>
      </c>
      <c r="BL10" s="1">
        <v>3913.1000000000004</v>
      </c>
      <c r="BM10" s="1">
        <v>2295.5</v>
      </c>
      <c r="BO10" s="1">
        <v>667</v>
      </c>
      <c r="BP10" s="1">
        <v>1732.1</v>
      </c>
      <c r="BR10" s="1">
        <v>1871</v>
      </c>
      <c r="BS10" s="1">
        <v>1732.1</v>
      </c>
      <c r="BU10" s="1">
        <v>246</v>
      </c>
      <c r="BV10" s="1">
        <v>1732.1</v>
      </c>
      <c r="BX10" s="1">
        <v>662</v>
      </c>
      <c r="BY10" s="1">
        <v>1732.1</v>
      </c>
      <c r="CA10" s="1">
        <v>278</v>
      </c>
      <c r="CB10" s="1">
        <v>1732.1</v>
      </c>
      <c r="CD10" s="1">
        <v>402</v>
      </c>
      <c r="CE10" s="1">
        <v>3913.1000000000004</v>
      </c>
      <c r="CG10" s="1">
        <v>399.5</v>
      </c>
      <c r="CH10" s="1">
        <v>3913.1000000000004</v>
      </c>
      <c r="CJ10" s="1">
        <v>2295.5</v>
      </c>
      <c r="CK10" s="1">
        <v>3913.1000000000004</v>
      </c>
      <c r="CP10" s="1">
        <v>667</v>
      </c>
      <c r="CQ10" s="1">
        <v>15397.099999999999</v>
      </c>
      <c r="CS10" s="1">
        <v>1871</v>
      </c>
      <c r="CT10" s="1">
        <v>15397.099999999999</v>
      </c>
      <c r="CV10" s="1">
        <v>246</v>
      </c>
      <c r="CW10" s="1">
        <v>15397.099999999999</v>
      </c>
      <c r="CY10" s="1">
        <v>662</v>
      </c>
      <c r="CZ10" s="1">
        <v>15397.099999999999</v>
      </c>
      <c r="DB10" s="1">
        <v>278</v>
      </c>
      <c r="DC10" s="1">
        <v>15397.099999999999</v>
      </c>
      <c r="DE10" s="1">
        <v>8480</v>
      </c>
      <c r="DF10" s="1">
        <v>667</v>
      </c>
      <c r="DH10" s="1">
        <v>8477.5</v>
      </c>
      <c r="DI10" s="1">
        <v>667</v>
      </c>
      <c r="DK10" s="1">
        <v>1732.1</v>
      </c>
      <c r="DL10" s="1">
        <v>667</v>
      </c>
      <c r="DN10" s="1">
        <v>15397.099999999999</v>
      </c>
      <c r="DO10" s="1">
        <v>667</v>
      </c>
      <c r="DT10" s="1">
        <v>1871</v>
      </c>
      <c r="DU10" s="1">
        <v>667</v>
      </c>
      <c r="DW10" s="1">
        <v>246</v>
      </c>
      <c r="DX10" s="1">
        <v>667</v>
      </c>
      <c r="DZ10" s="1">
        <v>662</v>
      </c>
      <c r="EA10" s="1">
        <v>667</v>
      </c>
      <c r="EC10" s="1">
        <v>278</v>
      </c>
      <c r="ED10" s="1">
        <v>667</v>
      </c>
      <c r="EF10" s="1">
        <v>8480</v>
      </c>
      <c r="EG10" s="1">
        <v>1871</v>
      </c>
      <c r="EI10" s="1">
        <v>8477.5</v>
      </c>
      <c r="EJ10" s="1">
        <v>1871</v>
      </c>
      <c r="EL10" s="1">
        <v>1732.1</v>
      </c>
      <c r="EM10" s="1">
        <v>1871</v>
      </c>
      <c r="EO10" s="1">
        <v>15397.099999999999</v>
      </c>
      <c r="EP10" s="1">
        <v>1871</v>
      </c>
      <c r="ER10" s="1">
        <v>667</v>
      </c>
      <c r="ES10" s="1">
        <v>1871</v>
      </c>
      <c r="EX10" s="1">
        <v>246</v>
      </c>
      <c r="EY10" s="1">
        <v>1871</v>
      </c>
      <c r="FA10" s="1">
        <v>662</v>
      </c>
      <c r="FB10" s="1">
        <v>1871</v>
      </c>
      <c r="FD10" s="1">
        <v>278</v>
      </c>
      <c r="FE10" s="1">
        <v>1871</v>
      </c>
      <c r="FG10" s="1">
        <v>8480</v>
      </c>
      <c r="FH10" s="1">
        <v>246</v>
      </c>
      <c r="FJ10" s="1">
        <v>8477.5</v>
      </c>
      <c r="FK10" s="1">
        <v>246</v>
      </c>
      <c r="FM10" s="1">
        <v>1732.1</v>
      </c>
      <c r="FN10" s="1">
        <v>246</v>
      </c>
      <c r="FP10" s="1">
        <v>15397.099999999999</v>
      </c>
      <c r="FQ10" s="1">
        <v>246</v>
      </c>
      <c r="FS10" s="1">
        <v>667</v>
      </c>
      <c r="FT10" s="1">
        <v>246</v>
      </c>
      <c r="FV10" s="1">
        <v>1871</v>
      </c>
      <c r="FW10" s="1">
        <v>246</v>
      </c>
      <c r="GB10" s="1">
        <v>662</v>
      </c>
      <c r="GC10" s="1">
        <v>246</v>
      </c>
      <c r="GE10" s="1">
        <v>278</v>
      </c>
      <c r="GF10" s="1">
        <v>246</v>
      </c>
      <c r="GH10" s="1">
        <v>8480</v>
      </c>
      <c r="GI10" s="1">
        <v>662</v>
      </c>
      <c r="GK10" s="1">
        <v>8477.5</v>
      </c>
      <c r="GL10" s="1">
        <v>662</v>
      </c>
      <c r="GN10" s="1">
        <v>1732.1</v>
      </c>
      <c r="GO10" s="1">
        <v>662</v>
      </c>
      <c r="GQ10" s="1">
        <v>15397.099999999999</v>
      </c>
      <c r="GR10" s="1">
        <v>662</v>
      </c>
      <c r="GT10" s="1">
        <v>667</v>
      </c>
      <c r="GU10" s="1">
        <v>662</v>
      </c>
      <c r="GW10" s="1">
        <v>1871</v>
      </c>
      <c r="GX10" s="1">
        <v>662</v>
      </c>
      <c r="GZ10" s="1">
        <v>246</v>
      </c>
      <c r="HA10" s="1">
        <v>662</v>
      </c>
      <c r="HF10" s="1">
        <v>278</v>
      </c>
      <c r="HG10" s="1">
        <v>662</v>
      </c>
      <c r="HI10" s="1">
        <v>8480</v>
      </c>
      <c r="HJ10" s="1">
        <v>278</v>
      </c>
      <c r="HL10" s="1">
        <v>8477.5</v>
      </c>
      <c r="HM10" s="1">
        <v>278</v>
      </c>
      <c r="HO10" s="1">
        <v>1732.1</v>
      </c>
      <c r="HP10" s="1">
        <v>278</v>
      </c>
      <c r="HR10" s="1">
        <v>15397.099999999999</v>
      </c>
      <c r="HS10" s="1">
        <v>278</v>
      </c>
      <c r="HU10" s="1">
        <v>667</v>
      </c>
      <c r="HV10" s="1">
        <v>278</v>
      </c>
      <c r="HX10" s="1">
        <v>1871</v>
      </c>
      <c r="HY10" s="1">
        <v>278</v>
      </c>
      <c r="IA10" s="1">
        <v>246</v>
      </c>
      <c r="IB10" s="1">
        <v>278</v>
      </c>
    </row>
    <row r="11" spans="4:236" x14ac:dyDescent="0.2">
      <c r="D11" s="1">
        <v>456.50000000000006</v>
      </c>
      <c r="E11" s="1">
        <v>459</v>
      </c>
      <c r="G11" s="1">
        <v>56380.399999999994</v>
      </c>
      <c r="H11" s="1">
        <v>3642</v>
      </c>
      <c r="J11" s="1">
        <v>119630.7</v>
      </c>
      <c r="K11" s="1">
        <v>3642</v>
      </c>
      <c r="M11" s="1">
        <v>470</v>
      </c>
      <c r="N11" s="1">
        <v>15253</v>
      </c>
      <c r="P11" s="1">
        <v>1911</v>
      </c>
      <c r="Q11" s="1">
        <v>15253</v>
      </c>
      <c r="S11" s="1">
        <v>184</v>
      </c>
      <c r="T11" s="1">
        <v>15253</v>
      </c>
      <c r="V11" s="1">
        <v>626</v>
      </c>
      <c r="W11" s="1">
        <v>15253</v>
      </c>
      <c r="Y11" s="1">
        <v>123</v>
      </c>
      <c r="Z11" s="1">
        <v>15253</v>
      </c>
      <c r="AB11" s="1">
        <v>459</v>
      </c>
      <c r="AC11" s="1">
        <v>456.50000000000006</v>
      </c>
      <c r="AH11" s="1">
        <v>56380.399999999994</v>
      </c>
      <c r="AI11" s="1">
        <v>3639.5000000000005</v>
      </c>
      <c r="AK11" s="1">
        <v>119630.7</v>
      </c>
      <c r="AL11" s="1">
        <v>3639.5000000000005</v>
      </c>
      <c r="AN11" s="1">
        <v>470</v>
      </c>
      <c r="AO11" s="1">
        <v>15250.500000000002</v>
      </c>
      <c r="AQ11" s="1">
        <v>1911</v>
      </c>
      <c r="AR11" s="1">
        <v>15250.500000000002</v>
      </c>
      <c r="AT11" s="1">
        <v>184</v>
      </c>
      <c r="AU11" s="1">
        <v>15250.500000000002</v>
      </c>
      <c r="AW11" s="1">
        <v>626</v>
      </c>
      <c r="AX11" s="1">
        <v>15250.500000000002</v>
      </c>
      <c r="AZ11" s="1">
        <v>123</v>
      </c>
      <c r="BA11" s="1">
        <v>15250.500000000002</v>
      </c>
      <c r="BC11" s="1">
        <v>3642</v>
      </c>
      <c r="BD11" s="1">
        <v>56380.399999999994</v>
      </c>
      <c r="BF11" s="1">
        <v>3639.5000000000005</v>
      </c>
      <c r="BG11" s="1">
        <v>56380.399999999994</v>
      </c>
      <c r="BL11" s="1">
        <v>119630.7</v>
      </c>
      <c r="BM11" s="1">
        <v>56380.399999999994</v>
      </c>
      <c r="BO11" s="1">
        <v>470</v>
      </c>
      <c r="BP11" s="1">
        <v>11876.6</v>
      </c>
      <c r="BR11" s="1">
        <v>1911</v>
      </c>
      <c r="BS11" s="1">
        <v>11876.6</v>
      </c>
      <c r="BU11" s="1">
        <v>184</v>
      </c>
      <c r="BV11" s="1">
        <v>11876.6</v>
      </c>
      <c r="BX11" s="1">
        <v>626</v>
      </c>
      <c r="BY11" s="1">
        <v>11876.6</v>
      </c>
      <c r="CA11" s="1">
        <v>123</v>
      </c>
      <c r="CB11" s="1">
        <v>11876.6</v>
      </c>
      <c r="CD11" s="1">
        <v>3642</v>
      </c>
      <c r="CE11" s="1">
        <v>119630.7</v>
      </c>
      <c r="CG11" s="1">
        <v>3639.5000000000005</v>
      </c>
      <c r="CH11" s="1">
        <v>119630.7</v>
      </c>
      <c r="CJ11" s="1">
        <v>56380.399999999994</v>
      </c>
      <c r="CK11" s="1">
        <v>119630.7</v>
      </c>
      <c r="CP11" s="1">
        <v>470</v>
      </c>
      <c r="CQ11" s="1">
        <v>46685.5</v>
      </c>
      <c r="CS11" s="1">
        <v>1911</v>
      </c>
      <c r="CT11" s="1">
        <v>46685.5</v>
      </c>
      <c r="CV11" s="1">
        <v>184</v>
      </c>
      <c r="CW11" s="1">
        <v>46685.5</v>
      </c>
      <c r="CY11" s="1">
        <v>626</v>
      </c>
      <c r="CZ11" s="1">
        <v>46685.5</v>
      </c>
      <c r="DB11" s="1">
        <v>123</v>
      </c>
      <c r="DC11" s="1">
        <v>46685.5</v>
      </c>
      <c r="DE11" s="1">
        <v>15253</v>
      </c>
      <c r="DF11" s="1">
        <v>470</v>
      </c>
      <c r="DH11" s="1">
        <v>15250.500000000002</v>
      </c>
      <c r="DI11" s="1">
        <v>470</v>
      </c>
      <c r="DK11" s="1">
        <v>11876.6</v>
      </c>
      <c r="DL11" s="1">
        <v>470</v>
      </c>
      <c r="DN11" s="1">
        <v>46685.5</v>
      </c>
      <c r="DO11" s="1">
        <v>470</v>
      </c>
      <c r="DT11" s="1">
        <v>1911</v>
      </c>
      <c r="DU11" s="1">
        <v>470</v>
      </c>
      <c r="DW11" s="1">
        <v>184</v>
      </c>
      <c r="DX11" s="1">
        <v>470</v>
      </c>
      <c r="DZ11" s="1">
        <v>626</v>
      </c>
      <c r="EA11" s="1">
        <v>470</v>
      </c>
      <c r="EC11" s="1">
        <v>123</v>
      </c>
      <c r="ED11" s="1">
        <v>470</v>
      </c>
      <c r="EF11" s="1">
        <v>15253</v>
      </c>
      <c r="EG11" s="1">
        <v>1911</v>
      </c>
      <c r="EI11" s="1">
        <v>15250.500000000002</v>
      </c>
      <c r="EJ11" s="1">
        <v>1911</v>
      </c>
      <c r="EL11" s="1">
        <v>11876.6</v>
      </c>
      <c r="EM11" s="1">
        <v>1911</v>
      </c>
      <c r="EO11" s="1">
        <v>46685.5</v>
      </c>
      <c r="EP11" s="1">
        <v>1911</v>
      </c>
      <c r="ER11" s="1">
        <v>470</v>
      </c>
      <c r="ES11" s="1">
        <v>1911</v>
      </c>
      <c r="EX11" s="1">
        <v>184</v>
      </c>
      <c r="EY11" s="1">
        <v>1911</v>
      </c>
      <c r="FA11" s="1">
        <v>626</v>
      </c>
      <c r="FB11" s="1">
        <v>1911</v>
      </c>
      <c r="FD11" s="1">
        <v>123</v>
      </c>
      <c r="FE11" s="1">
        <v>1911</v>
      </c>
      <c r="FG11" s="1">
        <v>15253</v>
      </c>
      <c r="FH11" s="1">
        <v>184</v>
      </c>
      <c r="FJ11" s="1">
        <v>15250.500000000002</v>
      </c>
      <c r="FK11" s="1">
        <v>184</v>
      </c>
      <c r="FM11" s="1">
        <v>11876.6</v>
      </c>
      <c r="FN11" s="1">
        <v>184</v>
      </c>
      <c r="FP11" s="1">
        <v>46685.5</v>
      </c>
      <c r="FQ11" s="1">
        <v>184</v>
      </c>
      <c r="FS11" s="1">
        <v>470</v>
      </c>
      <c r="FT11" s="1">
        <v>184</v>
      </c>
      <c r="FV11" s="1">
        <v>1911</v>
      </c>
      <c r="FW11" s="1">
        <v>184</v>
      </c>
      <c r="GB11" s="1">
        <v>626</v>
      </c>
      <c r="GC11" s="1">
        <v>184</v>
      </c>
      <c r="GE11" s="1">
        <v>123</v>
      </c>
      <c r="GF11" s="1">
        <v>184</v>
      </c>
      <c r="GH11" s="1">
        <v>15253</v>
      </c>
      <c r="GI11" s="1">
        <v>626</v>
      </c>
      <c r="GK11" s="1">
        <v>15250.500000000002</v>
      </c>
      <c r="GL11" s="1">
        <v>626</v>
      </c>
      <c r="GN11" s="1">
        <v>11876.6</v>
      </c>
      <c r="GO11" s="1">
        <v>626</v>
      </c>
      <c r="GQ11" s="1">
        <v>46685.5</v>
      </c>
      <c r="GR11" s="1">
        <v>626</v>
      </c>
      <c r="GT11" s="1">
        <v>470</v>
      </c>
      <c r="GU11" s="1">
        <v>626</v>
      </c>
      <c r="GW11" s="1">
        <v>1911</v>
      </c>
      <c r="GX11" s="1">
        <v>626</v>
      </c>
      <c r="GZ11" s="1">
        <v>184</v>
      </c>
      <c r="HA11" s="1">
        <v>626</v>
      </c>
      <c r="HF11" s="1">
        <v>123</v>
      </c>
      <c r="HG11" s="1">
        <v>626</v>
      </c>
      <c r="HI11" s="1">
        <v>15253</v>
      </c>
      <c r="HJ11" s="1">
        <v>123</v>
      </c>
      <c r="HL11" s="1">
        <v>15250.500000000002</v>
      </c>
      <c r="HM11" s="1">
        <v>123</v>
      </c>
      <c r="HO11" s="1">
        <v>11876.6</v>
      </c>
      <c r="HP11" s="1">
        <v>123</v>
      </c>
      <c r="HR11" s="1">
        <v>46685.5</v>
      </c>
      <c r="HS11" s="1">
        <v>123</v>
      </c>
      <c r="HU11" s="1">
        <v>470</v>
      </c>
      <c r="HV11" s="1">
        <v>123</v>
      </c>
      <c r="HX11" s="1">
        <v>1911</v>
      </c>
      <c r="HY11" s="1">
        <v>123</v>
      </c>
      <c r="IA11" s="1">
        <v>184</v>
      </c>
      <c r="IB11" s="1">
        <v>123</v>
      </c>
    </row>
    <row r="12" spans="4:236" x14ac:dyDescent="0.2">
      <c r="D12" s="1">
        <v>1101.5</v>
      </c>
      <c r="E12" s="1">
        <v>1104</v>
      </c>
      <c r="G12" s="1">
        <v>35505</v>
      </c>
      <c r="H12" s="1">
        <v>3506</v>
      </c>
      <c r="J12" s="1">
        <v>80306.400000000009</v>
      </c>
      <c r="K12" s="1">
        <v>3506</v>
      </c>
      <c r="M12" s="1">
        <v>601</v>
      </c>
      <c r="N12" s="1">
        <v>10261</v>
      </c>
      <c r="P12" s="1">
        <v>1977</v>
      </c>
      <c r="Q12" s="1">
        <v>10261</v>
      </c>
      <c r="S12" s="1">
        <v>231</v>
      </c>
      <c r="T12" s="1">
        <v>10261</v>
      </c>
      <c r="V12" s="1">
        <v>867</v>
      </c>
      <c r="W12" s="1">
        <v>10261</v>
      </c>
      <c r="Y12" s="1">
        <v>130</v>
      </c>
      <c r="Z12" s="1">
        <v>10261</v>
      </c>
      <c r="AB12" s="1">
        <v>1104</v>
      </c>
      <c r="AC12" s="1">
        <v>1101.5</v>
      </c>
      <c r="AH12" s="1">
        <v>35505</v>
      </c>
      <c r="AI12" s="1">
        <v>3503.5</v>
      </c>
      <c r="AK12" s="1">
        <v>80306.400000000009</v>
      </c>
      <c r="AL12" s="1">
        <v>3503.5</v>
      </c>
      <c r="AN12" s="1">
        <v>601</v>
      </c>
      <c r="AO12" s="1">
        <v>10258.5</v>
      </c>
      <c r="AQ12" s="1">
        <v>1977</v>
      </c>
      <c r="AR12" s="1">
        <v>10258.5</v>
      </c>
      <c r="AT12" s="1">
        <v>231</v>
      </c>
      <c r="AU12" s="1">
        <v>10258.5</v>
      </c>
      <c r="AW12" s="1">
        <v>867</v>
      </c>
      <c r="AX12" s="1">
        <v>10258.5</v>
      </c>
      <c r="AZ12" s="1">
        <v>130</v>
      </c>
      <c r="BA12" s="1">
        <v>10258.5</v>
      </c>
      <c r="BC12" s="1">
        <v>3506</v>
      </c>
      <c r="BD12" s="1">
        <v>35505</v>
      </c>
      <c r="BF12" s="1">
        <v>3503.5</v>
      </c>
      <c r="BG12" s="1">
        <v>35505</v>
      </c>
      <c r="BL12" s="1">
        <v>80306.400000000009</v>
      </c>
      <c r="BM12" s="1">
        <v>35505</v>
      </c>
      <c r="BO12" s="1">
        <v>601</v>
      </c>
      <c r="BP12" s="1">
        <v>3469.2999999999997</v>
      </c>
      <c r="BR12" s="1">
        <v>1977</v>
      </c>
      <c r="BS12" s="1">
        <v>3469.2999999999997</v>
      </c>
      <c r="BU12" s="1">
        <v>231</v>
      </c>
      <c r="BV12" s="1">
        <v>3469.2999999999997</v>
      </c>
      <c r="BX12" s="1">
        <v>867</v>
      </c>
      <c r="BY12" s="1">
        <v>3469.2999999999997</v>
      </c>
      <c r="CA12" s="1">
        <v>130</v>
      </c>
      <c r="CB12" s="1">
        <v>3469.2999999999997</v>
      </c>
      <c r="CD12" s="1">
        <v>3506</v>
      </c>
      <c r="CE12" s="1">
        <v>80306.400000000009</v>
      </c>
      <c r="CG12" s="1">
        <v>3503.5</v>
      </c>
      <c r="CH12" s="1">
        <v>80306.400000000009</v>
      </c>
      <c r="CJ12" s="1">
        <v>35505</v>
      </c>
      <c r="CK12" s="1">
        <v>80306.400000000009</v>
      </c>
      <c r="CP12" s="1">
        <v>601</v>
      </c>
      <c r="CQ12" s="1">
        <v>24014.1</v>
      </c>
      <c r="CS12" s="1">
        <v>1977</v>
      </c>
      <c r="CT12" s="1">
        <v>24014.1</v>
      </c>
      <c r="CV12" s="1">
        <v>231</v>
      </c>
      <c r="CW12" s="1">
        <v>24014.1</v>
      </c>
      <c r="CY12" s="1">
        <v>867</v>
      </c>
      <c r="CZ12" s="1">
        <v>24014.1</v>
      </c>
      <c r="DB12" s="1">
        <v>130</v>
      </c>
      <c r="DC12" s="1">
        <v>24014.1</v>
      </c>
      <c r="DE12" s="1">
        <v>10261</v>
      </c>
      <c r="DF12" s="1">
        <v>601</v>
      </c>
      <c r="DH12" s="1">
        <v>10258.5</v>
      </c>
      <c r="DI12" s="1">
        <v>601</v>
      </c>
      <c r="DK12" s="1">
        <v>3469.2999999999997</v>
      </c>
      <c r="DL12" s="1">
        <v>601</v>
      </c>
      <c r="DN12" s="1">
        <v>24014.1</v>
      </c>
      <c r="DO12" s="1">
        <v>601</v>
      </c>
      <c r="DT12" s="1">
        <v>1977</v>
      </c>
      <c r="DU12" s="1">
        <v>601</v>
      </c>
      <c r="DW12" s="1">
        <v>231</v>
      </c>
      <c r="DX12" s="1">
        <v>601</v>
      </c>
      <c r="DZ12" s="1">
        <v>867</v>
      </c>
      <c r="EA12" s="1">
        <v>601</v>
      </c>
      <c r="EC12" s="1">
        <v>130</v>
      </c>
      <c r="ED12" s="1">
        <v>601</v>
      </c>
      <c r="EF12" s="1">
        <v>10261</v>
      </c>
      <c r="EG12" s="1">
        <v>1977</v>
      </c>
      <c r="EI12" s="1">
        <v>10258.5</v>
      </c>
      <c r="EJ12" s="1">
        <v>1977</v>
      </c>
      <c r="EL12" s="1">
        <v>3469.2999999999997</v>
      </c>
      <c r="EM12" s="1">
        <v>1977</v>
      </c>
      <c r="EO12" s="1">
        <v>24014.1</v>
      </c>
      <c r="EP12" s="1">
        <v>1977</v>
      </c>
      <c r="ER12" s="1">
        <v>601</v>
      </c>
      <c r="ES12" s="1">
        <v>1977</v>
      </c>
      <c r="EX12" s="1">
        <v>231</v>
      </c>
      <c r="EY12" s="1">
        <v>1977</v>
      </c>
      <c r="FA12" s="1">
        <v>867</v>
      </c>
      <c r="FB12" s="1">
        <v>1977</v>
      </c>
      <c r="FD12" s="1">
        <v>130</v>
      </c>
      <c r="FE12" s="1">
        <v>1977</v>
      </c>
      <c r="FG12" s="1">
        <v>10261</v>
      </c>
      <c r="FH12" s="1">
        <v>231</v>
      </c>
      <c r="FJ12" s="1">
        <v>10258.5</v>
      </c>
      <c r="FK12" s="1">
        <v>231</v>
      </c>
      <c r="FM12" s="1">
        <v>3469.2999999999997</v>
      </c>
      <c r="FN12" s="1">
        <v>231</v>
      </c>
      <c r="FP12" s="1">
        <v>24014.1</v>
      </c>
      <c r="FQ12" s="1">
        <v>231</v>
      </c>
      <c r="FS12" s="1">
        <v>601</v>
      </c>
      <c r="FT12" s="1">
        <v>231</v>
      </c>
      <c r="FV12" s="1">
        <v>1977</v>
      </c>
      <c r="FW12" s="1">
        <v>231</v>
      </c>
      <c r="GB12" s="1">
        <v>867</v>
      </c>
      <c r="GC12" s="1">
        <v>231</v>
      </c>
      <c r="GE12" s="1">
        <v>130</v>
      </c>
      <c r="GF12" s="1">
        <v>231</v>
      </c>
      <c r="GH12" s="1">
        <v>10261</v>
      </c>
      <c r="GI12" s="1">
        <v>867</v>
      </c>
      <c r="GK12" s="1">
        <v>10258.5</v>
      </c>
      <c r="GL12" s="1">
        <v>867</v>
      </c>
      <c r="GN12" s="1">
        <v>3469.2999999999997</v>
      </c>
      <c r="GO12" s="1">
        <v>867</v>
      </c>
      <c r="GQ12" s="1">
        <v>24014.1</v>
      </c>
      <c r="GR12" s="1">
        <v>867</v>
      </c>
      <c r="GT12" s="1">
        <v>601</v>
      </c>
      <c r="GU12" s="1">
        <v>867</v>
      </c>
      <c r="GW12" s="1">
        <v>1977</v>
      </c>
      <c r="GX12" s="1">
        <v>867</v>
      </c>
      <c r="GZ12" s="1">
        <v>231</v>
      </c>
      <c r="HA12" s="1">
        <v>867</v>
      </c>
      <c r="HF12" s="1">
        <v>130</v>
      </c>
      <c r="HG12" s="1">
        <v>867</v>
      </c>
      <c r="HI12" s="1">
        <v>10261</v>
      </c>
      <c r="HJ12" s="1">
        <v>130</v>
      </c>
      <c r="HL12" s="1">
        <v>10258.5</v>
      </c>
      <c r="HM12" s="1">
        <v>130</v>
      </c>
      <c r="HO12" s="1">
        <v>3469.2999999999997</v>
      </c>
      <c r="HP12" s="1">
        <v>130</v>
      </c>
      <c r="HR12" s="1">
        <v>24014.1</v>
      </c>
      <c r="HS12" s="1">
        <v>130</v>
      </c>
      <c r="HU12" s="1">
        <v>601</v>
      </c>
      <c r="HV12" s="1">
        <v>130</v>
      </c>
      <c r="HX12" s="1">
        <v>1977</v>
      </c>
      <c r="HY12" s="1">
        <v>130</v>
      </c>
      <c r="IA12" s="1">
        <v>231</v>
      </c>
      <c r="IB12" s="1">
        <v>130</v>
      </c>
    </row>
    <row r="13" spans="4:236" x14ac:dyDescent="0.2">
      <c r="D13" s="1">
        <v>1446.5</v>
      </c>
      <c r="E13" s="1">
        <v>1449</v>
      </c>
      <c r="G13" s="1">
        <v>10355.799999999999</v>
      </c>
      <c r="H13" s="1">
        <v>1974</v>
      </c>
      <c r="J13" s="1">
        <v>24613.3</v>
      </c>
      <c r="K13" s="1">
        <v>1974</v>
      </c>
      <c r="M13" s="1">
        <v>549</v>
      </c>
      <c r="N13" s="1">
        <v>14317</v>
      </c>
      <c r="P13" s="1">
        <v>1901</v>
      </c>
      <c r="Q13" s="1">
        <v>14317</v>
      </c>
      <c r="S13" s="1">
        <v>213</v>
      </c>
      <c r="T13" s="1">
        <v>14317</v>
      </c>
      <c r="V13" s="1">
        <v>399</v>
      </c>
      <c r="W13" s="1">
        <v>14317</v>
      </c>
      <c r="Y13" s="1">
        <v>268</v>
      </c>
      <c r="Z13" s="1">
        <v>14317</v>
      </c>
      <c r="AB13" s="1">
        <v>1449</v>
      </c>
      <c r="AC13" s="1">
        <v>1446.5</v>
      </c>
      <c r="AH13" s="1">
        <v>10355.799999999999</v>
      </c>
      <c r="AI13" s="1">
        <v>1971.5</v>
      </c>
      <c r="AK13" s="1">
        <v>24613.3</v>
      </c>
      <c r="AL13" s="1">
        <v>1971.5</v>
      </c>
      <c r="AN13" s="1">
        <v>549</v>
      </c>
      <c r="AO13" s="1">
        <v>14314.5</v>
      </c>
      <c r="AQ13" s="1">
        <v>1901</v>
      </c>
      <c r="AR13" s="1">
        <v>14314.5</v>
      </c>
      <c r="AT13" s="1">
        <v>213</v>
      </c>
      <c r="AU13" s="1">
        <v>14314.5</v>
      </c>
      <c r="AW13" s="1">
        <v>399</v>
      </c>
      <c r="AX13" s="1">
        <v>14314.5</v>
      </c>
      <c r="AZ13" s="1">
        <v>268</v>
      </c>
      <c r="BA13" s="1">
        <v>14314.5</v>
      </c>
      <c r="BC13" s="1">
        <v>1974</v>
      </c>
      <c r="BD13" s="1">
        <v>10355.799999999999</v>
      </c>
      <c r="BF13" s="1">
        <v>1971.5</v>
      </c>
      <c r="BG13" s="1">
        <v>10355.799999999999</v>
      </c>
      <c r="BL13" s="1">
        <v>24613.3</v>
      </c>
      <c r="BM13" s="1">
        <v>10355.799999999999</v>
      </c>
      <c r="BO13" s="1">
        <v>549</v>
      </c>
      <c r="BP13" s="1">
        <v>5586.85</v>
      </c>
      <c r="BR13" s="1">
        <v>1901</v>
      </c>
      <c r="BS13" s="1">
        <v>5586.85</v>
      </c>
      <c r="BU13" s="1">
        <v>213</v>
      </c>
      <c r="BV13" s="1">
        <v>5586.85</v>
      </c>
      <c r="BX13" s="1">
        <v>399</v>
      </c>
      <c r="BY13" s="1">
        <v>5586.85</v>
      </c>
      <c r="CA13" s="1">
        <v>268</v>
      </c>
      <c r="CB13" s="1">
        <v>5586.85</v>
      </c>
      <c r="CD13" s="1">
        <v>1974</v>
      </c>
      <c r="CE13" s="1">
        <v>24613.3</v>
      </c>
      <c r="CG13" s="1">
        <v>1971.5</v>
      </c>
      <c r="CH13" s="1">
        <v>24613.3</v>
      </c>
      <c r="CJ13" s="1">
        <v>10355.799999999999</v>
      </c>
      <c r="CK13" s="1">
        <v>24613.3</v>
      </c>
      <c r="CP13" s="1">
        <v>549</v>
      </c>
      <c r="CQ13" s="1">
        <v>23100.17</v>
      </c>
      <c r="CS13" s="1">
        <v>1901</v>
      </c>
      <c r="CT13" s="1">
        <v>23100.17</v>
      </c>
      <c r="CV13" s="1">
        <v>213</v>
      </c>
      <c r="CW13" s="1">
        <v>23100.17</v>
      </c>
      <c r="CY13" s="1">
        <v>399</v>
      </c>
      <c r="CZ13" s="1">
        <v>23100.17</v>
      </c>
      <c r="DB13" s="1">
        <v>268</v>
      </c>
      <c r="DC13" s="1">
        <v>23100.17</v>
      </c>
      <c r="DE13" s="1">
        <v>14317</v>
      </c>
      <c r="DF13" s="1">
        <v>549</v>
      </c>
      <c r="DH13" s="1">
        <v>14314.5</v>
      </c>
      <c r="DI13" s="1">
        <v>549</v>
      </c>
      <c r="DK13" s="1">
        <v>5586.85</v>
      </c>
      <c r="DL13" s="1">
        <v>549</v>
      </c>
      <c r="DN13" s="1">
        <v>23100.17</v>
      </c>
      <c r="DO13" s="1">
        <v>549</v>
      </c>
      <c r="DT13" s="1">
        <v>1901</v>
      </c>
      <c r="DU13" s="1">
        <v>549</v>
      </c>
      <c r="DW13" s="1">
        <v>213</v>
      </c>
      <c r="DX13" s="1">
        <v>549</v>
      </c>
      <c r="DZ13" s="1">
        <v>399</v>
      </c>
      <c r="EA13" s="1">
        <v>549</v>
      </c>
      <c r="EC13" s="1">
        <v>268</v>
      </c>
      <c r="ED13" s="1">
        <v>549</v>
      </c>
      <c r="EF13" s="1">
        <v>14317</v>
      </c>
      <c r="EG13" s="1">
        <v>1901</v>
      </c>
      <c r="EI13" s="1">
        <v>14314.5</v>
      </c>
      <c r="EJ13" s="1">
        <v>1901</v>
      </c>
      <c r="EL13" s="1">
        <v>5586.85</v>
      </c>
      <c r="EM13" s="1">
        <v>1901</v>
      </c>
      <c r="EO13" s="1">
        <v>23100.17</v>
      </c>
      <c r="EP13" s="1">
        <v>1901</v>
      </c>
      <c r="ER13" s="1">
        <v>549</v>
      </c>
      <c r="ES13" s="1">
        <v>1901</v>
      </c>
      <c r="EX13" s="1">
        <v>213</v>
      </c>
      <c r="EY13" s="1">
        <v>1901</v>
      </c>
      <c r="FA13" s="1">
        <v>399</v>
      </c>
      <c r="FB13" s="1">
        <v>1901</v>
      </c>
      <c r="FD13" s="1">
        <v>268</v>
      </c>
      <c r="FE13" s="1">
        <v>1901</v>
      </c>
      <c r="FG13" s="1">
        <v>14317</v>
      </c>
      <c r="FH13" s="1">
        <v>213</v>
      </c>
      <c r="FJ13" s="1">
        <v>14314.5</v>
      </c>
      <c r="FK13" s="1">
        <v>213</v>
      </c>
      <c r="FM13" s="1">
        <v>5586.85</v>
      </c>
      <c r="FN13" s="1">
        <v>213</v>
      </c>
      <c r="FP13" s="1">
        <v>23100.17</v>
      </c>
      <c r="FQ13" s="1">
        <v>213</v>
      </c>
      <c r="FS13" s="1">
        <v>549</v>
      </c>
      <c r="FT13" s="1">
        <v>213</v>
      </c>
      <c r="FV13" s="1">
        <v>1901</v>
      </c>
      <c r="FW13" s="1">
        <v>213</v>
      </c>
      <c r="GB13" s="1">
        <v>399</v>
      </c>
      <c r="GC13" s="1">
        <v>213</v>
      </c>
      <c r="GE13" s="1">
        <v>268</v>
      </c>
      <c r="GF13" s="1">
        <v>213</v>
      </c>
      <c r="GH13" s="1">
        <v>14317</v>
      </c>
      <c r="GI13" s="1">
        <v>399</v>
      </c>
      <c r="GK13" s="1">
        <v>14314.5</v>
      </c>
      <c r="GL13" s="1">
        <v>399</v>
      </c>
      <c r="GN13" s="1">
        <v>5586.85</v>
      </c>
      <c r="GO13" s="1">
        <v>399</v>
      </c>
      <c r="GQ13" s="1">
        <v>23100.17</v>
      </c>
      <c r="GR13" s="1">
        <v>399</v>
      </c>
      <c r="GT13" s="1">
        <v>549</v>
      </c>
      <c r="GU13" s="1">
        <v>399</v>
      </c>
      <c r="GW13" s="1">
        <v>1901</v>
      </c>
      <c r="GX13" s="1">
        <v>399</v>
      </c>
      <c r="GZ13" s="1">
        <v>213</v>
      </c>
      <c r="HA13" s="1">
        <v>399</v>
      </c>
      <c r="HF13" s="1">
        <v>268</v>
      </c>
      <c r="HG13" s="1">
        <v>399</v>
      </c>
      <c r="HI13" s="1">
        <v>14317</v>
      </c>
      <c r="HJ13" s="1">
        <v>268</v>
      </c>
      <c r="HL13" s="1">
        <v>14314.5</v>
      </c>
      <c r="HM13" s="1">
        <v>268</v>
      </c>
      <c r="HO13" s="1">
        <v>5586.85</v>
      </c>
      <c r="HP13" s="1">
        <v>268</v>
      </c>
      <c r="HR13" s="1">
        <v>23100.17</v>
      </c>
      <c r="HS13" s="1">
        <v>268</v>
      </c>
      <c r="HU13" s="1">
        <v>549</v>
      </c>
      <c r="HV13" s="1">
        <v>268</v>
      </c>
      <c r="HX13" s="1">
        <v>1901</v>
      </c>
      <c r="HY13" s="1">
        <v>268</v>
      </c>
      <c r="IA13" s="1">
        <v>213</v>
      </c>
      <c r="IB13" s="1">
        <v>268</v>
      </c>
    </row>
    <row r="14" spans="4:236" x14ac:dyDescent="0.2">
      <c r="D14" s="1">
        <v>1411.5</v>
      </c>
      <c r="E14" s="1">
        <v>1414</v>
      </c>
      <c r="G14" s="1">
        <v>54619.899999999994</v>
      </c>
      <c r="H14" s="1">
        <v>5086</v>
      </c>
      <c r="J14" s="1">
        <v>117438.1</v>
      </c>
      <c r="K14" s="1">
        <v>5086</v>
      </c>
      <c r="M14" s="1">
        <v>876</v>
      </c>
      <c r="N14" s="1">
        <v>13196</v>
      </c>
      <c r="P14" s="1">
        <v>1441</v>
      </c>
      <c r="Q14" s="1">
        <v>13196</v>
      </c>
      <c r="S14" s="1">
        <v>280</v>
      </c>
      <c r="T14" s="1">
        <v>13196</v>
      </c>
      <c r="V14" s="1">
        <v>786</v>
      </c>
      <c r="W14" s="1">
        <v>13196</v>
      </c>
      <c r="Y14" s="1">
        <v>49</v>
      </c>
      <c r="Z14" s="1">
        <v>13196</v>
      </c>
      <c r="AB14" s="1">
        <v>1414</v>
      </c>
      <c r="AC14" s="1">
        <v>1411.5</v>
      </c>
      <c r="AH14" s="1">
        <v>54619.899999999994</v>
      </c>
      <c r="AI14" s="1">
        <v>5083.5</v>
      </c>
      <c r="AK14" s="1">
        <v>117438.1</v>
      </c>
      <c r="AL14" s="1">
        <v>5083.5</v>
      </c>
      <c r="AN14" s="1">
        <v>876</v>
      </c>
      <c r="AO14" s="1">
        <v>13193.5</v>
      </c>
      <c r="AQ14" s="1">
        <v>1441</v>
      </c>
      <c r="AR14" s="1">
        <v>13193.5</v>
      </c>
      <c r="AT14" s="1">
        <v>280</v>
      </c>
      <c r="AU14" s="1">
        <v>13193.5</v>
      </c>
      <c r="AW14" s="1">
        <v>786</v>
      </c>
      <c r="AX14" s="1">
        <v>13193.5</v>
      </c>
      <c r="AZ14" s="1">
        <v>49</v>
      </c>
      <c r="BA14" s="1">
        <v>13193.5</v>
      </c>
      <c r="BC14" s="1">
        <v>5086</v>
      </c>
      <c r="BD14" s="1">
        <v>54619.899999999994</v>
      </c>
      <c r="BF14" s="1">
        <v>5083.5</v>
      </c>
      <c r="BG14" s="1">
        <v>54619.899999999994</v>
      </c>
      <c r="BL14" s="1">
        <v>117438.1</v>
      </c>
      <c r="BM14" s="1">
        <v>54619.899999999994</v>
      </c>
      <c r="BO14" s="1">
        <v>876</v>
      </c>
      <c r="BP14" s="1">
        <v>11093.560000000001</v>
      </c>
      <c r="BR14" s="1">
        <v>1441</v>
      </c>
      <c r="BS14" s="1">
        <v>11093.560000000001</v>
      </c>
      <c r="BU14" s="1">
        <v>280</v>
      </c>
      <c r="BV14" s="1">
        <v>11093.560000000001</v>
      </c>
      <c r="BX14" s="1">
        <v>786</v>
      </c>
      <c r="BY14" s="1">
        <v>11093.560000000001</v>
      </c>
      <c r="CA14" s="1">
        <v>49</v>
      </c>
      <c r="CB14" s="1">
        <v>11093.560000000001</v>
      </c>
      <c r="CD14" s="1">
        <v>5086</v>
      </c>
      <c r="CE14" s="1">
        <v>117438.1</v>
      </c>
      <c r="CG14" s="1">
        <v>5083.5</v>
      </c>
      <c r="CH14" s="1">
        <v>117438.1</v>
      </c>
      <c r="CJ14" s="1">
        <v>54619.899999999994</v>
      </c>
      <c r="CK14" s="1">
        <v>117438.1</v>
      </c>
      <c r="CP14" s="1">
        <v>876</v>
      </c>
      <c r="CQ14" s="1">
        <v>48989.83</v>
      </c>
      <c r="CS14" s="1">
        <v>1441</v>
      </c>
      <c r="CT14" s="1">
        <v>48989.83</v>
      </c>
      <c r="CV14" s="1">
        <v>280</v>
      </c>
      <c r="CW14" s="1">
        <v>48989.83</v>
      </c>
      <c r="CY14" s="1">
        <v>786</v>
      </c>
      <c r="CZ14" s="1">
        <v>48989.83</v>
      </c>
      <c r="DB14" s="1">
        <v>49</v>
      </c>
      <c r="DC14" s="1">
        <v>48989.83</v>
      </c>
      <c r="DE14" s="1">
        <v>13196</v>
      </c>
      <c r="DF14" s="1">
        <v>876</v>
      </c>
      <c r="DH14" s="1">
        <v>13193.5</v>
      </c>
      <c r="DI14" s="1">
        <v>876</v>
      </c>
      <c r="DK14" s="1">
        <v>11093.560000000001</v>
      </c>
      <c r="DL14" s="1">
        <v>876</v>
      </c>
      <c r="DN14" s="1">
        <v>48989.83</v>
      </c>
      <c r="DO14" s="1">
        <v>876</v>
      </c>
      <c r="DT14" s="1">
        <v>1441</v>
      </c>
      <c r="DU14" s="1">
        <v>876</v>
      </c>
      <c r="DW14" s="1">
        <v>280</v>
      </c>
      <c r="DX14" s="1">
        <v>876</v>
      </c>
      <c r="DZ14" s="1">
        <v>786</v>
      </c>
      <c r="EA14" s="1">
        <v>876</v>
      </c>
      <c r="EC14" s="1">
        <v>49</v>
      </c>
      <c r="ED14" s="1">
        <v>876</v>
      </c>
      <c r="EF14" s="1">
        <v>13196</v>
      </c>
      <c r="EG14" s="1">
        <v>1441</v>
      </c>
      <c r="EI14" s="1">
        <v>13193.5</v>
      </c>
      <c r="EJ14" s="1">
        <v>1441</v>
      </c>
      <c r="EL14" s="1">
        <v>11093.560000000001</v>
      </c>
      <c r="EM14" s="1">
        <v>1441</v>
      </c>
      <c r="EO14" s="1">
        <v>48989.83</v>
      </c>
      <c r="EP14" s="1">
        <v>1441</v>
      </c>
      <c r="ER14" s="1">
        <v>876</v>
      </c>
      <c r="ES14" s="1">
        <v>1441</v>
      </c>
      <c r="EX14" s="1">
        <v>280</v>
      </c>
      <c r="EY14" s="1">
        <v>1441</v>
      </c>
      <c r="FA14" s="1">
        <v>786</v>
      </c>
      <c r="FB14" s="1">
        <v>1441</v>
      </c>
      <c r="FD14" s="1">
        <v>49</v>
      </c>
      <c r="FE14" s="1">
        <v>1441</v>
      </c>
      <c r="FG14" s="1">
        <v>13196</v>
      </c>
      <c r="FH14" s="1">
        <v>280</v>
      </c>
      <c r="FJ14" s="1">
        <v>13193.5</v>
      </c>
      <c r="FK14" s="1">
        <v>280</v>
      </c>
      <c r="FM14" s="1">
        <v>11093.560000000001</v>
      </c>
      <c r="FN14" s="1">
        <v>280</v>
      </c>
      <c r="FP14" s="1">
        <v>48989.83</v>
      </c>
      <c r="FQ14" s="1">
        <v>280</v>
      </c>
      <c r="FS14" s="1">
        <v>876</v>
      </c>
      <c r="FT14" s="1">
        <v>280</v>
      </c>
      <c r="FV14" s="1">
        <v>1441</v>
      </c>
      <c r="FW14" s="1">
        <v>280</v>
      </c>
      <c r="GB14" s="1">
        <v>786</v>
      </c>
      <c r="GC14" s="1">
        <v>280</v>
      </c>
      <c r="GE14" s="1">
        <v>49</v>
      </c>
      <c r="GF14" s="1">
        <v>280</v>
      </c>
      <c r="GH14" s="1">
        <v>13196</v>
      </c>
      <c r="GI14" s="1">
        <v>786</v>
      </c>
      <c r="GK14" s="1">
        <v>13193.5</v>
      </c>
      <c r="GL14" s="1">
        <v>786</v>
      </c>
      <c r="GN14" s="1">
        <v>11093.560000000001</v>
      </c>
      <c r="GO14" s="1">
        <v>786</v>
      </c>
      <c r="GQ14" s="1">
        <v>48989.83</v>
      </c>
      <c r="GR14" s="1">
        <v>786</v>
      </c>
      <c r="GT14" s="1">
        <v>876</v>
      </c>
      <c r="GU14" s="1">
        <v>786</v>
      </c>
      <c r="GW14" s="1">
        <v>1441</v>
      </c>
      <c r="GX14" s="1">
        <v>786</v>
      </c>
      <c r="GZ14" s="1">
        <v>280</v>
      </c>
      <c r="HA14" s="1">
        <v>786</v>
      </c>
      <c r="HF14" s="1">
        <v>49</v>
      </c>
      <c r="HG14" s="1">
        <v>786</v>
      </c>
      <c r="HI14" s="1">
        <v>13196</v>
      </c>
      <c r="HJ14" s="1">
        <v>49</v>
      </c>
      <c r="HL14" s="1">
        <v>13193.5</v>
      </c>
      <c r="HM14" s="1">
        <v>49</v>
      </c>
      <c r="HO14" s="1">
        <v>11093.560000000001</v>
      </c>
      <c r="HP14" s="1">
        <v>49</v>
      </c>
      <c r="HR14" s="1">
        <v>48989.83</v>
      </c>
      <c r="HS14" s="1">
        <v>49</v>
      </c>
      <c r="HU14" s="1">
        <v>876</v>
      </c>
      <c r="HV14" s="1">
        <v>49</v>
      </c>
      <c r="HX14" s="1">
        <v>1441</v>
      </c>
      <c r="HY14" s="1">
        <v>49</v>
      </c>
      <c r="IA14" s="1">
        <v>280</v>
      </c>
      <c r="IB14" s="1">
        <v>49</v>
      </c>
    </row>
    <row r="15" spans="4:236" x14ac:dyDescent="0.2">
      <c r="D15" s="1">
        <v>1920.5</v>
      </c>
      <c r="E15" s="1">
        <v>1923</v>
      </c>
      <c r="G15" s="1">
        <v>16211.8</v>
      </c>
      <c r="H15" s="1">
        <v>2394</v>
      </c>
      <c r="J15" s="1">
        <v>25057.899999999998</v>
      </c>
      <c r="K15" s="1">
        <v>2394</v>
      </c>
      <c r="M15" s="1">
        <v>903</v>
      </c>
      <c r="N15" s="1">
        <v>8593</v>
      </c>
      <c r="P15" s="1">
        <v>1664</v>
      </c>
      <c r="Q15" s="1">
        <v>8593</v>
      </c>
      <c r="S15" s="1">
        <v>393</v>
      </c>
      <c r="T15" s="1">
        <v>8593</v>
      </c>
      <c r="V15" s="1">
        <v>592</v>
      </c>
      <c r="W15" s="1">
        <v>8593</v>
      </c>
      <c r="Y15" s="1">
        <v>115</v>
      </c>
      <c r="Z15" s="1">
        <v>8593</v>
      </c>
      <c r="AB15" s="1">
        <v>1923</v>
      </c>
      <c r="AC15" s="1">
        <v>1920.5</v>
      </c>
      <c r="AH15" s="1">
        <v>16211.8</v>
      </c>
      <c r="AI15" s="1">
        <v>2391.5</v>
      </c>
      <c r="AK15" s="1">
        <v>25057.899999999998</v>
      </c>
      <c r="AL15" s="1">
        <v>2391.5</v>
      </c>
      <c r="AN15" s="1">
        <v>903</v>
      </c>
      <c r="AO15" s="1">
        <v>8590.5</v>
      </c>
      <c r="AQ15" s="1">
        <v>1664</v>
      </c>
      <c r="AR15" s="1">
        <v>8590.5</v>
      </c>
      <c r="AT15" s="1">
        <v>393</v>
      </c>
      <c r="AU15" s="1">
        <v>8590.5</v>
      </c>
      <c r="AW15" s="1">
        <v>592</v>
      </c>
      <c r="AX15" s="1">
        <v>8590.5</v>
      </c>
      <c r="AZ15" s="1">
        <v>115</v>
      </c>
      <c r="BA15" s="1">
        <v>8590.5</v>
      </c>
      <c r="BC15" s="1">
        <v>2394</v>
      </c>
      <c r="BD15" s="1">
        <v>16211.8</v>
      </c>
      <c r="BF15" s="1">
        <v>2391.5</v>
      </c>
      <c r="BG15" s="1">
        <v>16211.8</v>
      </c>
      <c r="BL15" s="1">
        <v>25057.899999999998</v>
      </c>
      <c r="BM15" s="1">
        <v>16211.8</v>
      </c>
      <c r="BO15" s="1">
        <v>903</v>
      </c>
      <c r="BP15" s="1">
        <v>2461.41</v>
      </c>
      <c r="BR15" s="1">
        <v>1664</v>
      </c>
      <c r="BS15" s="1">
        <v>2461.41</v>
      </c>
      <c r="BU15" s="1">
        <v>393</v>
      </c>
      <c r="BV15" s="1">
        <v>2461.41</v>
      </c>
      <c r="BX15" s="1">
        <v>592</v>
      </c>
      <c r="BY15" s="1">
        <v>2461.41</v>
      </c>
      <c r="CA15" s="1">
        <v>115</v>
      </c>
      <c r="CB15" s="1">
        <v>2461.41</v>
      </c>
      <c r="CD15" s="1">
        <v>2394</v>
      </c>
      <c r="CE15" s="1">
        <v>25057.899999999998</v>
      </c>
      <c r="CG15" s="1">
        <v>2391.5</v>
      </c>
      <c r="CH15" s="1">
        <v>25057.899999999998</v>
      </c>
      <c r="CJ15" s="1">
        <v>16211.8</v>
      </c>
      <c r="CK15" s="1">
        <v>25057.899999999998</v>
      </c>
      <c r="CP15" s="1">
        <v>903</v>
      </c>
      <c r="CQ15" s="1">
        <v>10515.05</v>
      </c>
      <c r="CS15" s="1">
        <v>1664</v>
      </c>
      <c r="CT15" s="1">
        <v>10515.05</v>
      </c>
      <c r="CV15" s="1">
        <v>393</v>
      </c>
      <c r="CW15" s="1">
        <v>10515.05</v>
      </c>
      <c r="CY15" s="1">
        <v>592</v>
      </c>
      <c r="CZ15" s="1">
        <v>10515.05</v>
      </c>
      <c r="DB15" s="1">
        <v>115</v>
      </c>
      <c r="DC15" s="1">
        <v>10515.05</v>
      </c>
      <c r="DE15" s="1">
        <v>8593</v>
      </c>
      <c r="DF15" s="1">
        <v>903</v>
      </c>
      <c r="DH15" s="1">
        <v>8590.5</v>
      </c>
      <c r="DI15" s="1">
        <v>903</v>
      </c>
      <c r="DK15" s="1">
        <v>2461.41</v>
      </c>
      <c r="DL15" s="1">
        <v>903</v>
      </c>
      <c r="DN15" s="1">
        <v>10515.05</v>
      </c>
      <c r="DO15" s="1">
        <v>903</v>
      </c>
      <c r="DT15" s="1">
        <v>1664</v>
      </c>
      <c r="DU15" s="1">
        <v>903</v>
      </c>
      <c r="DW15" s="1">
        <v>393</v>
      </c>
      <c r="DX15" s="1">
        <v>903</v>
      </c>
      <c r="DZ15" s="1">
        <v>592</v>
      </c>
      <c r="EA15" s="1">
        <v>903</v>
      </c>
      <c r="EC15" s="1">
        <v>115</v>
      </c>
      <c r="ED15" s="1">
        <v>903</v>
      </c>
      <c r="EF15" s="1">
        <v>8593</v>
      </c>
      <c r="EG15" s="1">
        <v>1664</v>
      </c>
      <c r="EI15" s="1">
        <v>8590.5</v>
      </c>
      <c r="EJ15" s="1">
        <v>1664</v>
      </c>
      <c r="EL15" s="1">
        <v>2461.41</v>
      </c>
      <c r="EM15" s="1">
        <v>1664</v>
      </c>
      <c r="EO15" s="1">
        <v>10515.05</v>
      </c>
      <c r="EP15" s="1">
        <v>1664</v>
      </c>
      <c r="ER15" s="1">
        <v>903</v>
      </c>
      <c r="ES15" s="1">
        <v>1664</v>
      </c>
      <c r="EX15" s="1">
        <v>393</v>
      </c>
      <c r="EY15" s="1">
        <v>1664</v>
      </c>
      <c r="FA15" s="1">
        <v>592</v>
      </c>
      <c r="FB15" s="1">
        <v>1664</v>
      </c>
      <c r="FD15" s="1">
        <v>115</v>
      </c>
      <c r="FE15" s="1">
        <v>1664</v>
      </c>
      <c r="FG15" s="1">
        <v>8593</v>
      </c>
      <c r="FH15" s="1">
        <v>393</v>
      </c>
      <c r="FJ15" s="1">
        <v>8590.5</v>
      </c>
      <c r="FK15" s="1">
        <v>393</v>
      </c>
      <c r="FM15" s="1">
        <v>2461.41</v>
      </c>
      <c r="FN15" s="1">
        <v>393</v>
      </c>
      <c r="FP15" s="1">
        <v>10515.05</v>
      </c>
      <c r="FQ15" s="1">
        <v>393</v>
      </c>
      <c r="FS15" s="1">
        <v>903</v>
      </c>
      <c r="FT15" s="1">
        <v>393</v>
      </c>
      <c r="FV15" s="1">
        <v>1664</v>
      </c>
      <c r="FW15" s="1">
        <v>393</v>
      </c>
      <c r="GB15" s="1">
        <v>592</v>
      </c>
      <c r="GC15" s="1">
        <v>393</v>
      </c>
      <c r="GE15" s="1">
        <v>115</v>
      </c>
      <c r="GF15" s="1">
        <v>393</v>
      </c>
      <c r="GH15" s="1">
        <v>8593</v>
      </c>
      <c r="GI15" s="1">
        <v>592</v>
      </c>
      <c r="GK15" s="1">
        <v>8590.5</v>
      </c>
      <c r="GL15" s="1">
        <v>592</v>
      </c>
      <c r="GN15" s="1">
        <v>2461.41</v>
      </c>
      <c r="GO15" s="1">
        <v>592</v>
      </c>
      <c r="GQ15" s="1">
        <v>10515.05</v>
      </c>
      <c r="GR15" s="1">
        <v>592</v>
      </c>
      <c r="GT15" s="1">
        <v>903</v>
      </c>
      <c r="GU15" s="1">
        <v>592</v>
      </c>
      <c r="GW15" s="1">
        <v>1664</v>
      </c>
      <c r="GX15" s="1">
        <v>592</v>
      </c>
      <c r="GZ15" s="1">
        <v>393</v>
      </c>
      <c r="HA15" s="1">
        <v>592</v>
      </c>
      <c r="HF15" s="1">
        <v>115</v>
      </c>
      <c r="HG15" s="1">
        <v>592</v>
      </c>
      <c r="HI15" s="1">
        <v>8593</v>
      </c>
      <c r="HJ15" s="1">
        <v>115</v>
      </c>
      <c r="HL15" s="1">
        <v>8590.5</v>
      </c>
      <c r="HM15" s="1">
        <v>115</v>
      </c>
      <c r="HO15" s="1">
        <v>2461.41</v>
      </c>
      <c r="HP15" s="1">
        <v>115</v>
      </c>
      <c r="HR15" s="1">
        <v>10515.05</v>
      </c>
      <c r="HS15" s="1">
        <v>115</v>
      </c>
      <c r="HU15" s="1">
        <v>903</v>
      </c>
      <c r="HV15" s="1">
        <v>115</v>
      </c>
      <c r="HX15" s="1">
        <v>1664</v>
      </c>
      <c r="HY15" s="1">
        <v>115</v>
      </c>
      <c r="IA15" s="1">
        <v>393</v>
      </c>
      <c r="IB15" s="1">
        <v>115</v>
      </c>
    </row>
    <row r="16" spans="4:236" x14ac:dyDescent="0.2">
      <c r="D16" s="1">
        <v>2143.5</v>
      </c>
      <c r="E16" s="1">
        <v>2146</v>
      </c>
      <c r="G16" s="1">
        <v>2530.5</v>
      </c>
      <c r="H16" s="1">
        <v>841</v>
      </c>
      <c r="J16" s="1">
        <v>7977.5</v>
      </c>
      <c r="K16" s="1">
        <v>841</v>
      </c>
      <c r="M16" s="1">
        <v>842</v>
      </c>
      <c r="N16" s="1">
        <v>12589</v>
      </c>
      <c r="P16" s="1">
        <v>2243</v>
      </c>
      <c r="Q16" s="1">
        <v>12589</v>
      </c>
      <c r="S16" s="1">
        <v>259</v>
      </c>
      <c r="T16" s="1">
        <v>12589</v>
      </c>
      <c r="V16" s="1">
        <v>557</v>
      </c>
      <c r="W16" s="1">
        <v>12589</v>
      </c>
      <c r="Y16" s="1">
        <v>131</v>
      </c>
      <c r="Z16" s="1">
        <v>12589</v>
      </c>
      <c r="AB16" s="1">
        <v>2146</v>
      </c>
      <c r="AC16" s="1">
        <v>2143.5</v>
      </c>
      <c r="AH16" s="1">
        <v>2530.5</v>
      </c>
      <c r="AI16" s="1">
        <v>838.5</v>
      </c>
      <c r="AK16" s="1">
        <v>7977.5</v>
      </c>
      <c r="AL16" s="1">
        <v>838.5</v>
      </c>
      <c r="AN16" s="1">
        <v>842</v>
      </c>
      <c r="AO16" s="1">
        <v>12586.5</v>
      </c>
      <c r="AQ16" s="1">
        <v>2243</v>
      </c>
      <c r="AR16" s="1">
        <v>12586.5</v>
      </c>
      <c r="AT16" s="1">
        <v>259</v>
      </c>
      <c r="AU16" s="1">
        <v>12586.5</v>
      </c>
      <c r="AW16" s="1">
        <v>557</v>
      </c>
      <c r="AX16" s="1">
        <v>12586.5</v>
      </c>
      <c r="AZ16" s="1">
        <v>131</v>
      </c>
      <c r="BA16" s="1">
        <v>12586.5</v>
      </c>
      <c r="BC16" s="1">
        <v>841</v>
      </c>
      <c r="BD16" s="1">
        <v>2530.5</v>
      </c>
      <c r="BF16" s="1">
        <v>838.5</v>
      </c>
      <c r="BG16" s="1">
        <v>2530.5</v>
      </c>
      <c r="BL16" s="1">
        <v>7977.5</v>
      </c>
      <c r="BM16" s="1">
        <v>2530.5</v>
      </c>
      <c r="BO16" s="1">
        <v>842</v>
      </c>
      <c r="BP16" s="1">
        <v>10138.380000000001</v>
      </c>
      <c r="BR16" s="1">
        <v>2243</v>
      </c>
      <c r="BS16" s="1">
        <v>10138.380000000001</v>
      </c>
      <c r="BU16" s="1">
        <v>259</v>
      </c>
      <c r="BV16" s="1">
        <v>10138.380000000001</v>
      </c>
      <c r="BX16" s="1">
        <v>557</v>
      </c>
      <c r="BY16" s="1">
        <v>10138.380000000001</v>
      </c>
      <c r="CA16" s="1">
        <v>131</v>
      </c>
      <c r="CB16" s="1">
        <v>10138.380000000001</v>
      </c>
      <c r="CD16" s="1">
        <v>841</v>
      </c>
      <c r="CE16" s="1">
        <v>7977.5</v>
      </c>
      <c r="CG16" s="1">
        <v>838.5</v>
      </c>
      <c r="CH16" s="1">
        <v>7977.5</v>
      </c>
      <c r="CJ16" s="1">
        <v>2530.5</v>
      </c>
      <c r="CK16" s="1">
        <v>7977.5</v>
      </c>
      <c r="CP16" s="1">
        <v>842</v>
      </c>
      <c r="CQ16" s="1">
        <v>45952.58</v>
      </c>
      <c r="CS16" s="1">
        <v>2243</v>
      </c>
      <c r="CT16" s="1">
        <v>45952.58</v>
      </c>
      <c r="CV16" s="1">
        <v>259</v>
      </c>
      <c r="CW16" s="1">
        <v>45952.58</v>
      </c>
      <c r="CY16" s="1">
        <v>557</v>
      </c>
      <c r="CZ16" s="1">
        <v>45952.58</v>
      </c>
      <c r="DB16" s="1">
        <v>131</v>
      </c>
      <c r="DC16" s="1">
        <v>45952.58</v>
      </c>
      <c r="DE16" s="1">
        <v>12589</v>
      </c>
      <c r="DF16" s="1">
        <v>842</v>
      </c>
      <c r="DH16" s="1">
        <v>12586.5</v>
      </c>
      <c r="DI16" s="1">
        <v>842</v>
      </c>
      <c r="DK16" s="1">
        <v>10138.380000000001</v>
      </c>
      <c r="DL16" s="1">
        <v>842</v>
      </c>
      <c r="DN16" s="1">
        <v>45952.58</v>
      </c>
      <c r="DO16" s="1">
        <v>842</v>
      </c>
      <c r="DT16" s="1">
        <v>2243</v>
      </c>
      <c r="DU16" s="1">
        <v>842</v>
      </c>
      <c r="DW16" s="1">
        <v>259</v>
      </c>
      <c r="DX16" s="1">
        <v>842</v>
      </c>
      <c r="DZ16" s="1">
        <v>557</v>
      </c>
      <c r="EA16" s="1">
        <v>842</v>
      </c>
      <c r="EC16" s="1">
        <v>131</v>
      </c>
      <c r="ED16" s="1">
        <v>842</v>
      </c>
      <c r="EF16" s="1">
        <v>12589</v>
      </c>
      <c r="EG16" s="1">
        <v>2243</v>
      </c>
      <c r="EI16" s="1">
        <v>12586.5</v>
      </c>
      <c r="EJ16" s="1">
        <v>2243</v>
      </c>
      <c r="EL16" s="1">
        <v>10138.380000000001</v>
      </c>
      <c r="EM16" s="1">
        <v>2243</v>
      </c>
      <c r="EO16" s="1">
        <v>45952.58</v>
      </c>
      <c r="EP16" s="1">
        <v>2243</v>
      </c>
      <c r="ER16" s="1">
        <v>842</v>
      </c>
      <c r="ES16" s="1">
        <v>2243</v>
      </c>
      <c r="EX16" s="1">
        <v>259</v>
      </c>
      <c r="EY16" s="1">
        <v>2243</v>
      </c>
      <c r="FA16" s="1">
        <v>557</v>
      </c>
      <c r="FB16" s="1">
        <v>2243</v>
      </c>
      <c r="FD16" s="1">
        <v>131</v>
      </c>
      <c r="FE16" s="1">
        <v>2243</v>
      </c>
      <c r="FG16" s="1">
        <v>12589</v>
      </c>
      <c r="FH16" s="1">
        <v>259</v>
      </c>
      <c r="FJ16" s="1">
        <v>12586.5</v>
      </c>
      <c r="FK16" s="1">
        <v>259</v>
      </c>
      <c r="FM16" s="1">
        <v>10138.380000000001</v>
      </c>
      <c r="FN16" s="1">
        <v>259</v>
      </c>
      <c r="FP16" s="1">
        <v>45952.58</v>
      </c>
      <c r="FQ16" s="1">
        <v>259</v>
      </c>
      <c r="FS16" s="1">
        <v>842</v>
      </c>
      <c r="FT16" s="1">
        <v>259</v>
      </c>
      <c r="FV16" s="1">
        <v>2243</v>
      </c>
      <c r="FW16" s="1">
        <v>259</v>
      </c>
      <c r="GB16" s="1">
        <v>557</v>
      </c>
      <c r="GC16" s="1">
        <v>259</v>
      </c>
      <c r="GE16" s="1">
        <v>131</v>
      </c>
      <c r="GF16" s="1">
        <v>259</v>
      </c>
      <c r="GH16" s="1">
        <v>12589</v>
      </c>
      <c r="GI16" s="1">
        <v>557</v>
      </c>
      <c r="GK16" s="1">
        <v>12586.5</v>
      </c>
      <c r="GL16" s="1">
        <v>557</v>
      </c>
      <c r="GN16" s="1">
        <v>10138.380000000001</v>
      </c>
      <c r="GO16" s="1">
        <v>557</v>
      </c>
      <c r="GQ16" s="1">
        <v>45952.58</v>
      </c>
      <c r="GR16" s="1">
        <v>557</v>
      </c>
      <c r="GT16" s="1">
        <v>842</v>
      </c>
      <c r="GU16" s="1">
        <v>557</v>
      </c>
      <c r="GW16" s="1">
        <v>2243</v>
      </c>
      <c r="GX16" s="1">
        <v>557</v>
      </c>
      <c r="GZ16" s="1">
        <v>259</v>
      </c>
      <c r="HA16" s="1">
        <v>557</v>
      </c>
      <c r="HF16" s="1">
        <v>131</v>
      </c>
      <c r="HG16" s="1">
        <v>557</v>
      </c>
      <c r="HI16" s="1">
        <v>12589</v>
      </c>
      <c r="HJ16" s="1">
        <v>131</v>
      </c>
      <c r="HL16" s="1">
        <v>12586.5</v>
      </c>
      <c r="HM16" s="1">
        <v>131</v>
      </c>
      <c r="HO16" s="1">
        <v>10138.380000000001</v>
      </c>
      <c r="HP16" s="1">
        <v>131</v>
      </c>
      <c r="HR16" s="1">
        <v>45952.58</v>
      </c>
      <c r="HS16" s="1">
        <v>131</v>
      </c>
      <c r="HU16" s="1">
        <v>842</v>
      </c>
      <c r="HV16" s="1">
        <v>131</v>
      </c>
      <c r="HX16" s="1">
        <v>2243</v>
      </c>
      <c r="HY16" s="1">
        <v>131</v>
      </c>
      <c r="IA16" s="1">
        <v>259</v>
      </c>
      <c r="IB16" s="1">
        <v>131</v>
      </c>
    </row>
    <row r="17" spans="4:236" x14ac:dyDescent="0.2">
      <c r="D17" s="1">
        <v>399.5</v>
      </c>
      <c r="E17" s="1">
        <v>402</v>
      </c>
      <c r="G17" s="1">
        <v>16900.199999999997</v>
      </c>
      <c r="H17" s="1">
        <v>2924</v>
      </c>
      <c r="J17" s="1">
        <v>38888.300000000003</v>
      </c>
      <c r="K17" s="1">
        <v>2924</v>
      </c>
      <c r="M17" s="1">
        <v>992</v>
      </c>
      <c r="N17" s="1">
        <v>10025</v>
      </c>
      <c r="P17" s="1">
        <v>1988</v>
      </c>
      <c r="Q17" s="1">
        <v>10025</v>
      </c>
      <c r="S17" s="1">
        <v>193</v>
      </c>
      <c r="T17" s="1">
        <v>10025</v>
      </c>
      <c r="V17" s="1">
        <v>1215</v>
      </c>
      <c r="W17" s="1">
        <v>10025</v>
      </c>
      <c r="Y17" s="1">
        <v>139</v>
      </c>
      <c r="Z17" s="1">
        <v>10025</v>
      </c>
      <c r="AB17" s="1">
        <v>402</v>
      </c>
      <c r="AC17" s="1">
        <v>399.5</v>
      </c>
      <c r="AH17" s="1">
        <v>16900.199999999997</v>
      </c>
      <c r="AI17" s="1">
        <v>2921.5</v>
      </c>
      <c r="AK17" s="1">
        <v>38888.300000000003</v>
      </c>
      <c r="AL17" s="1">
        <v>2921.5</v>
      </c>
      <c r="AN17" s="1">
        <v>992</v>
      </c>
      <c r="AO17" s="1">
        <v>10022.5</v>
      </c>
      <c r="AQ17" s="1">
        <v>1988</v>
      </c>
      <c r="AR17" s="1">
        <v>10022.5</v>
      </c>
      <c r="AT17" s="1">
        <v>193</v>
      </c>
      <c r="AU17" s="1">
        <v>10022.5</v>
      </c>
      <c r="AW17" s="1">
        <v>1215</v>
      </c>
      <c r="AX17" s="1">
        <v>10022.5</v>
      </c>
      <c r="AZ17" s="1">
        <v>139</v>
      </c>
      <c r="BA17" s="1">
        <v>10022.5</v>
      </c>
      <c r="BC17" s="1">
        <v>2924</v>
      </c>
      <c r="BD17" s="1">
        <v>16900.199999999997</v>
      </c>
      <c r="BF17" s="1">
        <v>2921.5</v>
      </c>
      <c r="BG17" s="1">
        <v>16900.199999999997</v>
      </c>
      <c r="BL17" s="1">
        <v>38888.300000000003</v>
      </c>
      <c r="BM17" s="1">
        <v>16900.199999999997</v>
      </c>
      <c r="BO17" s="1">
        <v>992</v>
      </c>
      <c r="BP17" s="1">
        <v>4023.2700000000004</v>
      </c>
      <c r="BR17" s="1">
        <v>1988</v>
      </c>
      <c r="BS17" s="1">
        <v>4023.2700000000004</v>
      </c>
      <c r="BU17" s="1">
        <v>193</v>
      </c>
      <c r="BV17" s="1">
        <v>4023.2700000000004</v>
      </c>
      <c r="BX17" s="1">
        <v>1215</v>
      </c>
      <c r="BY17" s="1">
        <v>4023.2700000000004</v>
      </c>
      <c r="CA17" s="1">
        <v>139</v>
      </c>
      <c r="CB17" s="1">
        <v>4023.2700000000004</v>
      </c>
      <c r="CD17" s="1">
        <v>2924</v>
      </c>
      <c r="CE17" s="1">
        <v>38888.300000000003</v>
      </c>
      <c r="CG17" s="1">
        <v>2921.5</v>
      </c>
      <c r="CH17" s="1">
        <v>38888.300000000003</v>
      </c>
      <c r="CJ17" s="1">
        <v>16900.199999999997</v>
      </c>
      <c r="CK17" s="1">
        <v>38888.300000000003</v>
      </c>
      <c r="CP17" s="1">
        <v>992</v>
      </c>
      <c r="CQ17" s="1">
        <v>16348.45</v>
      </c>
      <c r="CS17" s="1">
        <v>1988</v>
      </c>
      <c r="CT17" s="1">
        <v>16348.45</v>
      </c>
      <c r="CV17" s="1">
        <v>193</v>
      </c>
      <c r="CW17" s="1">
        <v>16348.45</v>
      </c>
      <c r="CY17" s="1">
        <v>1215</v>
      </c>
      <c r="CZ17" s="1">
        <v>16348.45</v>
      </c>
      <c r="DB17" s="1">
        <v>139</v>
      </c>
      <c r="DC17" s="1">
        <v>16348.45</v>
      </c>
      <c r="DE17" s="1">
        <v>10025</v>
      </c>
      <c r="DF17" s="1">
        <v>992</v>
      </c>
      <c r="DH17" s="1">
        <v>10022.5</v>
      </c>
      <c r="DI17" s="1">
        <v>992</v>
      </c>
      <c r="DK17" s="1">
        <v>4023.2700000000004</v>
      </c>
      <c r="DL17" s="1">
        <v>992</v>
      </c>
      <c r="DN17" s="1">
        <v>16348.45</v>
      </c>
      <c r="DO17" s="1">
        <v>992</v>
      </c>
      <c r="DT17" s="1">
        <v>1988</v>
      </c>
      <c r="DU17" s="1">
        <v>992</v>
      </c>
      <c r="DW17" s="1">
        <v>193</v>
      </c>
      <c r="DX17" s="1">
        <v>992</v>
      </c>
      <c r="DZ17" s="1">
        <v>1215</v>
      </c>
      <c r="EA17" s="1">
        <v>992</v>
      </c>
      <c r="EC17" s="1">
        <v>139</v>
      </c>
      <c r="ED17" s="1">
        <v>992</v>
      </c>
      <c r="EF17" s="1">
        <v>10025</v>
      </c>
      <c r="EG17" s="1">
        <v>1988</v>
      </c>
      <c r="EI17" s="1">
        <v>10022.5</v>
      </c>
      <c r="EJ17" s="1">
        <v>1988</v>
      </c>
      <c r="EL17" s="1">
        <v>4023.2700000000004</v>
      </c>
      <c r="EM17" s="1">
        <v>1988</v>
      </c>
      <c r="EO17" s="1">
        <v>16348.45</v>
      </c>
      <c r="EP17" s="1">
        <v>1988</v>
      </c>
      <c r="ER17" s="1">
        <v>992</v>
      </c>
      <c r="ES17" s="1">
        <v>1988</v>
      </c>
      <c r="EX17" s="1">
        <v>193</v>
      </c>
      <c r="EY17" s="1">
        <v>1988</v>
      </c>
      <c r="FA17" s="1">
        <v>1215</v>
      </c>
      <c r="FB17" s="1">
        <v>1988</v>
      </c>
      <c r="FD17" s="1">
        <v>139</v>
      </c>
      <c r="FE17" s="1">
        <v>1988</v>
      </c>
      <c r="FG17" s="1">
        <v>10025</v>
      </c>
      <c r="FH17" s="1">
        <v>193</v>
      </c>
      <c r="FJ17" s="1">
        <v>10022.5</v>
      </c>
      <c r="FK17" s="1">
        <v>193</v>
      </c>
      <c r="FM17" s="1">
        <v>4023.2700000000004</v>
      </c>
      <c r="FN17" s="1">
        <v>193</v>
      </c>
      <c r="FP17" s="1">
        <v>16348.45</v>
      </c>
      <c r="FQ17" s="1">
        <v>193</v>
      </c>
      <c r="FS17" s="1">
        <v>992</v>
      </c>
      <c r="FT17" s="1">
        <v>193</v>
      </c>
      <c r="FV17" s="1">
        <v>1988</v>
      </c>
      <c r="FW17" s="1">
        <v>193</v>
      </c>
      <c r="GB17" s="1">
        <v>1215</v>
      </c>
      <c r="GC17" s="1">
        <v>193</v>
      </c>
      <c r="GE17" s="1">
        <v>139</v>
      </c>
      <c r="GF17" s="1">
        <v>193</v>
      </c>
      <c r="GH17" s="1">
        <v>10025</v>
      </c>
      <c r="GI17" s="1">
        <v>1215</v>
      </c>
      <c r="GK17" s="1">
        <v>10022.5</v>
      </c>
      <c r="GL17" s="1">
        <v>1215</v>
      </c>
      <c r="GN17" s="1">
        <v>4023.2700000000004</v>
      </c>
      <c r="GO17" s="1">
        <v>1215</v>
      </c>
      <c r="GQ17" s="1">
        <v>16348.45</v>
      </c>
      <c r="GR17" s="1">
        <v>1215</v>
      </c>
      <c r="GT17" s="1">
        <v>992</v>
      </c>
      <c r="GU17" s="1">
        <v>1215</v>
      </c>
      <c r="GW17" s="1">
        <v>1988</v>
      </c>
      <c r="GX17" s="1">
        <v>1215</v>
      </c>
      <c r="GZ17" s="1">
        <v>193</v>
      </c>
      <c r="HA17" s="1">
        <v>1215</v>
      </c>
      <c r="HF17" s="1">
        <v>139</v>
      </c>
      <c r="HG17" s="1">
        <v>1215</v>
      </c>
      <c r="HI17" s="1">
        <v>10025</v>
      </c>
      <c r="HJ17" s="1">
        <v>139</v>
      </c>
      <c r="HL17" s="1">
        <v>10022.5</v>
      </c>
      <c r="HM17" s="1">
        <v>139</v>
      </c>
      <c r="HO17" s="1">
        <v>4023.2700000000004</v>
      </c>
      <c r="HP17" s="1">
        <v>139</v>
      </c>
      <c r="HR17" s="1">
        <v>16348.45</v>
      </c>
      <c r="HS17" s="1">
        <v>139</v>
      </c>
      <c r="HU17" s="1">
        <v>992</v>
      </c>
      <c r="HV17" s="1">
        <v>139</v>
      </c>
      <c r="HX17" s="1">
        <v>1988</v>
      </c>
      <c r="HY17" s="1">
        <v>139</v>
      </c>
      <c r="IA17" s="1">
        <v>193</v>
      </c>
      <c r="IB17" s="1">
        <v>139</v>
      </c>
    </row>
    <row r="18" spans="4:236" x14ac:dyDescent="0.2">
      <c r="D18" s="1">
        <v>3639.5000000000005</v>
      </c>
      <c r="E18" s="1">
        <v>3642</v>
      </c>
      <c r="G18" s="1">
        <v>40860.699999999997</v>
      </c>
      <c r="H18" s="1">
        <v>4721</v>
      </c>
      <c r="J18" s="1">
        <v>107495.70000000001</v>
      </c>
      <c r="K18" s="1">
        <v>4721</v>
      </c>
      <c r="M18" s="1">
        <v>521</v>
      </c>
      <c r="N18" s="1">
        <v>10773</v>
      </c>
      <c r="P18" s="1">
        <v>1879</v>
      </c>
      <c r="Q18" s="1">
        <v>10773</v>
      </c>
      <c r="S18" s="1">
        <v>181</v>
      </c>
      <c r="T18" s="1">
        <v>10773</v>
      </c>
      <c r="V18" s="1">
        <v>461</v>
      </c>
      <c r="W18" s="1">
        <v>10773</v>
      </c>
      <c r="Y18" s="1">
        <v>154</v>
      </c>
      <c r="Z18" s="1">
        <v>10773</v>
      </c>
      <c r="AB18" s="1">
        <v>3642</v>
      </c>
      <c r="AC18" s="1">
        <v>3639.5000000000005</v>
      </c>
      <c r="AH18" s="1">
        <v>40860.699999999997</v>
      </c>
      <c r="AI18" s="1">
        <v>4718.5</v>
      </c>
      <c r="AK18" s="1">
        <v>107495.70000000001</v>
      </c>
      <c r="AL18" s="1">
        <v>4718.5</v>
      </c>
      <c r="AN18" s="1">
        <v>521</v>
      </c>
      <c r="AO18" s="1">
        <v>10770.499999999998</v>
      </c>
      <c r="AQ18" s="1">
        <v>1879</v>
      </c>
      <c r="AR18" s="1">
        <v>10770.499999999998</v>
      </c>
      <c r="AT18" s="1">
        <v>181</v>
      </c>
      <c r="AU18" s="1">
        <v>10770.499999999998</v>
      </c>
      <c r="AW18" s="1">
        <v>461</v>
      </c>
      <c r="AX18" s="1">
        <v>10770.499999999998</v>
      </c>
      <c r="AZ18" s="1">
        <v>154</v>
      </c>
      <c r="BA18" s="1">
        <v>10770.499999999998</v>
      </c>
      <c r="BC18" s="1">
        <v>4721</v>
      </c>
      <c r="BD18" s="1">
        <v>40860.699999999997</v>
      </c>
      <c r="BF18" s="1">
        <v>4718.5</v>
      </c>
      <c r="BG18" s="1">
        <v>40860.699999999997</v>
      </c>
      <c r="BL18" s="1">
        <v>107495.70000000001</v>
      </c>
      <c r="BM18" s="1">
        <v>40860.699999999997</v>
      </c>
      <c r="BO18" s="1">
        <v>521</v>
      </c>
      <c r="BP18" s="1">
        <v>7378.41</v>
      </c>
      <c r="BR18" s="1">
        <v>1879</v>
      </c>
      <c r="BS18" s="1">
        <v>7378.41</v>
      </c>
      <c r="BU18" s="1">
        <v>181</v>
      </c>
      <c r="BV18" s="1">
        <v>7378.41</v>
      </c>
      <c r="BX18" s="1">
        <v>461</v>
      </c>
      <c r="BY18" s="1">
        <v>7378.41</v>
      </c>
      <c r="CA18" s="1">
        <v>154</v>
      </c>
      <c r="CB18" s="1">
        <v>7378.41</v>
      </c>
      <c r="CD18" s="1">
        <v>4721</v>
      </c>
      <c r="CE18" s="1">
        <v>107495.70000000001</v>
      </c>
      <c r="CG18" s="1">
        <v>4718.5</v>
      </c>
      <c r="CH18" s="1">
        <v>107495.70000000001</v>
      </c>
      <c r="CJ18" s="1">
        <v>40860.699999999997</v>
      </c>
      <c r="CK18" s="1">
        <v>107495.70000000001</v>
      </c>
      <c r="CP18" s="1">
        <v>521</v>
      </c>
      <c r="CQ18" s="1">
        <v>26125.200000000001</v>
      </c>
      <c r="CS18" s="1">
        <v>1879</v>
      </c>
      <c r="CT18" s="1">
        <v>26125.200000000001</v>
      </c>
      <c r="CV18" s="1">
        <v>181</v>
      </c>
      <c r="CW18" s="1">
        <v>26125.200000000001</v>
      </c>
      <c r="CY18" s="1">
        <v>461</v>
      </c>
      <c r="CZ18" s="1">
        <v>26125.200000000001</v>
      </c>
      <c r="DB18" s="1">
        <v>154</v>
      </c>
      <c r="DC18" s="1">
        <v>26125.200000000001</v>
      </c>
      <c r="DE18" s="1">
        <v>10773</v>
      </c>
      <c r="DF18" s="1">
        <v>521</v>
      </c>
      <c r="DH18" s="1">
        <v>10770.499999999998</v>
      </c>
      <c r="DI18" s="1">
        <v>521</v>
      </c>
      <c r="DK18" s="1">
        <v>7378.41</v>
      </c>
      <c r="DL18" s="1">
        <v>521</v>
      </c>
      <c r="DN18" s="1">
        <v>26125.200000000001</v>
      </c>
      <c r="DO18" s="1">
        <v>521</v>
      </c>
      <c r="DT18" s="1">
        <v>1879</v>
      </c>
      <c r="DU18" s="1">
        <v>521</v>
      </c>
      <c r="DW18" s="1">
        <v>181</v>
      </c>
      <c r="DX18" s="1">
        <v>521</v>
      </c>
      <c r="DZ18" s="1">
        <v>461</v>
      </c>
      <c r="EA18" s="1">
        <v>521</v>
      </c>
      <c r="EC18" s="1">
        <v>154</v>
      </c>
      <c r="ED18" s="1">
        <v>521</v>
      </c>
      <c r="EF18" s="1">
        <v>10773</v>
      </c>
      <c r="EG18" s="1">
        <v>1879</v>
      </c>
      <c r="EI18" s="1">
        <v>10770.499999999998</v>
      </c>
      <c r="EJ18" s="1">
        <v>1879</v>
      </c>
      <c r="EL18" s="1">
        <v>7378.41</v>
      </c>
      <c r="EM18" s="1">
        <v>1879</v>
      </c>
      <c r="EO18" s="1">
        <v>26125.200000000001</v>
      </c>
      <c r="EP18" s="1">
        <v>1879</v>
      </c>
      <c r="ER18" s="1">
        <v>521</v>
      </c>
      <c r="ES18" s="1">
        <v>1879</v>
      </c>
      <c r="EX18" s="1">
        <v>181</v>
      </c>
      <c r="EY18" s="1">
        <v>1879</v>
      </c>
      <c r="FA18" s="1">
        <v>461</v>
      </c>
      <c r="FB18" s="1">
        <v>1879</v>
      </c>
      <c r="FD18" s="1">
        <v>154</v>
      </c>
      <c r="FE18" s="1">
        <v>1879</v>
      </c>
      <c r="FG18" s="1">
        <v>10773</v>
      </c>
      <c r="FH18" s="1">
        <v>181</v>
      </c>
      <c r="FJ18" s="1">
        <v>10770.499999999998</v>
      </c>
      <c r="FK18" s="1">
        <v>181</v>
      </c>
      <c r="FM18" s="1">
        <v>7378.41</v>
      </c>
      <c r="FN18" s="1">
        <v>181</v>
      </c>
      <c r="FP18" s="1">
        <v>26125.200000000001</v>
      </c>
      <c r="FQ18" s="1">
        <v>181</v>
      </c>
      <c r="FS18" s="1">
        <v>521</v>
      </c>
      <c r="FT18" s="1">
        <v>181</v>
      </c>
      <c r="FV18" s="1">
        <v>1879</v>
      </c>
      <c r="FW18" s="1">
        <v>181</v>
      </c>
      <c r="GB18" s="1">
        <v>461</v>
      </c>
      <c r="GC18" s="1">
        <v>181</v>
      </c>
      <c r="GE18" s="1">
        <v>154</v>
      </c>
      <c r="GF18" s="1">
        <v>181</v>
      </c>
      <c r="GH18" s="1">
        <v>10773</v>
      </c>
      <c r="GI18" s="1">
        <v>461</v>
      </c>
      <c r="GK18" s="1">
        <v>10770.499999999998</v>
      </c>
      <c r="GL18" s="1">
        <v>461</v>
      </c>
      <c r="GN18" s="1">
        <v>7378.41</v>
      </c>
      <c r="GO18" s="1">
        <v>461</v>
      </c>
      <c r="GQ18" s="1">
        <v>26125.200000000001</v>
      </c>
      <c r="GR18" s="1">
        <v>461</v>
      </c>
      <c r="GT18" s="1">
        <v>521</v>
      </c>
      <c r="GU18" s="1">
        <v>461</v>
      </c>
      <c r="GW18" s="1">
        <v>1879</v>
      </c>
      <c r="GX18" s="1">
        <v>461</v>
      </c>
      <c r="GZ18" s="1">
        <v>181</v>
      </c>
      <c r="HA18" s="1">
        <v>461</v>
      </c>
      <c r="HF18" s="1">
        <v>154</v>
      </c>
      <c r="HG18" s="1">
        <v>461</v>
      </c>
      <c r="HI18" s="1">
        <v>10773</v>
      </c>
      <c r="HJ18" s="1">
        <v>154</v>
      </c>
      <c r="HL18" s="1">
        <v>10770.499999999998</v>
      </c>
      <c r="HM18" s="1">
        <v>154</v>
      </c>
      <c r="HO18" s="1">
        <v>7378.41</v>
      </c>
      <c r="HP18" s="1">
        <v>154</v>
      </c>
      <c r="HR18" s="1">
        <v>26125.200000000001</v>
      </c>
      <c r="HS18" s="1">
        <v>154</v>
      </c>
      <c r="HU18" s="1">
        <v>521</v>
      </c>
      <c r="HV18" s="1">
        <v>154</v>
      </c>
      <c r="HX18" s="1">
        <v>1879</v>
      </c>
      <c r="HY18" s="1">
        <v>154</v>
      </c>
      <c r="IA18" s="1">
        <v>181</v>
      </c>
      <c r="IB18" s="1">
        <v>154</v>
      </c>
    </row>
    <row r="19" spans="4:236" x14ac:dyDescent="0.2">
      <c r="D19" s="1">
        <v>3503.5</v>
      </c>
      <c r="E19" s="1">
        <v>3506</v>
      </c>
      <c r="G19" s="1">
        <v>14503.1</v>
      </c>
      <c r="H19" s="1">
        <v>2370</v>
      </c>
      <c r="J19" s="1">
        <v>30981.699999999997</v>
      </c>
      <c r="K19" s="1">
        <v>2370</v>
      </c>
      <c r="M19" s="1">
        <v>724</v>
      </c>
      <c r="N19" s="1">
        <v>8483</v>
      </c>
      <c r="P19" s="1">
        <v>1846</v>
      </c>
      <c r="Q19" s="1">
        <v>8483</v>
      </c>
      <c r="S19" s="1">
        <v>318</v>
      </c>
      <c r="T19" s="1">
        <v>8483</v>
      </c>
      <c r="V19" s="1">
        <v>789</v>
      </c>
      <c r="W19" s="1">
        <v>8483</v>
      </c>
      <c r="Y19" s="1">
        <v>33</v>
      </c>
      <c r="Z19" s="1">
        <v>8483</v>
      </c>
      <c r="AB19" s="1">
        <v>3506</v>
      </c>
      <c r="AC19" s="1">
        <v>3503.5</v>
      </c>
      <c r="AH19" s="1">
        <v>14503.1</v>
      </c>
      <c r="AI19" s="1">
        <v>2367.5</v>
      </c>
      <c r="AK19" s="1">
        <v>30981.699999999997</v>
      </c>
      <c r="AL19" s="1">
        <v>2367.5</v>
      </c>
      <c r="AN19" s="1">
        <v>724</v>
      </c>
      <c r="AO19" s="1">
        <v>8480.5</v>
      </c>
      <c r="AQ19" s="1">
        <v>1846</v>
      </c>
      <c r="AR19" s="1">
        <v>8480.5</v>
      </c>
      <c r="AT19" s="1">
        <v>318</v>
      </c>
      <c r="AU19" s="1">
        <v>8480.5</v>
      </c>
      <c r="AW19" s="1">
        <v>789</v>
      </c>
      <c r="AX19" s="1">
        <v>8480.5</v>
      </c>
      <c r="AZ19" s="1">
        <v>33</v>
      </c>
      <c r="BA19" s="1">
        <v>8480.5</v>
      </c>
      <c r="BC19" s="1">
        <v>2370</v>
      </c>
      <c r="BD19" s="1">
        <v>14503.1</v>
      </c>
      <c r="BF19" s="1">
        <v>2367.5</v>
      </c>
      <c r="BG19" s="1">
        <v>14503.1</v>
      </c>
      <c r="BL19" s="1">
        <v>30981.699999999997</v>
      </c>
      <c r="BM19" s="1">
        <v>14503.1</v>
      </c>
      <c r="BO19" s="1">
        <v>724</v>
      </c>
      <c r="BP19" s="1">
        <v>4945.9500000000007</v>
      </c>
      <c r="BR19" s="1">
        <v>1846</v>
      </c>
      <c r="BS19" s="1">
        <v>4945.9500000000007</v>
      </c>
      <c r="BU19" s="1">
        <v>318</v>
      </c>
      <c r="BV19" s="1">
        <v>4945.9500000000007</v>
      </c>
      <c r="BX19" s="1">
        <v>789</v>
      </c>
      <c r="BY19" s="1">
        <v>4945.9500000000007</v>
      </c>
      <c r="CA19" s="1">
        <v>33</v>
      </c>
      <c r="CB19" s="1">
        <v>4945.9500000000007</v>
      </c>
      <c r="CD19" s="1">
        <v>2370</v>
      </c>
      <c r="CE19" s="1">
        <v>30981.699999999997</v>
      </c>
      <c r="CG19" s="1">
        <v>2367.5</v>
      </c>
      <c r="CH19" s="1">
        <v>30981.699999999997</v>
      </c>
      <c r="CJ19" s="1">
        <v>14503.1</v>
      </c>
      <c r="CK19" s="1">
        <v>30981.699999999997</v>
      </c>
      <c r="CP19" s="1">
        <v>724</v>
      </c>
      <c r="CQ19" s="1">
        <v>19818.599999999999</v>
      </c>
      <c r="CS19" s="1">
        <v>1846</v>
      </c>
      <c r="CT19" s="1">
        <v>19818.599999999999</v>
      </c>
      <c r="CV19" s="1">
        <v>318</v>
      </c>
      <c r="CW19" s="1">
        <v>19818.599999999999</v>
      </c>
      <c r="CY19" s="1">
        <v>789</v>
      </c>
      <c r="CZ19" s="1">
        <v>19818.599999999999</v>
      </c>
      <c r="DB19" s="1">
        <v>33</v>
      </c>
      <c r="DC19" s="1">
        <v>19818.599999999999</v>
      </c>
      <c r="DE19" s="1">
        <v>8483</v>
      </c>
      <c r="DF19" s="1">
        <v>724</v>
      </c>
      <c r="DH19" s="1">
        <v>8480.5</v>
      </c>
      <c r="DI19" s="1">
        <v>724</v>
      </c>
      <c r="DK19" s="1">
        <v>4945.9500000000007</v>
      </c>
      <c r="DL19" s="1">
        <v>724</v>
      </c>
      <c r="DN19" s="1">
        <v>19818.599999999999</v>
      </c>
      <c r="DO19" s="1">
        <v>724</v>
      </c>
      <c r="DT19" s="1">
        <v>1846</v>
      </c>
      <c r="DU19" s="1">
        <v>724</v>
      </c>
      <c r="DW19" s="1">
        <v>318</v>
      </c>
      <c r="DX19" s="1">
        <v>724</v>
      </c>
      <c r="DZ19" s="1">
        <v>789</v>
      </c>
      <c r="EA19" s="1">
        <v>724</v>
      </c>
      <c r="EC19" s="1">
        <v>33</v>
      </c>
      <c r="ED19" s="1">
        <v>724</v>
      </c>
      <c r="EF19" s="1">
        <v>8483</v>
      </c>
      <c r="EG19" s="1">
        <v>1846</v>
      </c>
      <c r="EI19" s="1">
        <v>8480.5</v>
      </c>
      <c r="EJ19" s="1">
        <v>1846</v>
      </c>
      <c r="EL19" s="1">
        <v>4945.9500000000007</v>
      </c>
      <c r="EM19" s="1">
        <v>1846</v>
      </c>
      <c r="EO19" s="1">
        <v>19818.599999999999</v>
      </c>
      <c r="EP19" s="1">
        <v>1846</v>
      </c>
      <c r="ER19" s="1">
        <v>724</v>
      </c>
      <c r="ES19" s="1">
        <v>1846</v>
      </c>
      <c r="EX19" s="1">
        <v>318</v>
      </c>
      <c r="EY19" s="1">
        <v>1846</v>
      </c>
      <c r="FA19" s="1">
        <v>789</v>
      </c>
      <c r="FB19" s="1">
        <v>1846</v>
      </c>
      <c r="FD19" s="1">
        <v>33</v>
      </c>
      <c r="FE19" s="1">
        <v>1846</v>
      </c>
      <c r="FG19" s="1">
        <v>8483</v>
      </c>
      <c r="FH19" s="1">
        <v>318</v>
      </c>
      <c r="FJ19" s="1">
        <v>8480.5</v>
      </c>
      <c r="FK19" s="1">
        <v>318</v>
      </c>
      <c r="FM19" s="1">
        <v>4945.9500000000007</v>
      </c>
      <c r="FN19" s="1">
        <v>318</v>
      </c>
      <c r="FP19" s="1">
        <v>19818.599999999999</v>
      </c>
      <c r="FQ19" s="1">
        <v>318</v>
      </c>
      <c r="FS19" s="1">
        <v>724</v>
      </c>
      <c r="FT19" s="1">
        <v>318</v>
      </c>
      <c r="FV19" s="1">
        <v>1846</v>
      </c>
      <c r="FW19" s="1">
        <v>318</v>
      </c>
      <c r="GB19" s="1">
        <v>789</v>
      </c>
      <c r="GC19" s="1">
        <v>318</v>
      </c>
      <c r="GE19" s="1">
        <v>33</v>
      </c>
      <c r="GF19" s="1">
        <v>318</v>
      </c>
      <c r="GH19" s="1">
        <v>8483</v>
      </c>
      <c r="GI19" s="1">
        <v>789</v>
      </c>
      <c r="GK19" s="1">
        <v>8480.5</v>
      </c>
      <c r="GL19" s="1">
        <v>789</v>
      </c>
      <c r="GN19" s="1">
        <v>4945.9500000000007</v>
      </c>
      <c r="GO19" s="1">
        <v>789</v>
      </c>
      <c r="GQ19" s="1">
        <v>19818.599999999999</v>
      </c>
      <c r="GR19" s="1">
        <v>789</v>
      </c>
      <c r="GT19" s="1">
        <v>724</v>
      </c>
      <c r="GU19" s="1">
        <v>789</v>
      </c>
      <c r="GW19" s="1">
        <v>1846</v>
      </c>
      <c r="GX19" s="1">
        <v>789</v>
      </c>
      <c r="GZ19" s="1">
        <v>318</v>
      </c>
      <c r="HA19" s="1">
        <v>789</v>
      </c>
      <c r="HF19" s="1">
        <v>33</v>
      </c>
      <c r="HG19" s="1">
        <v>789</v>
      </c>
      <c r="HI19" s="1">
        <v>8483</v>
      </c>
      <c r="HJ19" s="1">
        <v>33</v>
      </c>
      <c r="HL19" s="1">
        <v>8480.5</v>
      </c>
      <c r="HM19" s="1">
        <v>33</v>
      </c>
      <c r="HO19" s="1">
        <v>4945.9500000000007</v>
      </c>
      <c r="HP19" s="1">
        <v>33</v>
      </c>
      <c r="HR19" s="1">
        <v>19818.599999999999</v>
      </c>
      <c r="HS19" s="1">
        <v>33</v>
      </c>
      <c r="HU19" s="1">
        <v>724</v>
      </c>
      <c r="HV19" s="1">
        <v>33</v>
      </c>
      <c r="HX19" s="1">
        <v>1846</v>
      </c>
      <c r="HY19" s="1">
        <v>33</v>
      </c>
      <c r="IA19" s="1">
        <v>318</v>
      </c>
      <c r="IB19" s="1">
        <v>33</v>
      </c>
    </row>
    <row r="20" spans="4:236" x14ac:dyDescent="0.2">
      <c r="D20" s="1">
        <v>1971.5</v>
      </c>
      <c r="E20" s="1">
        <v>1974</v>
      </c>
      <c r="G20" s="1">
        <v>22614.1</v>
      </c>
      <c r="H20" s="1">
        <v>3900</v>
      </c>
      <c r="J20" s="1">
        <v>60592.899999999994</v>
      </c>
      <c r="K20" s="1">
        <v>3900</v>
      </c>
      <c r="M20" s="1">
        <v>503</v>
      </c>
      <c r="N20" s="1">
        <v>10618</v>
      </c>
      <c r="P20" s="1">
        <v>1163</v>
      </c>
      <c r="Q20" s="1">
        <v>10618</v>
      </c>
      <c r="S20" s="1">
        <v>276</v>
      </c>
      <c r="T20" s="1">
        <v>10618</v>
      </c>
      <c r="V20" s="1">
        <v>352</v>
      </c>
      <c r="W20" s="1">
        <v>10618</v>
      </c>
      <c r="Y20" s="1">
        <v>61</v>
      </c>
      <c r="Z20" s="1">
        <v>10618</v>
      </c>
      <c r="AB20" s="1">
        <v>1974</v>
      </c>
      <c r="AC20" s="1">
        <v>1971.5</v>
      </c>
      <c r="AH20" s="1">
        <v>22614.1</v>
      </c>
      <c r="AI20" s="1">
        <v>3897.5</v>
      </c>
      <c r="AK20" s="1">
        <v>60592.899999999994</v>
      </c>
      <c r="AL20" s="1">
        <v>3897.5</v>
      </c>
      <c r="AN20" s="1">
        <v>503</v>
      </c>
      <c r="AO20" s="1">
        <v>10615.499999999998</v>
      </c>
      <c r="AQ20" s="1">
        <v>1163</v>
      </c>
      <c r="AR20" s="1">
        <v>10615.499999999998</v>
      </c>
      <c r="AT20" s="1">
        <v>276</v>
      </c>
      <c r="AU20" s="1">
        <v>10615.499999999998</v>
      </c>
      <c r="AW20" s="1">
        <v>352</v>
      </c>
      <c r="AX20" s="1">
        <v>10615.499999999998</v>
      </c>
      <c r="AZ20" s="1">
        <v>61</v>
      </c>
      <c r="BA20" s="1">
        <v>10615.499999999998</v>
      </c>
      <c r="BC20" s="1">
        <v>3900</v>
      </c>
      <c r="BD20" s="1">
        <v>22614.1</v>
      </c>
      <c r="BF20" s="1">
        <v>3897.5</v>
      </c>
      <c r="BG20" s="1">
        <v>22614.1</v>
      </c>
      <c r="BL20" s="1">
        <v>60592.899999999994</v>
      </c>
      <c r="BM20" s="1">
        <v>22614.1</v>
      </c>
      <c r="BO20" s="1">
        <v>503</v>
      </c>
      <c r="BP20" s="1">
        <v>9728.1</v>
      </c>
      <c r="BR20" s="1">
        <v>1163</v>
      </c>
      <c r="BS20" s="1">
        <v>9728.1</v>
      </c>
      <c r="BU20" s="1">
        <v>276</v>
      </c>
      <c r="BV20" s="1">
        <v>9728.1</v>
      </c>
      <c r="BX20" s="1">
        <v>352</v>
      </c>
      <c r="BY20" s="1">
        <v>9728.1</v>
      </c>
      <c r="CA20" s="1">
        <v>61</v>
      </c>
      <c r="CB20" s="1">
        <v>9728.1</v>
      </c>
      <c r="CD20" s="1">
        <v>3900</v>
      </c>
      <c r="CE20" s="1">
        <v>60592.899999999994</v>
      </c>
      <c r="CG20" s="1">
        <v>3897.5</v>
      </c>
      <c r="CH20" s="1">
        <v>60592.899999999994</v>
      </c>
      <c r="CJ20" s="1">
        <v>22614.1</v>
      </c>
      <c r="CK20" s="1">
        <v>60592.899999999994</v>
      </c>
      <c r="CP20" s="1">
        <v>503</v>
      </c>
      <c r="CQ20" s="1">
        <v>31698.45</v>
      </c>
      <c r="CS20" s="1">
        <v>1163</v>
      </c>
      <c r="CT20" s="1">
        <v>31698.45</v>
      </c>
      <c r="CV20" s="1">
        <v>276</v>
      </c>
      <c r="CW20" s="1">
        <v>31698.45</v>
      </c>
      <c r="CY20" s="1">
        <v>352</v>
      </c>
      <c r="CZ20" s="1">
        <v>31698.45</v>
      </c>
      <c r="DB20" s="1">
        <v>61</v>
      </c>
      <c r="DC20" s="1">
        <v>31698.45</v>
      </c>
      <c r="DE20" s="1">
        <v>10618</v>
      </c>
      <c r="DF20" s="1">
        <v>503</v>
      </c>
      <c r="DH20" s="1">
        <v>10615.499999999998</v>
      </c>
      <c r="DI20" s="1">
        <v>503</v>
      </c>
      <c r="DK20" s="1">
        <v>9728.1</v>
      </c>
      <c r="DL20" s="1">
        <v>503</v>
      </c>
      <c r="DN20" s="1">
        <v>31698.45</v>
      </c>
      <c r="DO20" s="1">
        <v>503</v>
      </c>
      <c r="DT20" s="1">
        <v>1163</v>
      </c>
      <c r="DU20" s="1">
        <v>503</v>
      </c>
      <c r="DW20" s="1">
        <v>276</v>
      </c>
      <c r="DX20" s="1">
        <v>503</v>
      </c>
      <c r="DZ20" s="1">
        <v>352</v>
      </c>
      <c r="EA20" s="1">
        <v>503</v>
      </c>
      <c r="EC20" s="1">
        <v>61</v>
      </c>
      <c r="ED20" s="1">
        <v>503</v>
      </c>
      <c r="EF20" s="1">
        <v>10618</v>
      </c>
      <c r="EG20" s="1">
        <v>1163</v>
      </c>
      <c r="EI20" s="1">
        <v>10615.499999999998</v>
      </c>
      <c r="EJ20" s="1">
        <v>1163</v>
      </c>
      <c r="EL20" s="1">
        <v>9728.1</v>
      </c>
      <c r="EM20" s="1">
        <v>1163</v>
      </c>
      <c r="EO20" s="1">
        <v>31698.45</v>
      </c>
      <c r="EP20" s="1">
        <v>1163</v>
      </c>
      <c r="ER20" s="1">
        <v>503</v>
      </c>
      <c r="ES20" s="1">
        <v>1163</v>
      </c>
      <c r="EX20" s="1">
        <v>276</v>
      </c>
      <c r="EY20" s="1">
        <v>1163</v>
      </c>
      <c r="FA20" s="1">
        <v>352</v>
      </c>
      <c r="FB20" s="1">
        <v>1163</v>
      </c>
      <c r="FD20" s="1">
        <v>61</v>
      </c>
      <c r="FE20" s="1">
        <v>1163</v>
      </c>
      <c r="FG20" s="1">
        <v>10618</v>
      </c>
      <c r="FH20" s="1">
        <v>276</v>
      </c>
      <c r="FJ20" s="1">
        <v>10615.499999999998</v>
      </c>
      <c r="FK20" s="1">
        <v>276</v>
      </c>
      <c r="FM20" s="1">
        <v>9728.1</v>
      </c>
      <c r="FN20" s="1">
        <v>276</v>
      </c>
      <c r="FP20" s="1">
        <v>31698.45</v>
      </c>
      <c r="FQ20" s="1">
        <v>276</v>
      </c>
      <c r="FS20" s="1">
        <v>503</v>
      </c>
      <c r="FT20" s="1">
        <v>276</v>
      </c>
      <c r="FV20" s="1">
        <v>1163</v>
      </c>
      <c r="FW20" s="1">
        <v>276</v>
      </c>
      <c r="GB20" s="1">
        <v>352</v>
      </c>
      <c r="GC20" s="1">
        <v>276</v>
      </c>
      <c r="GE20" s="1">
        <v>61</v>
      </c>
      <c r="GF20" s="1">
        <v>276</v>
      </c>
      <c r="GH20" s="1">
        <v>10618</v>
      </c>
      <c r="GI20" s="1">
        <v>352</v>
      </c>
      <c r="GK20" s="1">
        <v>10615.499999999998</v>
      </c>
      <c r="GL20" s="1">
        <v>352</v>
      </c>
      <c r="GN20" s="1">
        <v>9728.1</v>
      </c>
      <c r="GO20" s="1">
        <v>352</v>
      </c>
      <c r="GQ20" s="1">
        <v>31698.45</v>
      </c>
      <c r="GR20" s="1">
        <v>352</v>
      </c>
      <c r="GT20" s="1">
        <v>503</v>
      </c>
      <c r="GU20" s="1">
        <v>352</v>
      </c>
      <c r="GW20" s="1">
        <v>1163</v>
      </c>
      <c r="GX20" s="1">
        <v>352</v>
      </c>
      <c r="GZ20" s="1">
        <v>276</v>
      </c>
      <c r="HA20" s="1">
        <v>352</v>
      </c>
      <c r="HF20" s="1">
        <v>61</v>
      </c>
      <c r="HG20" s="1">
        <v>352</v>
      </c>
      <c r="HI20" s="1">
        <v>10618</v>
      </c>
      <c r="HJ20" s="1">
        <v>61</v>
      </c>
      <c r="HL20" s="1">
        <v>10615.499999999998</v>
      </c>
      <c r="HM20" s="1">
        <v>61</v>
      </c>
      <c r="HO20" s="1">
        <v>9728.1</v>
      </c>
      <c r="HP20" s="1">
        <v>61</v>
      </c>
      <c r="HR20" s="1">
        <v>31698.45</v>
      </c>
      <c r="HS20" s="1">
        <v>61</v>
      </c>
      <c r="HU20" s="1">
        <v>503</v>
      </c>
      <c r="HV20" s="1">
        <v>61</v>
      </c>
      <c r="HX20" s="1">
        <v>1163</v>
      </c>
      <c r="HY20" s="1">
        <v>61</v>
      </c>
      <c r="IA20" s="1">
        <v>276</v>
      </c>
      <c r="IB20" s="1">
        <v>61</v>
      </c>
    </row>
    <row r="21" spans="4:236" x14ac:dyDescent="0.2">
      <c r="D21" s="1">
        <v>5083.5</v>
      </c>
      <c r="E21" s="1">
        <v>5086</v>
      </c>
      <c r="G21" s="1">
        <v>13112.2</v>
      </c>
      <c r="H21" s="1">
        <v>3895</v>
      </c>
      <c r="J21" s="1">
        <v>38789.399999999994</v>
      </c>
      <c r="K21" s="1">
        <v>3895</v>
      </c>
      <c r="M21" s="1">
        <v>492</v>
      </c>
      <c r="N21" s="1">
        <v>11573</v>
      </c>
      <c r="P21" s="1">
        <v>1338</v>
      </c>
      <c r="Q21" s="1">
        <v>11573</v>
      </c>
      <c r="S21" s="1">
        <v>170</v>
      </c>
      <c r="T21" s="1">
        <v>11573</v>
      </c>
      <c r="V21" s="1">
        <v>267</v>
      </c>
      <c r="W21" s="1">
        <v>11573</v>
      </c>
      <c r="Y21" s="1">
        <v>130</v>
      </c>
      <c r="Z21" s="1">
        <v>11573</v>
      </c>
      <c r="AB21" s="1">
        <v>5086</v>
      </c>
      <c r="AC21" s="1">
        <v>5083.5</v>
      </c>
      <c r="AH21" s="1">
        <v>13112.2</v>
      </c>
      <c r="AI21" s="1">
        <v>3892.5</v>
      </c>
      <c r="AK21" s="1">
        <v>38789.399999999994</v>
      </c>
      <c r="AL21" s="1">
        <v>3892.5</v>
      </c>
      <c r="AN21" s="1">
        <v>492</v>
      </c>
      <c r="AO21" s="1">
        <v>11570.499999999998</v>
      </c>
      <c r="AQ21" s="1">
        <v>1338</v>
      </c>
      <c r="AR21" s="1">
        <v>11570.499999999998</v>
      </c>
      <c r="AT21" s="1">
        <v>170</v>
      </c>
      <c r="AU21" s="1">
        <v>11570.499999999998</v>
      </c>
      <c r="AW21" s="1">
        <v>267</v>
      </c>
      <c r="AX21" s="1">
        <v>11570.499999999998</v>
      </c>
      <c r="AZ21" s="1">
        <v>130</v>
      </c>
      <c r="BA21" s="1">
        <v>11570.499999999998</v>
      </c>
      <c r="BC21" s="1">
        <v>3895</v>
      </c>
      <c r="BD21" s="1">
        <v>13112.2</v>
      </c>
      <c r="BF21" s="1">
        <v>3892.5</v>
      </c>
      <c r="BG21" s="1">
        <v>13112.2</v>
      </c>
      <c r="BL21" s="1">
        <v>38789.399999999994</v>
      </c>
      <c r="BM21" s="1">
        <v>13112.2</v>
      </c>
      <c r="BO21" s="1">
        <v>492</v>
      </c>
      <c r="BP21" s="1">
        <v>22311.38</v>
      </c>
      <c r="BR21" s="1">
        <v>1338</v>
      </c>
      <c r="BS21" s="1">
        <v>22311.38</v>
      </c>
      <c r="BU21" s="1">
        <v>170</v>
      </c>
      <c r="BV21" s="1">
        <v>22311.38</v>
      </c>
      <c r="BX21" s="1">
        <v>267</v>
      </c>
      <c r="BY21" s="1">
        <v>22311.38</v>
      </c>
      <c r="CA21" s="1">
        <v>130</v>
      </c>
      <c r="CB21" s="1">
        <v>22311.38</v>
      </c>
      <c r="CD21" s="1">
        <v>3895</v>
      </c>
      <c r="CE21" s="1">
        <v>38789.399999999994</v>
      </c>
      <c r="CG21" s="1">
        <v>3892.5</v>
      </c>
      <c r="CH21" s="1">
        <v>38789.399999999994</v>
      </c>
      <c r="CJ21" s="1">
        <v>13112.2</v>
      </c>
      <c r="CK21" s="1">
        <v>38789.399999999994</v>
      </c>
      <c r="CP21" s="1">
        <v>492</v>
      </c>
      <c r="CQ21" s="1">
        <v>42951.46</v>
      </c>
      <c r="CS21" s="1">
        <v>1338</v>
      </c>
      <c r="CT21" s="1">
        <v>42951.46</v>
      </c>
      <c r="CV21" s="1">
        <v>170</v>
      </c>
      <c r="CW21" s="1">
        <v>42951.46</v>
      </c>
      <c r="CY21" s="1">
        <v>267</v>
      </c>
      <c r="CZ21" s="1">
        <v>42951.46</v>
      </c>
      <c r="DB21" s="1">
        <v>130</v>
      </c>
      <c r="DC21" s="1">
        <v>42951.46</v>
      </c>
      <c r="DE21" s="1">
        <v>11573</v>
      </c>
      <c r="DF21" s="1">
        <v>492</v>
      </c>
      <c r="DH21" s="1">
        <v>11570.499999999998</v>
      </c>
      <c r="DI21" s="1">
        <v>492</v>
      </c>
      <c r="DK21" s="1">
        <v>22311.38</v>
      </c>
      <c r="DL21" s="1">
        <v>492</v>
      </c>
      <c r="DN21" s="1">
        <v>42951.46</v>
      </c>
      <c r="DO21" s="1">
        <v>492</v>
      </c>
      <c r="DT21" s="1">
        <v>1338</v>
      </c>
      <c r="DU21" s="1">
        <v>492</v>
      </c>
      <c r="DW21" s="1">
        <v>170</v>
      </c>
      <c r="DX21" s="1">
        <v>492</v>
      </c>
      <c r="DZ21" s="1">
        <v>267</v>
      </c>
      <c r="EA21" s="1">
        <v>492</v>
      </c>
      <c r="EC21" s="1">
        <v>130</v>
      </c>
      <c r="ED21" s="1">
        <v>492</v>
      </c>
      <c r="EF21" s="1">
        <v>11573</v>
      </c>
      <c r="EG21" s="1">
        <v>1338</v>
      </c>
      <c r="EI21" s="1">
        <v>11570.499999999998</v>
      </c>
      <c r="EJ21" s="1">
        <v>1338</v>
      </c>
      <c r="EL21" s="1">
        <v>22311.38</v>
      </c>
      <c r="EM21" s="1">
        <v>1338</v>
      </c>
      <c r="EO21" s="1">
        <v>42951.46</v>
      </c>
      <c r="EP21" s="1">
        <v>1338</v>
      </c>
      <c r="ER21" s="1">
        <v>492</v>
      </c>
      <c r="ES21" s="1">
        <v>1338</v>
      </c>
      <c r="EX21" s="1">
        <v>170</v>
      </c>
      <c r="EY21" s="1">
        <v>1338</v>
      </c>
      <c r="FA21" s="1">
        <v>267</v>
      </c>
      <c r="FB21" s="1">
        <v>1338</v>
      </c>
      <c r="FD21" s="1">
        <v>130</v>
      </c>
      <c r="FE21" s="1">
        <v>1338</v>
      </c>
      <c r="FG21" s="1">
        <v>11573</v>
      </c>
      <c r="FH21" s="1">
        <v>170</v>
      </c>
      <c r="FJ21" s="1">
        <v>11570.499999999998</v>
      </c>
      <c r="FK21" s="1">
        <v>170</v>
      </c>
      <c r="FM21" s="1">
        <v>22311.38</v>
      </c>
      <c r="FN21" s="1">
        <v>170</v>
      </c>
      <c r="FP21" s="1">
        <v>42951.46</v>
      </c>
      <c r="FQ21" s="1">
        <v>170</v>
      </c>
      <c r="FS21" s="1">
        <v>492</v>
      </c>
      <c r="FT21" s="1">
        <v>170</v>
      </c>
      <c r="FV21" s="1">
        <v>1338</v>
      </c>
      <c r="FW21" s="1">
        <v>170</v>
      </c>
      <c r="GB21" s="1">
        <v>267</v>
      </c>
      <c r="GC21" s="1">
        <v>170</v>
      </c>
      <c r="GE21" s="1">
        <v>130</v>
      </c>
      <c r="GF21" s="1">
        <v>170</v>
      </c>
      <c r="GH21" s="1">
        <v>11573</v>
      </c>
      <c r="GI21" s="1">
        <v>267</v>
      </c>
      <c r="GK21" s="1">
        <v>11570.499999999998</v>
      </c>
      <c r="GL21" s="1">
        <v>267</v>
      </c>
      <c r="GN21" s="1">
        <v>22311.38</v>
      </c>
      <c r="GO21" s="1">
        <v>267</v>
      </c>
      <c r="GQ21" s="1">
        <v>42951.46</v>
      </c>
      <c r="GR21" s="1">
        <v>267</v>
      </c>
      <c r="GT21" s="1">
        <v>492</v>
      </c>
      <c r="GU21" s="1">
        <v>267</v>
      </c>
      <c r="GW21" s="1">
        <v>1338</v>
      </c>
      <c r="GX21" s="1">
        <v>267</v>
      </c>
      <c r="GZ21" s="1">
        <v>170</v>
      </c>
      <c r="HA21" s="1">
        <v>267</v>
      </c>
      <c r="HF21" s="1">
        <v>130</v>
      </c>
      <c r="HG21" s="1">
        <v>267</v>
      </c>
      <c r="HI21" s="1">
        <v>11573</v>
      </c>
      <c r="HJ21" s="1">
        <v>130</v>
      </c>
      <c r="HL21" s="1">
        <v>11570.499999999998</v>
      </c>
      <c r="HM21" s="1">
        <v>130</v>
      </c>
      <c r="HO21" s="1">
        <v>22311.38</v>
      </c>
      <c r="HP21" s="1">
        <v>130</v>
      </c>
      <c r="HR21" s="1">
        <v>42951.46</v>
      </c>
      <c r="HS21" s="1">
        <v>130</v>
      </c>
      <c r="HU21" s="1">
        <v>492</v>
      </c>
      <c r="HV21" s="1">
        <v>130</v>
      </c>
      <c r="HX21" s="1">
        <v>1338</v>
      </c>
      <c r="HY21" s="1">
        <v>130</v>
      </c>
      <c r="IA21" s="1">
        <v>170</v>
      </c>
      <c r="IB21" s="1">
        <v>130</v>
      </c>
    </row>
    <row r="22" spans="4:236" x14ac:dyDescent="0.2">
      <c r="D22" s="1">
        <v>2391.5</v>
      </c>
      <c r="E22" s="1">
        <v>2394</v>
      </c>
      <c r="G22" s="1">
        <v>85108.7</v>
      </c>
      <c r="H22" s="1">
        <v>8243</v>
      </c>
      <c r="J22" s="1">
        <v>198643.09999999998</v>
      </c>
      <c r="K22" s="1">
        <v>8243</v>
      </c>
      <c r="M22" s="1">
        <v>728</v>
      </c>
      <c r="N22" s="1">
        <v>6996</v>
      </c>
      <c r="P22" s="1">
        <v>1932</v>
      </c>
      <c r="Q22" s="1">
        <v>6996</v>
      </c>
      <c r="S22" s="1">
        <v>297</v>
      </c>
      <c r="T22" s="1">
        <v>6996</v>
      </c>
      <c r="V22" s="1">
        <v>564</v>
      </c>
      <c r="W22" s="1">
        <v>6996</v>
      </c>
      <c r="Y22" s="1">
        <v>42</v>
      </c>
      <c r="Z22" s="1">
        <v>6996</v>
      </c>
      <c r="AB22" s="1">
        <v>2394</v>
      </c>
      <c r="AC22" s="1">
        <v>2391.5</v>
      </c>
      <c r="AH22" s="1">
        <v>85108.7</v>
      </c>
      <c r="AI22" s="1">
        <v>8240.5</v>
      </c>
      <c r="AK22" s="1">
        <v>198643.09999999998</v>
      </c>
      <c r="AL22" s="1">
        <v>8240.5</v>
      </c>
      <c r="AN22" s="1">
        <v>728</v>
      </c>
      <c r="AO22" s="1">
        <v>6993.5</v>
      </c>
      <c r="AQ22" s="1">
        <v>1932</v>
      </c>
      <c r="AR22" s="1">
        <v>6993.5</v>
      </c>
      <c r="AT22" s="1">
        <v>297</v>
      </c>
      <c r="AU22" s="1">
        <v>6993.5</v>
      </c>
      <c r="AW22" s="1">
        <v>564</v>
      </c>
      <c r="AX22" s="1">
        <v>6993.5</v>
      </c>
      <c r="AZ22" s="1">
        <v>42</v>
      </c>
      <c r="BA22" s="1">
        <v>6993.5</v>
      </c>
      <c r="BC22" s="1">
        <v>8243</v>
      </c>
      <c r="BD22" s="1">
        <v>85108.7</v>
      </c>
      <c r="BF22" s="1">
        <v>8240.5</v>
      </c>
      <c r="BG22" s="1">
        <v>85108.7</v>
      </c>
      <c r="BL22" s="1">
        <v>198643.09999999998</v>
      </c>
      <c r="BM22" s="1">
        <v>85108.7</v>
      </c>
      <c r="BO22" s="1">
        <v>728</v>
      </c>
      <c r="BP22" s="1">
        <v>55532.800000000003</v>
      </c>
      <c r="BR22" s="1">
        <v>1932</v>
      </c>
      <c r="BS22" s="1">
        <v>55532.800000000003</v>
      </c>
      <c r="BU22" s="1">
        <v>297</v>
      </c>
      <c r="BV22" s="1">
        <v>55532.800000000003</v>
      </c>
      <c r="BX22" s="1">
        <v>564</v>
      </c>
      <c r="BY22" s="1">
        <v>55532.800000000003</v>
      </c>
      <c r="CA22" s="1">
        <v>42</v>
      </c>
      <c r="CB22" s="1">
        <v>55532.800000000003</v>
      </c>
      <c r="CD22" s="1">
        <v>8243</v>
      </c>
      <c r="CE22" s="1">
        <v>198643.09999999998</v>
      </c>
      <c r="CG22" s="1">
        <v>8240.5</v>
      </c>
      <c r="CH22" s="1">
        <v>198643.09999999998</v>
      </c>
      <c r="CJ22" s="1">
        <v>85108.7</v>
      </c>
      <c r="CK22" s="1">
        <v>198643.09999999998</v>
      </c>
      <c r="CP22" s="1">
        <v>728</v>
      </c>
      <c r="CQ22" s="1">
        <v>97535.040000000008</v>
      </c>
      <c r="CS22" s="1">
        <v>1932</v>
      </c>
      <c r="CT22" s="1">
        <v>97535.040000000008</v>
      </c>
      <c r="CV22" s="1">
        <v>297</v>
      </c>
      <c r="CW22" s="1">
        <v>97535.040000000008</v>
      </c>
      <c r="CY22" s="1">
        <v>564</v>
      </c>
      <c r="CZ22" s="1">
        <v>97535.040000000008</v>
      </c>
      <c r="DB22" s="1">
        <v>42</v>
      </c>
      <c r="DC22" s="1">
        <v>97535.040000000008</v>
      </c>
      <c r="DE22" s="1">
        <v>6996</v>
      </c>
      <c r="DF22" s="1">
        <v>728</v>
      </c>
      <c r="DH22" s="1">
        <v>6993.5</v>
      </c>
      <c r="DI22" s="1">
        <v>728</v>
      </c>
      <c r="DK22" s="1">
        <v>55532.800000000003</v>
      </c>
      <c r="DL22" s="1">
        <v>728</v>
      </c>
      <c r="DN22" s="1">
        <v>97535.040000000008</v>
      </c>
      <c r="DO22" s="1">
        <v>728</v>
      </c>
      <c r="DT22" s="1">
        <v>1932</v>
      </c>
      <c r="DU22" s="1">
        <v>728</v>
      </c>
      <c r="DW22" s="1">
        <v>297</v>
      </c>
      <c r="DX22" s="1">
        <v>728</v>
      </c>
      <c r="DZ22" s="1">
        <v>564</v>
      </c>
      <c r="EA22" s="1">
        <v>728</v>
      </c>
      <c r="EC22" s="1">
        <v>42</v>
      </c>
      <c r="ED22" s="1">
        <v>728</v>
      </c>
      <c r="EF22" s="1">
        <v>6996</v>
      </c>
      <c r="EG22" s="1">
        <v>1932</v>
      </c>
      <c r="EI22" s="1">
        <v>6993.5</v>
      </c>
      <c r="EJ22" s="1">
        <v>1932</v>
      </c>
      <c r="EL22" s="1">
        <v>55532.800000000003</v>
      </c>
      <c r="EM22" s="1">
        <v>1932</v>
      </c>
      <c r="EO22" s="1">
        <v>97535.040000000008</v>
      </c>
      <c r="EP22" s="1">
        <v>1932</v>
      </c>
      <c r="ER22" s="1">
        <v>728</v>
      </c>
      <c r="ES22" s="1">
        <v>1932</v>
      </c>
      <c r="EX22" s="1">
        <v>297</v>
      </c>
      <c r="EY22" s="1">
        <v>1932</v>
      </c>
      <c r="FA22" s="1">
        <v>564</v>
      </c>
      <c r="FB22" s="1">
        <v>1932</v>
      </c>
      <c r="FD22" s="1">
        <v>42</v>
      </c>
      <c r="FE22" s="1">
        <v>1932</v>
      </c>
      <c r="FG22" s="1">
        <v>6996</v>
      </c>
      <c r="FH22" s="1">
        <v>297</v>
      </c>
      <c r="FJ22" s="1">
        <v>6993.5</v>
      </c>
      <c r="FK22" s="1">
        <v>297</v>
      </c>
      <c r="FM22" s="1">
        <v>55532.800000000003</v>
      </c>
      <c r="FN22" s="1">
        <v>297</v>
      </c>
      <c r="FP22" s="1">
        <v>97535.040000000008</v>
      </c>
      <c r="FQ22" s="1">
        <v>297</v>
      </c>
      <c r="FS22" s="1">
        <v>728</v>
      </c>
      <c r="FT22" s="1">
        <v>297</v>
      </c>
      <c r="FV22" s="1">
        <v>1932</v>
      </c>
      <c r="FW22" s="1">
        <v>297</v>
      </c>
      <c r="GB22" s="1">
        <v>564</v>
      </c>
      <c r="GC22" s="1">
        <v>297</v>
      </c>
      <c r="GE22" s="1">
        <v>42</v>
      </c>
      <c r="GF22" s="1">
        <v>297</v>
      </c>
      <c r="GH22" s="1">
        <v>6996</v>
      </c>
      <c r="GI22" s="1">
        <v>564</v>
      </c>
      <c r="GK22" s="1">
        <v>6993.5</v>
      </c>
      <c r="GL22" s="1">
        <v>564</v>
      </c>
      <c r="GN22" s="1">
        <v>55532.800000000003</v>
      </c>
      <c r="GO22" s="1">
        <v>564</v>
      </c>
      <c r="GQ22" s="1">
        <v>97535.040000000008</v>
      </c>
      <c r="GR22" s="1">
        <v>564</v>
      </c>
      <c r="GT22" s="1">
        <v>728</v>
      </c>
      <c r="GU22" s="1">
        <v>564</v>
      </c>
      <c r="GW22" s="1">
        <v>1932</v>
      </c>
      <c r="GX22" s="1">
        <v>564</v>
      </c>
      <c r="GZ22" s="1">
        <v>297</v>
      </c>
      <c r="HA22" s="1">
        <v>564</v>
      </c>
      <c r="HF22" s="1">
        <v>42</v>
      </c>
      <c r="HG22" s="1">
        <v>564</v>
      </c>
      <c r="HI22" s="1">
        <v>6996</v>
      </c>
      <c r="HJ22" s="1">
        <v>42</v>
      </c>
      <c r="HL22" s="1">
        <v>6993.5</v>
      </c>
      <c r="HM22" s="1">
        <v>42</v>
      </c>
      <c r="HO22" s="1">
        <v>55532.800000000003</v>
      </c>
      <c r="HP22" s="1">
        <v>42</v>
      </c>
      <c r="HR22" s="1">
        <v>97535.040000000008</v>
      </c>
      <c r="HS22" s="1">
        <v>42</v>
      </c>
      <c r="HU22" s="1">
        <v>728</v>
      </c>
      <c r="HV22" s="1">
        <v>42</v>
      </c>
      <c r="HX22" s="1">
        <v>1932</v>
      </c>
      <c r="HY22" s="1">
        <v>42</v>
      </c>
      <c r="IA22" s="1">
        <v>297</v>
      </c>
      <c r="IB22" s="1">
        <v>42</v>
      </c>
    </row>
    <row r="23" spans="4:236" x14ac:dyDescent="0.2">
      <c r="D23" s="1">
        <v>838.5</v>
      </c>
      <c r="E23" s="1">
        <v>841</v>
      </c>
      <c r="G23" s="1">
        <v>18740.8</v>
      </c>
      <c r="H23" s="1">
        <v>4045</v>
      </c>
      <c r="J23" s="1">
        <v>51227.1</v>
      </c>
      <c r="K23" s="1">
        <v>4045</v>
      </c>
      <c r="M23" s="1">
        <v>428</v>
      </c>
      <c r="N23" s="1">
        <v>3157</v>
      </c>
      <c r="P23" s="1">
        <v>844</v>
      </c>
      <c r="Q23" s="1">
        <v>3157</v>
      </c>
      <c r="S23" s="1">
        <v>237</v>
      </c>
      <c r="T23" s="1">
        <v>3157</v>
      </c>
      <c r="V23" s="1">
        <v>375</v>
      </c>
      <c r="W23" s="1">
        <v>3157</v>
      </c>
      <c r="Y23" s="1">
        <v>62</v>
      </c>
      <c r="Z23" s="1">
        <v>3157</v>
      </c>
      <c r="AB23" s="1">
        <v>841</v>
      </c>
      <c r="AC23" s="1">
        <v>838.5</v>
      </c>
      <c r="AH23" s="1">
        <v>18740.8</v>
      </c>
      <c r="AI23" s="1">
        <v>4042.5</v>
      </c>
      <c r="AK23" s="1">
        <v>51227.1</v>
      </c>
      <c r="AL23" s="1">
        <v>4042.5</v>
      </c>
      <c r="AN23" s="1">
        <v>428</v>
      </c>
      <c r="AO23" s="1">
        <v>3154.5000000000005</v>
      </c>
      <c r="AQ23" s="1">
        <v>844</v>
      </c>
      <c r="AR23" s="1">
        <v>3154.5000000000005</v>
      </c>
      <c r="AT23" s="1">
        <v>237</v>
      </c>
      <c r="AU23" s="1">
        <v>3154.5000000000005</v>
      </c>
      <c r="AW23" s="1">
        <v>375</v>
      </c>
      <c r="AX23" s="1">
        <v>3154.5000000000005</v>
      </c>
      <c r="AZ23" s="1">
        <v>62</v>
      </c>
      <c r="BA23" s="1">
        <v>3154.5000000000005</v>
      </c>
      <c r="BC23" s="1">
        <v>4045</v>
      </c>
      <c r="BD23" s="1">
        <v>18740.8</v>
      </c>
      <c r="BF23" s="1">
        <v>4042.5</v>
      </c>
      <c r="BG23" s="1">
        <v>18740.8</v>
      </c>
      <c r="BL23" s="1">
        <v>51227.1</v>
      </c>
      <c r="BM23" s="1">
        <v>18740.8</v>
      </c>
      <c r="BO23" s="1">
        <v>428</v>
      </c>
      <c r="BP23" s="1">
        <v>1190.93</v>
      </c>
      <c r="BR23" s="1">
        <v>844</v>
      </c>
      <c r="BS23" s="1">
        <v>1190.93</v>
      </c>
      <c r="BU23" s="1">
        <v>237</v>
      </c>
      <c r="BV23" s="1">
        <v>1190.93</v>
      </c>
      <c r="BX23" s="1">
        <v>375</v>
      </c>
      <c r="BY23" s="1">
        <v>1190.93</v>
      </c>
      <c r="CA23" s="1">
        <v>62</v>
      </c>
      <c r="CB23" s="1">
        <v>1190.93</v>
      </c>
      <c r="CD23" s="1">
        <v>4045</v>
      </c>
      <c r="CE23" s="1">
        <v>51227.1</v>
      </c>
      <c r="CG23" s="1">
        <v>4042.5</v>
      </c>
      <c r="CH23" s="1">
        <v>51227.1</v>
      </c>
      <c r="CJ23" s="1">
        <v>18740.8</v>
      </c>
      <c r="CK23" s="1">
        <v>51227.1</v>
      </c>
      <c r="CP23" s="1">
        <v>428</v>
      </c>
      <c r="CQ23" s="1">
        <v>7060.9900000000007</v>
      </c>
      <c r="CS23" s="1">
        <v>844</v>
      </c>
      <c r="CT23" s="1">
        <v>7060.9900000000007</v>
      </c>
      <c r="CV23" s="1">
        <v>237</v>
      </c>
      <c r="CW23" s="1">
        <v>7060.9900000000007</v>
      </c>
      <c r="CY23" s="1">
        <v>375</v>
      </c>
      <c r="CZ23" s="1">
        <v>7060.9900000000007</v>
      </c>
      <c r="DB23" s="1">
        <v>62</v>
      </c>
      <c r="DC23" s="1">
        <v>7060.9900000000007</v>
      </c>
      <c r="DE23" s="1">
        <v>3157</v>
      </c>
      <c r="DF23" s="1">
        <v>428</v>
      </c>
      <c r="DH23" s="1">
        <v>3154.5000000000005</v>
      </c>
      <c r="DI23" s="1">
        <v>428</v>
      </c>
      <c r="DK23" s="1">
        <v>1190.93</v>
      </c>
      <c r="DL23" s="1">
        <v>428</v>
      </c>
      <c r="DN23" s="1">
        <v>7060.9900000000007</v>
      </c>
      <c r="DO23" s="1">
        <v>428</v>
      </c>
      <c r="DT23" s="1">
        <v>844</v>
      </c>
      <c r="DU23" s="1">
        <v>428</v>
      </c>
      <c r="DW23" s="1">
        <v>237</v>
      </c>
      <c r="DX23" s="1">
        <v>428</v>
      </c>
      <c r="DZ23" s="1">
        <v>375</v>
      </c>
      <c r="EA23" s="1">
        <v>428</v>
      </c>
      <c r="EC23" s="1">
        <v>62</v>
      </c>
      <c r="ED23" s="1">
        <v>428</v>
      </c>
      <c r="EF23" s="1">
        <v>3157</v>
      </c>
      <c r="EG23" s="1">
        <v>844</v>
      </c>
      <c r="EI23" s="1">
        <v>3154.5000000000005</v>
      </c>
      <c r="EJ23" s="1">
        <v>844</v>
      </c>
      <c r="EL23" s="1">
        <v>1190.93</v>
      </c>
      <c r="EM23" s="1">
        <v>844</v>
      </c>
      <c r="EO23" s="1">
        <v>7060.9900000000007</v>
      </c>
      <c r="EP23" s="1">
        <v>844</v>
      </c>
      <c r="ER23" s="1">
        <v>428</v>
      </c>
      <c r="ES23" s="1">
        <v>844</v>
      </c>
      <c r="EX23" s="1">
        <v>237</v>
      </c>
      <c r="EY23" s="1">
        <v>844</v>
      </c>
      <c r="FA23" s="1">
        <v>375</v>
      </c>
      <c r="FB23" s="1">
        <v>844</v>
      </c>
      <c r="FD23" s="1">
        <v>62</v>
      </c>
      <c r="FE23" s="1">
        <v>844</v>
      </c>
      <c r="FG23" s="1">
        <v>3157</v>
      </c>
      <c r="FH23" s="1">
        <v>237</v>
      </c>
      <c r="FJ23" s="1">
        <v>3154.5000000000005</v>
      </c>
      <c r="FK23" s="1">
        <v>237</v>
      </c>
      <c r="FM23" s="1">
        <v>1190.93</v>
      </c>
      <c r="FN23" s="1">
        <v>237</v>
      </c>
      <c r="FP23" s="1">
        <v>7060.9900000000007</v>
      </c>
      <c r="FQ23" s="1">
        <v>237</v>
      </c>
      <c r="FS23" s="1">
        <v>428</v>
      </c>
      <c r="FT23" s="1">
        <v>237</v>
      </c>
      <c r="FV23" s="1">
        <v>844</v>
      </c>
      <c r="FW23" s="1">
        <v>237</v>
      </c>
      <c r="GB23" s="1">
        <v>375</v>
      </c>
      <c r="GC23" s="1">
        <v>237</v>
      </c>
      <c r="GE23" s="1">
        <v>62</v>
      </c>
      <c r="GF23" s="1">
        <v>237</v>
      </c>
      <c r="GH23" s="1">
        <v>3157</v>
      </c>
      <c r="GI23" s="1">
        <v>375</v>
      </c>
      <c r="GK23" s="1">
        <v>3154.5000000000005</v>
      </c>
      <c r="GL23" s="1">
        <v>375</v>
      </c>
      <c r="GN23" s="1">
        <v>1190.93</v>
      </c>
      <c r="GO23" s="1">
        <v>375</v>
      </c>
      <c r="GQ23" s="1">
        <v>7060.9900000000007</v>
      </c>
      <c r="GR23" s="1">
        <v>375</v>
      </c>
      <c r="GT23" s="1">
        <v>428</v>
      </c>
      <c r="GU23" s="1">
        <v>375</v>
      </c>
      <c r="GW23" s="1">
        <v>844</v>
      </c>
      <c r="GX23" s="1">
        <v>375</v>
      </c>
      <c r="GZ23" s="1">
        <v>237</v>
      </c>
      <c r="HA23" s="1">
        <v>375</v>
      </c>
      <c r="HF23" s="1">
        <v>62</v>
      </c>
      <c r="HG23" s="1">
        <v>375</v>
      </c>
      <c r="HI23" s="1">
        <v>3157</v>
      </c>
      <c r="HJ23" s="1">
        <v>62</v>
      </c>
      <c r="HL23" s="1">
        <v>3154.5000000000005</v>
      </c>
      <c r="HM23" s="1">
        <v>62</v>
      </c>
      <c r="HO23" s="1">
        <v>1190.93</v>
      </c>
      <c r="HP23" s="1">
        <v>62</v>
      </c>
      <c r="HR23" s="1">
        <v>7060.9900000000007</v>
      </c>
      <c r="HS23" s="1">
        <v>62</v>
      </c>
      <c r="HU23" s="1">
        <v>428</v>
      </c>
      <c r="HV23" s="1">
        <v>62</v>
      </c>
      <c r="HX23" s="1">
        <v>844</v>
      </c>
      <c r="HY23" s="1">
        <v>62</v>
      </c>
      <c r="IA23" s="1">
        <v>237</v>
      </c>
      <c r="IB23" s="1">
        <v>62</v>
      </c>
    </row>
    <row r="24" spans="4:236" x14ac:dyDescent="0.2">
      <c r="D24" s="1">
        <v>2921.5</v>
      </c>
      <c r="E24" s="1">
        <v>2924</v>
      </c>
      <c r="G24" s="1">
        <v>2488.5</v>
      </c>
      <c r="H24" s="1">
        <v>4717</v>
      </c>
      <c r="J24" s="1">
        <v>12855.2</v>
      </c>
      <c r="K24" s="1">
        <v>4717</v>
      </c>
      <c r="M24" s="1">
        <v>690</v>
      </c>
      <c r="N24" s="1">
        <v>2546</v>
      </c>
      <c r="P24" s="1">
        <v>1360</v>
      </c>
      <c r="Q24" s="1">
        <v>2546</v>
      </c>
      <c r="S24" s="1">
        <v>170</v>
      </c>
      <c r="T24" s="1">
        <v>2546</v>
      </c>
      <c r="V24" s="1">
        <v>652</v>
      </c>
      <c r="W24" s="1">
        <v>2546</v>
      </c>
      <c r="Y24" s="1">
        <v>178</v>
      </c>
      <c r="Z24" s="1">
        <v>2546</v>
      </c>
      <c r="AB24" s="1">
        <v>2924</v>
      </c>
      <c r="AC24" s="1">
        <v>2921.5</v>
      </c>
      <c r="AH24" s="1">
        <v>2488.5</v>
      </c>
      <c r="AI24" s="1">
        <v>4714.5</v>
      </c>
      <c r="AK24" s="1">
        <v>12855.2</v>
      </c>
      <c r="AL24" s="1">
        <v>4714.5</v>
      </c>
      <c r="AN24" s="1">
        <v>690</v>
      </c>
      <c r="AO24" s="1">
        <v>2543.5</v>
      </c>
      <c r="AQ24" s="1">
        <v>1360</v>
      </c>
      <c r="AR24" s="1">
        <v>2543.5</v>
      </c>
      <c r="AT24" s="1">
        <v>170</v>
      </c>
      <c r="AU24" s="1">
        <v>2543.5</v>
      </c>
      <c r="AW24" s="1">
        <v>652</v>
      </c>
      <c r="AX24" s="1">
        <v>2543.5</v>
      </c>
      <c r="AZ24" s="1">
        <v>178</v>
      </c>
      <c r="BA24" s="1">
        <v>2543.5</v>
      </c>
      <c r="BC24" s="1">
        <v>4717</v>
      </c>
      <c r="BD24" s="1">
        <v>2488.5</v>
      </c>
      <c r="BF24" s="1">
        <v>4714.5</v>
      </c>
      <c r="BG24" s="1">
        <v>2488.5</v>
      </c>
      <c r="BL24" s="1">
        <v>12855.2</v>
      </c>
      <c r="BM24" s="1">
        <v>2488.5</v>
      </c>
      <c r="BO24" s="1">
        <v>690</v>
      </c>
      <c r="BP24" s="1">
        <v>998.23</v>
      </c>
      <c r="BR24" s="1">
        <v>1360</v>
      </c>
      <c r="BS24" s="1">
        <v>998.23</v>
      </c>
      <c r="BU24" s="1">
        <v>170</v>
      </c>
      <c r="BV24" s="1">
        <v>998.23</v>
      </c>
      <c r="BX24" s="1">
        <v>652</v>
      </c>
      <c r="BY24" s="1">
        <v>998.23</v>
      </c>
      <c r="CA24" s="1">
        <v>178</v>
      </c>
      <c r="CB24" s="1">
        <v>998.23</v>
      </c>
      <c r="CD24" s="1">
        <v>4717</v>
      </c>
      <c r="CE24" s="1">
        <v>12855.2</v>
      </c>
      <c r="CG24" s="1">
        <v>4714.5</v>
      </c>
      <c r="CH24" s="1">
        <v>12855.2</v>
      </c>
      <c r="CJ24" s="1">
        <v>2488.5</v>
      </c>
      <c r="CK24" s="1">
        <v>12855.2</v>
      </c>
      <c r="CP24" s="1">
        <v>690</v>
      </c>
      <c r="CQ24" s="1">
        <v>6335.84</v>
      </c>
      <c r="CS24" s="1">
        <v>1360</v>
      </c>
      <c r="CT24" s="1">
        <v>6335.84</v>
      </c>
      <c r="CV24" s="1">
        <v>170</v>
      </c>
      <c r="CW24" s="1">
        <v>6335.84</v>
      </c>
      <c r="CY24" s="1">
        <v>652</v>
      </c>
      <c r="CZ24" s="1">
        <v>6335.84</v>
      </c>
      <c r="DB24" s="1">
        <v>178</v>
      </c>
      <c r="DC24" s="1">
        <v>6335.84</v>
      </c>
      <c r="DE24" s="1">
        <v>2546</v>
      </c>
      <c r="DF24" s="1">
        <v>690</v>
      </c>
      <c r="DH24" s="1">
        <v>2543.5</v>
      </c>
      <c r="DI24" s="1">
        <v>690</v>
      </c>
      <c r="DK24" s="1">
        <v>998.23</v>
      </c>
      <c r="DL24" s="1">
        <v>690</v>
      </c>
      <c r="DN24" s="1">
        <v>6335.84</v>
      </c>
      <c r="DO24" s="1">
        <v>690</v>
      </c>
      <c r="DT24" s="1">
        <v>1360</v>
      </c>
      <c r="DU24" s="1">
        <v>690</v>
      </c>
      <c r="DW24" s="1">
        <v>170</v>
      </c>
      <c r="DX24" s="1">
        <v>690</v>
      </c>
      <c r="DZ24" s="1">
        <v>652</v>
      </c>
      <c r="EA24" s="1">
        <v>690</v>
      </c>
      <c r="EC24" s="1">
        <v>178</v>
      </c>
      <c r="ED24" s="1">
        <v>690</v>
      </c>
      <c r="EF24" s="1">
        <v>2546</v>
      </c>
      <c r="EG24" s="1">
        <v>1360</v>
      </c>
      <c r="EI24" s="1">
        <v>2543.5</v>
      </c>
      <c r="EJ24" s="1">
        <v>1360</v>
      </c>
      <c r="EL24" s="1">
        <v>998.23</v>
      </c>
      <c r="EM24" s="1">
        <v>1360</v>
      </c>
      <c r="EO24" s="1">
        <v>6335.84</v>
      </c>
      <c r="EP24" s="1">
        <v>1360</v>
      </c>
      <c r="ER24" s="1">
        <v>690</v>
      </c>
      <c r="ES24" s="1">
        <v>1360</v>
      </c>
      <c r="EX24" s="1">
        <v>170</v>
      </c>
      <c r="EY24" s="1">
        <v>1360</v>
      </c>
      <c r="FA24" s="1">
        <v>652</v>
      </c>
      <c r="FB24" s="1">
        <v>1360</v>
      </c>
      <c r="FD24" s="1">
        <v>178</v>
      </c>
      <c r="FE24" s="1">
        <v>1360</v>
      </c>
      <c r="FG24" s="1">
        <v>2546</v>
      </c>
      <c r="FH24" s="1">
        <v>170</v>
      </c>
      <c r="FJ24" s="1">
        <v>2543.5</v>
      </c>
      <c r="FK24" s="1">
        <v>170</v>
      </c>
      <c r="FM24" s="1">
        <v>998.23</v>
      </c>
      <c r="FN24" s="1">
        <v>170</v>
      </c>
      <c r="FP24" s="1">
        <v>6335.84</v>
      </c>
      <c r="FQ24" s="1">
        <v>170</v>
      </c>
      <c r="FS24" s="1">
        <v>690</v>
      </c>
      <c r="FT24" s="1">
        <v>170</v>
      </c>
      <c r="FV24" s="1">
        <v>1360</v>
      </c>
      <c r="FW24" s="1">
        <v>170</v>
      </c>
      <c r="GB24" s="1">
        <v>652</v>
      </c>
      <c r="GC24" s="1">
        <v>170</v>
      </c>
      <c r="GE24" s="1">
        <v>178</v>
      </c>
      <c r="GF24" s="1">
        <v>170</v>
      </c>
      <c r="GH24" s="1">
        <v>2546</v>
      </c>
      <c r="GI24" s="1">
        <v>652</v>
      </c>
      <c r="GK24" s="1">
        <v>2543.5</v>
      </c>
      <c r="GL24" s="1">
        <v>652</v>
      </c>
      <c r="GN24" s="1">
        <v>998.23</v>
      </c>
      <c r="GO24" s="1">
        <v>652</v>
      </c>
      <c r="GQ24" s="1">
        <v>6335.84</v>
      </c>
      <c r="GR24" s="1">
        <v>652</v>
      </c>
      <c r="GT24" s="1">
        <v>690</v>
      </c>
      <c r="GU24" s="1">
        <v>652</v>
      </c>
      <c r="GW24" s="1">
        <v>1360</v>
      </c>
      <c r="GX24" s="1">
        <v>652</v>
      </c>
      <c r="GZ24" s="1">
        <v>170</v>
      </c>
      <c r="HA24" s="1">
        <v>652</v>
      </c>
      <c r="HF24" s="1">
        <v>178</v>
      </c>
      <c r="HG24" s="1">
        <v>652</v>
      </c>
      <c r="HI24" s="1">
        <v>2546</v>
      </c>
      <c r="HJ24" s="1">
        <v>178</v>
      </c>
      <c r="HL24" s="1">
        <v>2543.5</v>
      </c>
      <c r="HM24" s="1">
        <v>178</v>
      </c>
      <c r="HO24" s="1">
        <v>998.23</v>
      </c>
      <c r="HP24" s="1">
        <v>178</v>
      </c>
      <c r="HR24" s="1">
        <v>6335.84</v>
      </c>
      <c r="HS24" s="1">
        <v>178</v>
      </c>
      <c r="HU24" s="1">
        <v>690</v>
      </c>
      <c r="HV24" s="1">
        <v>178</v>
      </c>
      <c r="HX24" s="1">
        <v>1360</v>
      </c>
      <c r="HY24" s="1">
        <v>178</v>
      </c>
      <c r="IA24" s="1">
        <v>170</v>
      </c>
      <c r="IB24" s="1">
        <v>178</v>
      </c>
    </row>
    <row r="25" spans="4:236" x14ac:dyDescent="0.2">
      <c r="D25" s="1">
        <v>4718.5</v>
      </c>
      <c r="E25" s="1">
        <v>4721</v>
      </c>
      <c r="G25" s="1">
        <v>2586</v>
      </c>
      <c r="H25" s="1">
        <v>8145</v>
      </c>
      <c r="J25" s="1">
        <v>12293.2</v>
      </c>
      <c r="K25" s="1">
        <v>8145</v>
      </c>
      <c r="M25" s="1">
        <v>429.3</v>
      </c>
      <c r="N25" s="1">
        <v>3970</v>
      </c>
      <c r="P25" s="1">
        <v>1503.6</v>
      </c>
      <c r="Q25" s="1">
        <v>3970</v>
      </c>
      <c r="S25" s="1">
        <v>211.7</v>
      </c>
      <c r="T25" s="1">
        <v>3970</v>
      </c>
      <c r="V25" s="1">
        <v>454.9</v>
      </c>
      <c r="W25" s="1">
        <v>3970</v>
      </c>
      <c r="Y25" s="1">
        <v>82.9</v>
      </c>
      <c r="Z25" s="1">
        <v>3970</v>
      </c>
      <c r="AB25" s="1">
        <v>4721</v>
      </c>
      <c r="AC25" s="1">
        <v>4718.5</v>
      </c>
      <c r="AH25" s="1">
        <v>2586</v>
      </c>
      <c r="AI25" s="1">
        <v>8142.5</v>
      </c>
      <c r="AK25" s="1">
        <v>12293.2</v>
      </c>
      <c r="AL25" s="1">
        <v>8142.5</v>
      </c>
      <c r="AN25" s="1">
        <v>429.3</v>
      </c>
      <c r="AO25" s="1">
        <v>3967.5</v>
      </c>
      <c r="AQ25" s="1">
        <v>1503.6</v>
      </c>
      <c r="AR25" s="1">
        <v>3967.5</v>
      </c>
      <c r="AT25" s="1">
        <v>211.7</v>
      </c>
      <c r="AU25" s="1">
        <v>3967.5</v>
      </c>
      <c r="AW25" s="1">
        <v>454.9</v>
      </c>
      <c r="AX25" s="1">
        <v>3967.5</v>
      </c>
      <c r="AZ25" s="1">
        <v>82.9</v>
      </c>
      <c r="BA25" s="1">
        <v>3967.5</v>
      </c>
      <c r="BC25" s="1">
        <v>8145</v>
      </c>
      <c r="BD25" s="1">
        <v>2586</v>
      </c>
      <c r="BF25" s="1">
        <v>8142.5</v>
      </c>
      <c r="BG25" s="1">
        <v>2586</v>
      </c>
      <c r="BL25" s="1">
        <v>12293.2</v>
      </c>
      <c r="BM25" s="1">
        <v>2586</v>
      </c>
      <c r="BO25" s="1">
        <v>429.3</v>
      </c>
      <c r="BP25" s="1">
        <v>2277</v>
      </c>
      <c r="BR25" s="1">
        <v>1503.6</v>
      </c>
      <c r="BS25" s="1">
        <v>2277</v>
      </c>
      <c r="BU25" s="1">
        <v>211.7</v>
      </c>
      <c r="BV25" s="1">
        <v>2277</v>
      </c>
      <c r="BX25" s="1">
        <v>454.9</v>
      </c>
      <c r="BY25" s="1">
        <v>2277</v>
      </c>
      <c r="CA25" s="1">
        <v>82.9</v>
      </c>
      <c r="CB25" s="1">
        <v>2277</v>
      </c>
      <c r="CD25" s="1">
        <v>8145</v>
      </c>
      <c r="CE25" s="1">
        <v>12293.2</v>
      </c>
      <c r="CG25" s="1">
        <v>8142.5</v>
      </c>
      <c r="CH25" s="1">
        <v>12293.2</v>
      </c>
      <c r="CJ25" s="1">
        <v>2586</v>
      </c>
      <c r="CK25" s="1">
        <v>12293.2</v>
      </c>
      <c r="CP25" s="1">
        <v>429.3</v>
      </c>
      <c r="CQ25" s="1">
        <v>10741.31</v>
      </c>
      <c r="CS25" s="1">
        <v>1503.6</v>
      </c>
      <c r="CT25" s="1">
        <v>10741.31</v>
      </c>
      <c r="CV25" s="1">
        <v>211.7</v>
      </c>
      <c r="CW25" s="1">
        <v>10741.31</v>
      </c>
      <c r="CY25" s="1">
        <v>454.9</v>
      </c>
      <c r="CZ25" s="1">
        <v>10741.31</v>
      </c>
      <c r="DB25" s="1">
        <v>82.9</v>
      </c>
      <c r="DC25" s="1">
        <v>10741.31</v>
      </c>
      <c r="DE25" s="1">
        <v>3970</v>
      </c>
      <c r="DF25" s="1">
        <v>429.3</v>
      </c>
      <c r="DH25" s="1">
        <v>3967.5</v>
      </c>
      <c r="DI25" s="1">
        <v>429.3</v>
      </c>
      <c r="DK25" s="1">
        <v>2277</v>
      </c>
      <c r="DL25" s="1">
        <v>429.3</v>
      </c>
      <c r="DN25" s="1">
        <v>10741.31</v>
      </c>
      <c r="DO25" s="1">
        <v>429.3</v>
      </c>
      <c r="DT25" s="1">
        <v>1503.6</v>
      </c>
      <c r="DU25" s="1">
        <v>429.3</v>
      </c>
      <c r="DW25" s="1">
        <v>211.7</v>
      </c>
      <c r="DX25" s="1">
        <v>429.3</v>
      </c>
      <c r="DZ25" s="1">
        <v>454.9</v>
      </c>
      <c r="EA25" s="1">
        <v>429.3</v>
      </c>
      <c r="EC25" s="1">
        <v>82.9</v>
      </c>
      <c r="ED25" s="1">
        <v>429.3</v>
      </c>
      <c r="EF25" s="1">
        <v>3970</v>
      </c>
      <c r="EG25" s="1">
        <v>1503.6</v>
      </c>
      <c r="EI25" s="1">
        <v>3967.5</v>
      </c>
      <c r="EJ25" s="1">
        <v>1503.6</v>
      </c>
      <c r="EL25" s="1">
        <v>2277</v>
      </c>
      <c r="EM25" s="1">
        <v>1503.6</v>
      </c>
      <c r="EO25" s="1">
        <v>10741.31</v>
      </c>
      <c r="EP25" s="1">
        <v>1503.6</v>
      </c>
      <c r="ER25" s="1">
        <v>429.3</v>
      </c>
      <c r="ES25" s="1">
        <v>1503.6</v>
      </c>
      <c r="EX25" s="1">
        <v>211.7</v>
      </c>
      <c r="EY25" s="1">
        <v>1503.6</v>
      </c>
      <c r="FA25" s="1">
        <v>454.9</v>
      </c>
      <c r="FB25" s="1">
        <v>1503.6</v>
      </c>
      <c r="FD25" s="1">
        <v>82.9</v>
      </c>
      <c r="FE25" s="1">
        <v>1503.6</v>
      </c>
      <c r="FG25" s="1">
        <v>3970</v>
      </c>
      <c r="FH25" s="1">
        <v>211.7</v>
      </c>
      <c r="FJ25" s="1">
        <v>3967.5</v>
      </c>
      <c r="FK25" s="1">
        <v>211.7</v>
      </c>
      <c r="FM25" s="1">
        <v>2277</v>
      </c>
      <c r="FN25" s="1">
        <v>211.7</v>
      </c>
      <c r="FP25" s="1">
        <v>10741.31</v>
      </c>
      <c r="FQ25" s="1">
        <v>211.7</v>
      </c>
      <c r="FS25" s="1">
        <v>429.3</v>
      </c>
      <c r="FT25" s="1">
        <v>211.7</v>
      </c>
      <c r="FV25" s="1">
        <v>1503.6</v>
      </c>
      <c r="FW25" s="1">
        <v>211.7</v>
      </c>
      <c r="GB25" s="1">
        <v>454.9</v>
      </c>
      <c r="GC25" s="1">
        <v>211.7</v>
      </c>
      <c r="GE25" s="1">
        <v>82.9</v>
      </c>
      <c r="GF25" s="1">
        <v>211.7</v>
      </c>
      <c r="GH25" s="1">
        <v>3970</v>
      </c>
      <c r="GI25" s="1">
        <v>454.9</v>
      </c>
      <c r="GK25" s="1">
        <v>3967.5</v>
      </c>
      <c r="GL25" s="1">
        <v>454.9</v>
      </c>
      <c r="GN25" s="1">
        <v>2277</v>
      </c>
      <c r="GO25" s="1">
        <v>454.9</v>
      </c>
      <c r="GQ25" s="1">
        <v>10741.31</v>
      </c>
      <c r="GR25" s="1">
        <v>454.9</v>
      </c>
      <c r="GT25" s="1">
        <v>429.3</v>
      </c>
      <c r="GU25" s="1">
        <v>454.9</v>
      </c>
      <c r="GW25" s="1">
        <v>1503.6</v>
      </c>
      <c r="GX25" s="1">
        <v>454.9</v>
      </c>
      <c r="GZ25" s="1">
        <v>211.7</v>
      </c>
      <c r="HA25" s="1">
        <v>454.9</v>
      </c>
      <c r="HF25" s="1">
        <v>82.9</v>
      </c>
      <c r="HG25" s="1">
        <v>454.9</v>
      </c>
      <c r="HI25" s="1">
        <v>3970</v>
      </c>
      <c r="HJ25" s="1">
        <v>82.9</v>
      </c>
      <c r="HL25" s="1">
        <v>3967.5</v>
      </c>
      <c r="HM25" s="1">
        <v>82.9</v>
      </c>
      <c r="HO25" s="1">
        <v>2277</v>
      </c>
      <c r="HP25" s="1">
        <v>82.9</v>
      </c>
      <c r="HR25" s="1">
        <v>10741.31</v>
      </c>
      <c r="HS25" s="1">
        <v>82.9</v>
      </c>
      <c r="HU25" s="1">
        <v>429.3</v>
      </c>
      <c r="HV25" s="1">
        <v>82.9</v>
      </c>
      <c r="HX25" s="1">
        <v>1503.6</v>
      </c>
      <c r="HY25" s="1">
        <v>82.9</v>
      </c>
      <c r="IA25" s="1">
        <v>211.7</v>
      </c>
      <c r="IB25" s="1">
        <v>82.9</v>
      </c>
    </row>
    <row r="26" spans="4:236" x14ac:dyDescent="0.2">
      <c r="D26" s="1">
        <v>2367.5</v>
      </c>
      <c r="E26" s="1">
        <v>2370</v>
      </c>
      <c r="G26" s="1">
        <v>1306.0999999999999</v>
      </c>
      <c r="H26" s="1">
        <v>6339</v>
      </c>
      <c r="J26" s="1">
        <v>7051.5</v>
      </c>
      <c r="K26" s="1">
        <v>6339</v>
      </c>
      <c r="M26" s="1">
        <v>441.1</v>
      </c>
      <c r="N26" s="1">
        <v>3852</v>
      </c>
      <c r="P26" s="1">
        <v>1531.5</v>
      </c>
      <c r="Q26" s="1">
        <v>3852</v>
      </c>
      <c r="S26" s="1">
        <v>132</v>
      </c>
      <c r="T26" s="1">
        <v>3852</v>
      </c>
      <c r="V26" s="1">
        <v>624.4</v>
      </c>
      <c r="W26" s="1">
        <v>3852</v>
      </c>
      <c r="Y26" s="1">
        <v>113.3</v>
      </c>
      <c r="Z26" s="1">
        <v>3852</v>
      </c>
      <c r="AB26" s="1">
        <v>2370</v>
      </c>
      <c r="AC26" s="1">
        <v>2367.5</v>
      </c>
      <c r="AH26" s="1">
        <v>1306.0999999999999</v>
      </c>
      <c r="AI26" s="1">
        <v>6336.5000000000009</v>
      </c>
      <c r="AK26" s="1">
        <v>7051.5</v>
      </c>
      <c r="AL26" s="1">
        <v>6336.5000000000009</v>
      </c>
      <c r="AN26" s="1">
        <v>441.1</v>
      </c>
      <c r="AO26" s="1">
        <v>3849.5000000000005</v>
      </c>
      <c r="AQ26" s="1">
        <v>1531.5</v>
      </c>
      <c r="AR26" s="1">
        <v>3849.5000000000005</v>
      </c>
      <c r="AT26" s="1">
        <v>132</v>
      </c>
      <c r="AU26" s="1">
        <v>3849.5000000000005</v>
      </c>
      <c r="AW26" s="1">
        <v>624.4</v>
      </c>
      <c r="AX26" s="1">
        <v>3849.5000000000005</v>
      </c>
      <c r="AZ26" s="1">
        <v>113.3</v>
      </c>
      <c r="BA26" s="1">
        <v>3849.5000000000005</v>
      </c>
      <c r="BC26" s="1">
        <v>6339</v>
      </c>
      <c r="BD26" s="1">
        <v>1306.0999999999999</v>
      </c>
      <c r="BF26" s="1">
        <v>6336.5000000000009</v>
      </c>
      <c r="BG26" s="1">
        <v>1306.0999999999999</v>
      </c>
      <c r="BL26" s="1">
        <v>7051.5</v>
      </c>
      <c r="BM26" s="1">
        <v>1306.0999999999999</v>
      </c>
      <c r="BO26" s="1">
        <v>441.1</v>
      </c>
      <c r="BP26" s="1">
        <v>3034.9799999999996</v>
      </c>
      <c r="BR26" s="1">
        <v>1531.5</v>
      </c>
      <c r="BS26" s="1">
        <v>3034.9799999999996</v>
      </c>
      <c r="BU26" s="1">
        <v>132</v>
      </c>
      <c r="BV26" s="1">
        <v>3034.9799999999996</v>
      </c>
      <c r="BX26" s="1">
        <v>624.4</v>
      </c>
      <c r="BY26" s="1">
        <v>3034.9799999999996</v>
      </c>
      <c r="CA26" s="1">
        <v>113.3</v>
      </c>
      <c r="CB26" s="1">
        <v>3034.9799999999996</v>
      </c>
      <c r="CD26" s="1">
        <v>6339</v>
      </c>
      <c r="CE26" s="1">
        <v>7051.5</v>
      </c>
      <c r="CG26" s="1">
        <v>6336.5000000000009</v>
      </c>
      <c r="CH26" s="1">
        <v>7051.5</v>
      </c>
      <c r="CJ26" s="1">
        <v>1306.0999999999999</v>
      </c>
      <c r="CK26" s="1">
        <v>7051.5</v>
      </c>
      <c r="CP26" s="1">
        <v>441.1</v>
      </c>
      <c r="CQ26" s="1">
        <v>14807.34</v>
      </c>
      <c r="CS26" s="1">
        <v>1531.5</v>
      </c>
      <c r="CT26" s="1">
        <v>14807.34</v>
      </c>
      <c r="CV26" s="1">
        <v>132</v>
      </c>
      <c r="CW26" s="1">
        <v>14807.34</v>
      </c>
      <c r="CY26" s="1">
        <v>624.4</v>
      </c>
      <c r="CZ26" s="1">
        <v>14807.34</v>
      </c>
      <c r="DB26" s="1">
        <v>113.3</v>
      </c>
      <c r="DC26" s="1">
        <v>14807.34</v>
      </c>
      <c r="DE26" s="1">
        <v>3852</v>
      </c>
      <c r="DF26" s="1">
        <v>441.1</v>
      </c>
      <c r="DH26" s="1">
        <v>3849.5000000000005</v>
      </c>
      <c r="DI26" s="1">
        <v>441.1</v>
      </c>
      <c r="DK26" s="1">
        <v>3034.9799999999996</v>
      </c>
      <c r="DL26" s="1">
        <v>441.1</v>
      </c>
      <c r="DN26" s="1">
        <v>14807.34</v>
      </c>
      <c r="DO26" s="1">
        <v>441.1</v>
      </c>
      <c r="DT26" s="1">
        <v>1531.5</v>
      </c>
      <c r="DU26" s="1">
        <v>441.1</v>
      </c>
      <c r="DW26" s="1">
        <v>132</v>
      </c>
      <c r="DX26" s="1">
        <v>441.1</v>
      </c>
      <c r="DZ26" s="1">
        <v>624.4</v>
      </c>
      <c r="EA26" s="1">
        <v>441.1</v>
      </c>
      <c r="EC26" s="1">
        <v>113.3</v>
      </c>
      <c r="ED26" s="1">
        <v>441.1</v>
      </c>
      <c r="EF26" s="1">
        <v>3852</v>
      </c>
      <c r="EG26" s="1">
        <v>1531.5</v>
      </c>
      <c r="EI26" s="1">
        <v>3849.5000000000005</v>
      </c>
      <c r="EJ26" s="1">
        <v>1531.5</v>
      </c>
      <c r="EL26" s="1">
        <v>3034.9799999999996</v>
      </c>
      <c r="EM26" s="1">
        <v>1531.5</v>
      </c>
      <c r="EO26" s="1">
        <v>14807.34</v>
      </c>
      <c r="EP26" s="1">
        <v>1531.5</v>
      </c>
      <c r="ER26" s="1">
        <v>441.1</v>
      </c>
      <c r="ES26" s="1">
        <v>1531.5</v>
      </c>
      <c r="EX26" s="1">
        <v>132</v>
      </c>
      <c r="EY26" s="1">
        <v>1531.5</v>
      </c>
      <c r="FA26" s="1">
        <v>624.4</v>
      </c>
      <c r="FB26" s="1">
        <v>1531.5</v>
      </c>
      <c r="FD26" s="1">
        <v>113.3</v>
      </c>
      <c r="FE26" s="1">
        <v>1531.5</v>
      </c>
      <c r="FG26" s="1">
        <v>3852</v>
      </c>
      <c r="FH26" s="1">
        <v>132</v>
      </c>
      <c r="FJ26" s="1">
        <v>3849.5000000000005</v>
      </c>
      <c r="FK26" s="1">
        <v>132</v>
      </c>
      <c r="FM26" s="1">
        <v>3034.9799999999996</v>
      </c>
      <c r="FN26" s="1">
        <v>132</v>
      </c>
      <c r="FP26" s="1">
        <v>14807.34</v>
      </c>
      <c r="FQ26" s="1">
        <v>132</v>
      </c>
      <c r="FS26" s="1">
        <v>441.1</v>
      </c>
      <c r="FT26" s="1">
        <v>132</v>
      </c>
      <c r="FV26" s="1">
        <v>1531.5</v>
      </c>
      <c r="FW26" s="1">
        <v>132</v>
      </c>
      <c r="GB26" s="1">
        <v>624.4</v>
      </c>
      <c r="GC26" s="1">
        <v>132</v>
      </c>
      <c r="GE26" s="1">
        <v>113.3</v>
      </c>
      <c r="GF26" s="1">
        <v>132</v>
      </c>
      <c r="GH26" s="1">
        <v>3852</v>
      </c>
      <c r="GI26" s="1">
        <v>624.4</v>
      </c>
      <c r="GK26" s="1">
        <v>3849.5000000000005</v>
      </c>
      <c r="GL26" s="1">
        <v>624.4</v>
      </c>
      <c r="GN26" s="1">
        <v>3034.9799999999996</v>
      </c>
      <c r="GO26" s="1">
        <v>624.4</v>
      </c>
      <c r="GQ26" s="1">
        <v>14807.34</v>
      </c>
      <c r="GR26" s="1">
        <v>624.4</v>
      </c>
      <c r="GT26" s="1">
        <v>441.1</v>
      </c>
      <c r="GU26" s="1">
        <v>624.4</v>
      </c>
      <c r="GW26" s="1">
        <v>1531.5</v>
      </c>
      <c r="GX26" s="1">
        <v>624.4</v>
      </c>
      <c r="GZ26" s="1">
        <v>132</v>
      </c>
      <c r="HA26" s="1">
        <v>624.4</v>
      </c>
      <c r="HF26" s="1">
        <v>113.3</v>
      </c>
      <c r="HG26" s="1">
        <v>624.4</v>
      </c>
      <c r="HI26" s="1">
        <v>3852</v>
      </c>
      <c r="HJ26" s="1">
        <v>113.3</v>
      </c>
      <c r="HL26" s="1">
        <v>3849.5000000000005</v>
      </c>
      <c r="HM26" s="1">
        <v>113.3</v>
      </c>
      <c r="HO26" s="1">
        <v>3034.9799999999996</v>
      </c>
      <c r="HP26" s="1">
        <v>113.3</v>
      </c>
      <c r="HR26" s="1">
        <v>14807.34</v>
      </c>
      <c r="HS26" s="1">
        <v>113.3</v>
      </c>
      <c r="HU26" s="1">
        <v>441.1</v>
      </c>
      <c r="HV26" s="1">
        <v>113.3</v>
      </c>
      <c r="HX26" s="1">
        <v>1531.5</v>
      </c>
      <c r="HY26" s="1">
        <v>113.3</v>
      </c>
      <c r="IA26" s="1">
        <v>132</v>
      </c>
      <c r="IB26" s="1">
        <v>113.3</v>
      </c>
    </row>
    <row r="27" spans="4:236" x14ac:dyDescent="0.2">
      <c r="D27" s="1">
        <v>3897.5</v>
      </c>
      <c r="E27" s="1">
        <v>3900</v>
      </c>
      <c r="G27" s="1">
        <v>1732.1</v>
      </c>
      <c r="H27" s="1">
        <v>8480</v>
      </c>
      <c r="J27" s="1">
        <v>15397.099999999999</v>
      </c>
      <c r="K27" s="1">
        <v>8480</v>
      </c>
      <c r="M27" s="1">
        <v>398.8</v>
      </c>
      <c r="N27" s="1">
        <v>6342</v>
      </c>
      <c r="P27" s="1">
        <v>1499.4</v>
      </c>
      <c r="Q27" s="1">
        <v>6342</v>
      </c>
      <c r="S27" s="1">
        <v>218.4</v>
      </c>
      <c r="T27" s="1">
        <v>6342</v>
      </c>
      <c r="V27" s="1">
        <v>669.4</v>
      </c>
      <c r="W27" s="1">
        <v>6342</v>
      </c>
      <c r="Y27" s="1">
        <v>16.600000000000001</v>
      </c>
      <c r="Z27" s="1">
        <v>6342</v>
      </c>
      <c r="AB27" s="1">
        <v>3900</v>
      </c>
      <c r="AC27" s="1">
        <v>3897.5</v>
      </c>
      <c r="AH27" s="1">
        <v>1732.1</v>
      </c>
      <c r="AI27" s="1">
        <v>8477.5</v>
      </c>
      <c r="AK27" s="1">
        <v>15397.099999999999</v>
      </c>
      <c r="AL27" s="1">
        <v>8477.5</v>
      </c>
      <c r="AN27" s="1">
        <v>398.8</v>
      </c>
      <c r="AO27" s="1">
        <v>6339.5</v>
      </c>
      <c r="AQ27" s="1">
        <v>1499.4</v>
      </c>
      <c r="AR27" s="1">
        <v>6339.5</v>
      </c>
      <c r="AT27" s="1">
        <v>218.4</v>
      </c>
      <c r="AU27" s="1">
        <v>6339.5</v>
      </c>
      <c r="AW27" s="1">
        <v>669.4</v>
      </c>
      <c r="AX27" s="1">
        <v>6339.5</v>
      </c>
      <c r="AZ27" s="1">
        <v>16.600000000000001</v>
      </c>
      <c r="BA27" s="1">
        <v>6339.5</v>
      </c>
      <c r="BC27" s="1">
        <v>8480</v>
      </c>
      <c r="BD27" s="1">
        <v>1732.1</v>
      </c>
      <c r="BF27" s="1">
        <v>8477.5</v>
      </c>
      <c r="BG27" s="1">
        <v>1732.1</v>
      </c>
      <c r="BL27" s="1">
        <v>15397.099999999999</v>
      </c>
      <c r="BM27" s="1">
        <v>1732.1</v>
      </c>
      <c r="BO27" s="1">
        <v>398.8</v>
      </c>
      <c r="BP27" s="1">
        <v>9270.3799999999992</v>
      </c>
      <c r="BR27" s="1">
        <v>1499.4</v>
      </c>
      <c r="BS27" s="1">
        <v>9270.3799999999992</v>
      </c>
      <c r="BU27" s="1">
        <v>218.4</v>
      </c>
      <c r="BV27" s="1">
        <v>9270.3799999999992</v>
      </c>
      <c r="BX27" s="1">
        <v>669.4</v>
      </c>
      <c r="BY27" s="1">
        <v>9270.3799999999992</v>
      </c>
      <c r="CA27" s="1">
        <v>16.600000000000001</v>
      </c>
      <c r="CB27" s="1">
        <v>9270.3799999999992</v>
      </c>
      <c r="CD27" s="1">
        <v>8480</v>
      </c>
      <c r="CE27" s="1">
        <v>15397.099999999999</v>
      </c>
      <c r="CG27" s="1">
        <v>8477.5</v>
      </c>
      <c r="CH27" s="1">
        <v>15397.099999999999</v>
      </c>
      <c r="CJ27" s="1">
        <v>1732.1</v>
      </c>
      <c r="CK27" s="1">
        <v>15397.099999999999</v>
      </c>
      <c r="CP27" s="1">
        <v>398.8</v>
      </c>
      <c r="CQ27" s="1">
        <v>42210.19</v>
      </c>
      <c r="CS27" s="1">
        <v>1499.4</v>
      </c>
      <c r="CT27" s="1">
        <v>42210.19</v>
      </c>
      <c r="CV27" s="1">
        <v>218.4</v>
      </c>
      <c r="CW27" s="1">
        <v>42210.19</v>
      </c>
      <c r="CY27" s="1">
        <v>669.4</v>
      </c>
      <c r="CZ27" s="1">
        <v>42210.19</v>
      </c>
      <c r="DB27" s="1">
        <v>16.600000000000001</v>
      </c>
      <c r="DC27" s="1">
        <v>42210.19</v>
      </c>
      <c r="DE27" s="1">
        <v>6342</v>
      </c>
      <c r="DF27" s="1">
        <v>398.8</v>
      </c>
      <c r="DH27" s="1">
        <v>6339.5</v>
      </c>
      <c r="DI27" s="1">
        <v>398.8</v>
      </c>
      <c r="DK27" s="1">
        <v>9270.3799999999992</v>
      </c>
      <c r="DL27" s="1">
        <v>398.8</v>
      </c>
      <c r="DN27" s="1">
        <v>42210.19</v>
      </c>
      <c r="DO27" s="1">
        <v>398.8</v>
      </c>
      <c r="DT27" s="1">
        <v>1499.4</v>
      </c>
      <c r="DU27" s="1">
        <v>398.8</v>
      </c>
      <c r="DW27" s="1">
        <v>218.4</v>
      </c>
      <c r="DX27" s="1">
        <v>398.8</v>
      </c>
      <c r="DZ27" s="1">
        <v>669.4</v>
      </c>
      <c r="EA27" s="1">
        <v>398.8</v>
      </c>
      <c r="EC27" s="1">
        <v>16.600000000000001</v>
      </c>
      <c r="ED27" s="1">
        <v>398.8</v>
      </c>
      <c r="EF27" s="1">
        <v>6342</v>
      </c>
      <c r="EG27" s="1">
        <v>1499.4</v>
      </c>
      <c r="EI27" s="1">
        <v>6339.5</v>
      </c>
      <c r="EJ27" s="1">
        <v>1499.4</v>
      </c>
      <c r="EL27" s="1">
        <v>9270.3799999999992</v>
      </c>
      <c r="EM27" s="1">
        <v>1499.4</v>
      </c>
      <c r="EO27" s="1">
        <v>42210.19</v>
      </c>
      <c r="EP27" s="1">
        <v>1499.4</v>
      </c>
      <c r="ER27" s="1">
        <v>398.8</v>
      </c>
      <c r="ES27" s="1">
        <v>1499.4</v>
      </c>
      <c r="EX27" s="1">
        <v>218.4</v>
      </c>
      <c r="EY27" s="1">
        <v>1499.4</v>
      </c>
      <c r="FA27" s="1">
        <v>669.4</v>
      </c>
      <c r="FB27" s="1">
        <v>1499.4</v>
      </c>
      <c r="FD27" s="1">
        <v>16.600000000000001</v>
      </c>
      <c r="FE27" s="1">
        <v>1499.4</v>
      </c>
      <c r="FG27" s="1">
        <v>6342</v>
      </c>
      <c r="FH27" s="1">
        <v>218.4</v>
      </c>
      <c r="FJ27" s="1">
        <v>6339.5</v>
      </c>
      <c r="FK27" s="1">
        <v>218.4</v>
      </c>
      <c r="FM27" s="1">
        <v>9270.3799999999992</v>
      </c>
      <c r="FN27" s="1">
        <v>218.4</v>
      </c>
      <c r="FP27" s="1">
        <v>42210.19</v>
      </c>
      <c r="FQ27" s="1">
        <v>218.4</v>
      </c>
      <c r="FS27" s="1">
        <v>398.8</v>
      </c>
      <c r="FT27" s="1">
        <v>218.4</v>
      </c>
      <c r="FV27" s="1">
        <v>1499.4</v>
      </c>
      <c r="FW27" s="1">
        <v>218.4</v>
      </c>
      <c r="GB27" s="1">
        <v>669.4</v>
      </c>
      <c r="GC27" s="1">
        <v>218.4</v>
      </c>
      <c r="GE27" s="1">
        <v>16.600000000000001</v>
      </c>
      <c r="GF27" s="1">
        <v>218.4</v>
      </c>
      <c r="GH27" s="1">
        <v>6342</v>
      </c>
      <c r="GI27" s="1">
        <v>669.4</v>
      </c>
      <c r="GK27" s="1">
        <v>6339.5</v>
      </c>
      <c r="GL27" s="1">
        <v>669.4</v>
      </c>
      <c r="GN27" s="1">
        <v>9270.3799999999992</v>
      </c>
      <c r="GO27" s="1">
        <v>669.4</v>
      </c>
      <c r="GQ27" s="1">
        <v>42210.19</v>
      </c>
      <c r="GR27" s="1">
        <v>669.4</v>
      </c>
      <c r="GT27" s="1">
        <v>398.8</v>
      </c>
      <c r="GU27" s="1">
        <v>669.4</v>
      </c>
      <c r="GW27" s="1">
        <v>1499.4</v>
      </c>
      <c r="GX27" s="1">
        <v>669.4</v>
      </c>
      <c r="GZ27" s="1">
        <v>218.4</v>
      </c>
      <c r="HA27" s="1">
        <v>669.4</v>
      </c>
      <c r="HF27" s="1">
        <v>16.600000000000001</v>
      </c>
      <c r="HG27" s="1">
        <v>669.4</v>
      </c>
      <c r="HI27" s="1">
        <v>6342</v>
      </c>
      <c r="HJ27" s="1">
        <v>16.600000000000001</v>
      </c>
      <c r="HL27" s="1">
        <v>6339.5</v>
      </c>
      <c r="HM27" s="1">
        <v>16.600000000000001</v>
      </c>
      <c r="HO27" s="1">
        <v>9270.3799999999992</v>
      </c>
      <c r="HP27" s="1">
        <v>16.600000000000001</v>
      </c>
      <c r="HR27" s="1">
        <v>42210.19</v>
      </c>
      <c r="HS27" s="1">
        <v>16.600000000000001</v>
      </c>
      <c r="HU27" s="1">
        <v>398.8</v>
      </c>
      <c r="HV27" s="1">
        <v>16.600000000000001</v>
      </c>
      <c r="HX27" s="1">
        <v>1499.4</v>
      </c>
      <c r="HY27" s="1">
        <v>16.600000000000001</v>
      </c>
      <c r="IA27" s="1">
        <v>218.4</v>
      </c>
      <c r="IB27" s="1">
        <v>16.600000000000001</v>
      </c>
    </row>
    <row r="28" spans="4:236" x14ac:dyDescent="0.2">
      <c r="D28" s="1">
        <v>3892.5</v>
      </c>
      <c r="E28" s="1">
        <v>3895</v>
      </c>
      <c r="G28" s="1">
        <v>11876.6</v>
      </c>
      <c r="H28" s="1">
        <v>15253</v>
      </c>
      <c r="J28" s="1">
        <v>46685.5</v>
      </c>
      <c r="K28" s="1">
        <v>15253</v>
      </c>
      <c r="M28" s="1">
        <v>607.80000000000007</v>
      </c>
      <c r="N28" s="1">
        <v>3794</v>
      </c>
      <c r="P28" s="1">
        <v>1427.9999999999998</v>
      </c>
      <c r="Q28" s="1">
        <v>3794</v>
      </c>
      <c r="S28" s="1">
        <v>259</v>
      </c>
      <c r="T28" s="1">
        <v>3794</v>
      </c>
      <c r="V28" s="1">
        <v>305.39999999999998</v>
      </c>
      <c r="W28" s="1">
        <v>3794</v>
      </c>
      <c r="Y28" s="1">
        <v>107.4</v>
      </c>
      <c r="Z28" s="1">
        <v>3794</v>
      </c>
      <c r="AB28" s="1">
        <v>3895</v>
      </c>
      <c r="AC28" s="1">
        <v>3892.5</v>
      </c>
      <c r="AH28" s="1">
        <v>11876.6</v>
      </c>
      <c r="AI28" s="1">
        <v>15250.500000000002</v>
      </c>
      <c r="AK28" s="1">
        <v>46685.5</v>
      </c>
      <c r="AL28" s="1">
        <v>15250.500000000002</v>
      </c>
      <c r="AN28" s="1">
        <v>607.80000000000007</v>
      </c>
      <c r="AO28" s="1">
        <v>3791.5</v>
      </c>
      <c r="AQ28" s="1">
        <v>1427.9999999999998</v>
      </c>
      <c r="AR28" s="1">
        <v>3791.5</v>
      </c>
      <c r="AT28" s="1">
        <v>259</v>
      </c>
      <c r="AU28" s="1">
        <v>3791.5</v>
      </c>
      <c r="AW28" s="1">
        <v>305.39999999999998</v>
      </c>
      <c r="AX28" s="1">
        <v>3791.5</v>
      </c>
      <c r="AZ28" s="1">
        <v>107.4</v>
      </c>
      <c r="BA28" s="1">
        <v>3791.5</v>
      </c>
      <c r="BC28" s="1">
        <v>15253</v>
      </c>
      <c r="BD28" s="1">
        <v>11876.6</v>
      </c>
      <c r="BF28" s="1">
        <v>15250.500000000002</v>
      </c>
      <c r="BG28" s="1">
        <v>11876.6</v>
      </c>
      <c r="BL28" s="1">
        <v>46685.5</v>
      </c>
      <c r="BM28" s="1">
        <v>11876.6</v>
      </c>
      <c r="BO28" s="1">
        <v>607.80000000000007</v>
      </c>
      <c r="BP28" s="1">
        <v>5038.74</v>
      </c>
      <c r="BR28" s="1">
        <v>1427.9999999999998</v>
      </c>
      <c r="BS28" s="1">
        <v>5038.74</v>
      </c>
      <c r="BU28" s="1">
        <v>259</v>
      </c>
      <c r="BV28" s="1">
        <v>5038.74</v>
      </c>
      <c r="BX28" s="1">
        <v>305.39999999999998</v>
      </c>
      <c r="BY28" s="1">
        <v>5038.74</v>
      </c>
      <c r="CA28" s="1">
        <v>107.4</v>
      </c>
      <c r="CB28" s="1">
        <v>5038.74</v>
      </c>
      <c r="CD28" s="1">
        <v>15253</v>
      </c>
      <c r="CE28" s="1">
        <v>46685.5</v>
      </c>
      <c r="CG28" s="1">
        <v>15250.500000000002</v>
      </c>
      <c r="CH28" s="1">
        <v>46685.5</v>
      </c>
      <c r="CJ28" s="1">
        <v>11876.6</v>
      </c>
      <c r="CK28" s="1">
        <v>46685.5</v>
      </c>
      <c r="CP28" s="1">
        <v>607.80000000000007</v>
      </c>
      <c r="CQ28" s="1">
        <v>15598.17</v>
      </c>
      <c r="CS28" s="1">
        <v>1427.9999999999998</v>
      </c>
      <c r="CT28" s="1">
        <v>15598.17</v>
      </c>
      <c r="CV28" s="1">
        <v>259</v>
      </c>
      <c r="CW28" s="1">
        <v>15598.17</v>
      </c>
      <c r="CY28" s="1">
        <v>305.39999999999998</v>
      </c>
      <c r="CZ28" s="1">
        <v>15598.17</v>
      </c>
      <c r="DB28" s="1">
        <v>107.4</v>
      </c>
      <c r="DC28" s="1">
        <v>15598.17</v>
      </c>
      <c r="DE28" s="1">
        <v>3794</v>
      </c>
      <c r="DF28" s="1">
        <v>607.80000000000007</v>
      </c>
      <c r="DH28" s="1">
        <v>3791.5</v>
      </c>
      <c r="DI28" s="1">
        <v>607.80000000000007</v>
      </c>
      <c r="DK28" s="1">
        <v>5038.74</v>
      </c>
      <c r="DL28" s="1">
        <v>607.80000000000007</v>
      </c>
      <c r="DN28" s="1">
        <v>15598.17</v>
      </c>
      <c r="DO28" s="1">
        <v>607.80000000000007</v>
      </c>
      <c r="DT28" s="1">
        <v>1427.9999999999998</v>
      </c>
      <c r="DU28" s="1">
        <v>607.80000000000007</v>
      </c>
      <c r="DW28" s="1">
        <v>259</v>
      </c>
      <c r="DX28" s="1">
        <v>607.80000000000007</v>
      </c>
      <c r="DZ28" s="1">
        <v>305.39999999999998</v>
      </c>
      <c r="EA28" s="1">
        <v>607.80000000000007</v>
      </c>
      <c r="EC28" s="1">
        <v>107.4</v>
      </c>
      <c r="ED28" s="1">
        <v>607.80000000000007</v>
      </c>
      <c r="EF28" s="1">
        <v>3794</v>
      </c>
      <c r="EG28" s="1">
        <v>1427.9999999999998</v>
      </c>
      <c r="EI28" s="1">
        <v>3791.5</v>
      </c>
      <c r="EJ28" s="1">
        <v>1427.9999999999998</v>
      </c>
      <c r="EL28" s="1">
        <v>5038.74</v>
      </c>
      <c r="EM28" s="1">
        <v>1427.9999999999998</v>
      </c>
      <c r="EO28" s="1">
        <v>15598.17</v>
      </c>
      <c r="EP28" s="1">
        <v>1427.9999999999998</v>
      </c>
      <c r="ER28" s="1">
        <v>607.80000000000007</v>
      </c>
      <c r="ES28" s="1">
        <v>1427.9999999999998</v>
      </c>
      <c r="EX28" s="1">
        <v>259</v>
      </c>
      <c r="EY28" s="1">
        <v>1427.9999999999998</v>
      </c>
      <c r="FA28" s="1">
        <v>305.39999999999998</v>
      </c>
      <c r="FB28" s="1">
        <v>1427.9999999999998</v>
      </c>
      <c r="FD28" s="1">
        <v>107.4</v>
      </c>
      <c r="FE28" s="1">
        <v>1427.9999999999998</v>
      </c>
      <c r="FG28" s="1">
        <v>3794</v>
      </c>
      <c r="FH28" s="1">
        <v>259</v>
      </c>
      <c r="FJ28" s="1">
        <v>3791.5</v>
      </c>
      <c r="FK28" s="1">
        <v>259</v>
      </c>
      <c r="FM28" s="1">
        <v>5038.74</v>
      </c>
      <c r="FN28" s="1">
        <v>259</v>
      </c>
      <c r="FP28" s="1">
        <v>15598.17</v>
      </c>
      <c r="FQ28" s="1">
        <v>259</v>
      </c>
      <c r="FS28" s="1">
        <v>607.80000000000007</v>
      </c>
      <c r="FT28" s="1">
        <v>259</v>
      </c>
      <c r="FV28" s="1">
        <v>1427.9999999999998</v>
      </c>
      <c r="FW28" s="1">
        <v>259</v>
      </c>
      <c r="GB28" s="1">
        <v>305.39999999999998</v>
      </c>
      <c r="GC28" s="1">
        <v>259</v>
      </c>
      <c r="GE28" s="1">
        <v>107.4</v>
      </c>
      <c r="GF28" s="1">
        <v>259</v>
      </c>
      <c r="GH28" s="1">
        <v>3794</v>
      </c>
      <c r="GI28" s="1">
        <v>305.39999999999998</v>
      </c>
      <c r="GK28" s="1">
        <v>3791.5</v>
      </c>
      <c r="GL28" s="1">
        <v>305.39999999999998</v>
      </c>
      <c r="GN28" s="1">
        <v>5038.74</v>
      </c>
      <c r="GO28" s="1">
        <v>305.39999999999998</v>
      </c>
      <c r="GQ28" s="1">
        <v>15598.17</v>
      </c>
      <c r="GR28" s="1">
        <v>305.39999999999998</v>
      </c>
      <c r="GT28" s="1">
        <v>607.80000000000007</v>
      </c>
      <c r="GU28" s="1">
        <v>305.39999999999998</v>
      </c>
      <c r="GW28" s="1">
        <v>1427.9999999999998</v>
      </c>
      <c r="GX28" s="1">
        <v>305.39999999999998</v>
      </c>
      <c r="GZ28" s="1">
        <v>259</v>
      </c>
      <c r="HA28" s="1">
        <v>305.39999999999998</v>
      </c>
      <c r="HF28" s="1">
        <v>107.4</v>
      </c>
      <c r="HG28" s="1">
        <v>305.39999999999998</v>
      </c>
      <c r="HI28" s="1">
        <v>3794</v>
      </c>
      <c r="HJ28" s="1">
        <v>107.4</v>
      </c>
      <c r="HL28" s="1">
        <v>3791.5</v>
      </c>
      <c r="HM28" s="1">
        <v>107.4</v>
      </c>
      <c r="HO28" s="1">
        <v>5038.74</v>
      </c>
      <c r="HP28" s="1">
        <v>107.4</v>
      </c>
      <c r="HR28" s="1">
        <v>15598.17</v>
      </c>
      <c r="HS28" s="1">
        <v>107.4</v>
      </c>
      <c r="HU28" s="1">
        <v>607.80000000000007</v>
      </c>
      <c r="HV28" s="1">
        <v>107.4</v>
      </c>
      <c r="HX28" s="1">
        <v>1427.9999999999998</v>
      </c>
      <c r="HY28" s="1">
        <v>107.4</v>
      </c>
      <c r="IA28" s="1">
        <v>259</v>
      </c>
      <c r="IB28" s="1">
        <v>107.4</v>
      </c>
    </row>
    <row r="29" spans="4:236" x14ac:dyDescent="0.2">
      <c r="D29" s="1">
        <v>8240.5</v>
      </c>
      <c r="E29" s="1">
        <v>8243</v>
      </c>
      <c r="G29" s="1">
        <v>3469.2999999999997</v>
      </c>
      <c r="H29" s="1">
        <v>10261</v>
      </c>
      <c r="J29" s="1">
        <v>24014.1</v>
      </c>
      <c r="K29" s="1">
        <v>10261</v>
      </c>
      <c r="AB29" s="1">
        <v>8243</v>
      </c>
      <c r="AC29" s="1">
        <v>8240.5</v>
      </c>
      <c r="AH29" s="1">
        <v>3469.2999999999997</v>
      </c>
      <c r="AI29" s="1">
        <v>10258.5</v>
      </c>
      <c r="AK29" s="1">
        <v>24014.1</v>
      </c>
      <c r="AL29" s="1">
        <v>10258.5</v>
      </c>
      <c r="BC29" s="1">
        <v>10261</v>
      </c>
      <c r="BD29" s="1">
        <v>3469.2999999999997</v>
      </c>
      <c r="BF29" s="1">
        <v>10258.5</v>
      </c>
      <c r="BG29" s="1">
        <v>3469.2999999999997</v>
      </c>
      <c r="BL29" s="1">
        <v>24014.1</v>
      </c>
      <c r="BM29" s="1">
        <v>3469.2999999999997</v>
      </c>
      <c r="CD29" s="1">
        <v>10261</v>
      </c>
      <c r="CE29" s="1">
        <v>24014.1</v>
      </c>
      <c r="CG29" s="1">
        <v>10258.5</v>
      </c>
      <c r="CH29" s="1">
        <v>24014.1</v>
      </c>
      <c r="CJ29" s="1">
        <v>3469.2999999999997</v>
      </c>
      <c r="CK29" s="1">
        <v>24014.1</v>
      </c>
    </row>
    <row r="30" spans="4:236" x14ac:dyDescent="0.2">
      <c r="D30" s="1">
        <v>4042.5</v>
      </c>
      <c r="E30" s="1">
        <v>4045</v>
      </c>
      <c r="G30" s="1">
        <v>5586.85</v>
      </c>
      <c r="H30" s="1">
        <v>14317</v>
      </c>
      <c r="J30" s="1">
        <v>23100.17</v>
      </c>
      <c r="K30" s="1">
        <v>14317</v>
      </c>
      <c r="AB30" s="1">
        <v>4045</v>
      </c>
      <c r="AC30" s="1">
        <v>4042.5</v>
      </c>
      <c r="AH30" s="1">
        <v>5586.85</v>
      </c>
      <c r="AI30" s="1">
        <v>14314.5</v>
      </c>
      <c r="AK30" s="1">
        <v>23100.17</v>
      </c>
      <c r="AL30" s="1">
        <v>14314.5</v>
      </c>
      <c r="BC30" s="1">
        <v>14317</v>
      </c>
      <c r="BD30" s="1">
        <v>5586.85</v>
      </c>
      <c r="BF30" s="1">
        <v>14314.5</v>
      </c>
      <c r="BG30" s="1">
        <v>5586.85</v>
      </c>
      <c r="BL30" s="1">
        <v>23100.17</v>
      </c>
      <c r="BM30" s="1">
        <v>5586.85</v>
      </c>
      <c r="CD30" s="1">
        <v>14317</v>
      </c>
      <c r="CE30" s="1">
        <v>23100.17</v>
      </c>
      <c r="CG30" s="1">
        <v>14314.5</v>
      </c>
      <c r="CH30" s="1">
        <v>23100.17</v>
      </c>
      <c r="CJ30" s="1">
        <v>5586.85</v>
      </c>
      <c r="CK30" s="1">
        <v>23100.17</v>
      </c>
    </row>
    <row r="31" spans="4:236" x14ac:dyDescent="0.2">
      <c r="D31" s="1">
        <v>4714.5</v>
      </c>
      <c r="E31" s="1">
        <v>4717</v>
      </c>
      <c r="G31" s="1">
        <v>11093.560000000001</v>
      </c>
      <c r="H31" s="1">
        <v>13196</v>
      </c>
      <c r="J31" s="1">
        <v>48989.83</v>
      </c>
      <c r="K31" s="1">
        <v>13196</v>
      </c>
      <c r="AB31" s="1">
        <v>4717</v>
      </c>
      <c r="AC31" s="1">
        <v>4714.5</v>
      </c>
      <c r="AH31" s="1">
        <v>11093.560000000001</v>
      </c>
      <c r="AI31" s="1">
        <v>13193.5</v>
      </c>
      <c r="AK31" s="1">
        <v>48989.83</v>
      </c>
      <c r="AL31" s="1">
        <v>13193.5</v>
      </c>
      <c r="BC31" s="1">
        <v>13196</v>
      </c>
      <c r="BD31" s="1">
        <v>11093.560000000001</v>
      </c>
      <c r="BF31" s="1">
        <v>13193.5</v>
      </c>
      <c r="BG31" s="1">
        <v>11093.560000000001</v>
      </c>
      <c r="BL31" s="1">
        <v>48989.83</v>
      </c>
      <c r="BM31" s="1">
        <v>11093.560000000001</v>
      </c>
      <c r="CD31" s="1">
        <v>13196</v>
      </c>
      <c r="CE31" s="1">
        <v>48989.83</v>
      </c>
      <c r="CG31" s="1">
        <v>13193.5</v>
      </c>
      <c r="CH31" s="1">
        <v>48989.83</v>
      </c>
      <c r="CJ31" s="1">
        <v>11093.560000000001</v>
      </c>
      <c r="CK31" s="1">
        <v>48989.83</v>
      </c>
    </row>
    <row r="32" spans="4:236" x14ac:dyDescent="0.2">
      <c r="D32" s="1">
        <v>8142.5</v>
      </c>
      <c r="E32" s="1">
        <v>8145</v>
      </c>
      <c r="G32" s="1">
        <v>2461.41</v>
      </c>
      <c r="H32" s="1">
        <v>8593</v>
      </c>
      <c r="J32" s="1">
        <v>10515.05</v>
      </c>
      <c r="K32" s="1">
        <v>8593</v>
      </c>
      <c r="AB32" s="1">
        <v>8145</v>
      </c>
      <c r="AC32" s="1">
        <v>8142.5</v>
      </c>
      <c r="AH32" s="1">
        <v>2461.41</v>
      </c>
      <c r="AI32" s="1">
        <v>8590.5</v>
      </c>
      <c r="AK32" s="1">
        <v>10515.05</v>
      </c>
      <c r="AL32" s="1">
        <v>8590.5</v>
      </c>
      <c r="BC32" s="1">
        <v>8593</v>
      </c>
      <c r="BD32" s="1">
        <v>2461.41</v>
      </c>
      <c r="BF32" s="1">
        <v>8590.5</v>
      </c>
      <c r="BG32" s="1">
        <v>2461.41</v>
      </c>
      <c r="BL32" s="1">
        <v>10515.05</v>
      </c>
      <c r="BM32" s="1">
        <v>2461.41</v>
      </c>
      <c r="CD32" s="1">
        <v>8593</v>
      </c>
      <c r="CE32" s="1">
        <v>10515.05</v>
      </c>
      <c r="CG32" s="1">
        <v>8590.5</v>
      </c>
      <c r="CH32" s="1">
        <v>10515.05</v>
      </c>
      <c r="CJ32" s="1">
        <v>2461.41</v>
      </c>
      <c r="CK32" s="1">
        <v>10515.05</v>
      </c>
    </row>
    <row r="33" spans="4:89" x14ac:dyDescent="0.2">
      <c r="D33" s="1">
        <v>6336.5000000000009</v>
      </c>
      <c r="E33" s="1">
        <v>6339</v>
      </c>
      <c r="G33" s="1">
        <v>10138.380000000001</v>
      </c>
      <c r="H33" s="1">
        <v>12589</v>
      </c>
      <c r="J33" s="1">
        <v>45952.58</v>
      </c>
      <c r="K33" s="1">
        <v>12589</v>
      </c>
      <c r="AB33" s="1">
        <v>6339</v>
      </c>
      <c r="AC33" s="1">
        <v>6336.5000000000009</v>
      </c>
      <c r="AH33" s="1">
        <v>10138.380000000001</v>
      </c>
      <c r="AI33" s="1">
        <v>12586.5</v>
      </c>
      <c r="AK33" s="1">
        <v>45952.58</v>
      </c>
      <c r="AL33" s="1">
        <v>12586.5</v>
      </c>
      <c r="BC33" s="1">
        <v>12589</v>
      </c>
      <c r="BD33" s="1">
        <v>10138.380000000001</v>
      </c>
      <c r="BF33" s="1">
        <v>12586.5</v>
      </c>
      <c r="BG33" s="1">
        <v>10138.380000000001</v>
      </c>
      <c r="BL33" s="1">
        <v>45952.58</v>
      </c>
      <c r="BM33" s="1">
        <v>10138.380000000001</v>
      </c>
      <c r="CD33" s="1">
        <v>12589</v>
      </c>
      <c r="CE33" s="1">
        <v>45952.58</v>
      </c>
      <c r="CG33" s="1">
        <v>12586.5</v>
      </c>
      <c r="CH33" s="1">
        <v>45952.58</v>
      </c>
      <c r="CJ33" s="1">
        <v>10138.380000000001</v>
      </c>
      <c r="CK33" s="1">
        <v>45952.58</v>
      </c>
    </row>
    <row r="34" spans="4:89" x14ac:dyDescent="0.2">
      <c r="D34" s="1">
        <v>8477.5</v>
      </c>
      <c r="E34" s="1">
        <v>8480</v>
      </c>
      <c r="G34" s="1">
        <v>4023.2700000000004</v>
      </c>
      <c r="H34" s="1">
        <v>10025</v>
      </c>
      <c r="J34" s="1">
        <v>16348.45</v>
      </c>
      <c r="K34" s="1">
        <v>10025</v>
      </c>
      <c r="AB34" s="1">
        <v>8480</v>
      </c>
      <c r="AC34" s="1">
        <v>8477.5</v>
      </c>
      <c r="AH34" s="1">
        <v>4023.2700000000004</v>
      </c>
      <c r="AI34" s="1">
        <v>10022.5</v>
      </c>
      <c r="AK34" s="1">
        <v>16348.45</v>
      </c>
      <c r="AL34" s="1">
        <v>10022.5</v>
      </c>
      <c r="BC34" s="1">
        <v>10025</v>
      </c>
      <c r="BD34" s="1">
        <v>4023.2700000000004</v>
      </c>
      <c r="BF34" s="1">
        <v>10022.5</v>
      </c>
      <c r="BG34" s="1">
        <v>4023.2700000000004</v>
      </c>
      <c r="BL34" s="1">
        <v>16348.45</v>
      </c>
      <c r="BM34" s="1">
        <v>4023.2700000000004</v>
      </c>
      <c r="CD34" s="1">
        <v>10025</v>
      </c>
      <c r="CE34" s="1">
        <v>16348.45</v>
      </c>
      <c r="CG34" s="1">
        <v>10022.5</v>
      </c>
      <c r="CH34" s="1">
        <v>16348.45</v>
      </c>
      <c r="CJ34" s="1">
        <v>4023.2700000000004</v>
      </c>
      <c r="CK34" s="1">
        <v>16348.45</v>
      </c>
    </row>
    <row r="35" spans="4:89" x14ac:dyDescent="0.2">
      <c r="D35" s="1">
        <v>15250.500000000002</v>
      </c>
      <c r="E35" s="1">
        <v>15253</v>
      </c>
      <c r="G35" s="1">
        <v>7378.41</v>
      </c>
      <c r="H35" s="1">
        <v>10773</v>
      </c>
      <c r="J35" s="1">
        <v>26125.200000000001</v>
      </c>
      <c r="K35" s="1">
        <v>10773</v>
      </c>
      <c r="AB35" s="1">
        <v>15253</v>
      </c>
      <c r="AC35" s="1">
        <v>15250.500000000002</v>
      </c>
      <c r="AH35" s="1">
        <v>7378.41</v>
      </c>
      <c r="AI35" s="1">
        <v>10770.499999999998</v>
      </c>
      <c r="AK35" s="1">
        <v>26125.200000000001</v>
      </c>
      <c r="AL35" s="1">
        <v>10770.499999999998</v>
      </c>
      <c r="BC35" s="1">
        <v>10773</v>
      </c>
      <c r="BD35" s="1">
        <v>7378.41</v>
      </c>
      <c r="BF35" s="1">
        <v>10770.499999999998</v>
      </c>
      <c r="BG35" s="1">
        <v>7378.41</v>
      </c>
      <c r="BL35" s="1">
        <v>26125.200000000001</v>
      </c>
      <c r="BM35" s="1">
        <v>7378.41</v>
      </c>
      <c r="CD35" s="1">
        <v>10773</v>
      </c>
      <c r="CE35" s="1">
        <v>26125.200000000001</v>
      </c>
      <c r="CG35" s="1">
        <v>10770.499999999998</v>
      </c>
      <c r="CH35" s="1">
        <v>26125.200000000001</v>
      </c>
      <c r="CJ35" s="1">
        <v>7378.41</v>
      </c>
      <c r="CK35" s="1">
        <v>26125.200000000001</v>
      </c>
    </row>
    <row r="36" spans="4:89" x14ac:dyDescent="0.2">
      <c r="D36" s="1">
        <v>10258.5</v>
      </c>
      <c r="E36" s="1">
        <v>10261</v>
      </c>
      <c r="G36" s="1">
        <v>4945.9500000000007</v>
      </c>
      <c r="H36" s="1">
        <v>8483</v>
      </c>
      <c r="J36" s="1">
        <v>19818.599999999999</v>
      </c>
      <c r="K36" s="1">
        <v>8483</v>
      </c>
      <c r="AB36" s="1">
        <v>10261</v>
      </c>
      <c r="AC36" s="1">
        <v>10258.5</v>
      </c>
      <c r="AH36" s="1">
        <v>4945.9500000000007</v>
      </c>
      <c r="AI36" s="1">
        <v>8480.5</v>
      </c>
      <c r="AK36" s="1">
        <v>19818.599999999999</v>
      </c>
      <c r="AL36" s="1">
        <v>8480.5</v>
      </c>
      <c r="BC36" s="1">
        <v>8483</v>
      </c>
      <c r="BD36" s="1">
        <v>4945.9500000000007</v>
      </c>
      <c r="BF36" s="1">
        <v>8480.5</v>
      </c>
      <c r="BG36" s="1">
        <v>4945.9500000000007</v>
      </c>
      <c r="BL36" s="1">
        <v>19818.599999999999</v>
      </c>
      <c r="BM36" s="1">
        <v>4945.9500000000007</v>
      </c>
      <c r="CD36" s="1">
        <v>8483</v>
      </c>
      <c r="CE36" s="1">
        <v>19818.599999999999</v>
      </c>
      <c r="CG36" s="1">
        <v>8480.5</v>
      </c>
      <c r="CH36" s="1">
        <v>19818.599999999999</v>
      </c>
      <c r="CJ36" s="1">
        <v>4945.9500000000007</v>
      </c>
      <c r="CK36" s="1">
        <v>19818.599999999999</v>
      </c>
    </row>
    <row r="37" spans="4:89" x14ac:dyDescent="0.2">
      <c r="D37" s="1">
        <v>14314.5</v>
      </c>
      <c r="E37" s="1">
        <v>14317</v>
      </c>
      <c r="G37" s="1">
        <v>9728.1</v>
      </c>
      <c r="H37" s="1">
        <v>10618</v>
      </c>
      <c r="J37" s="1">
        <v>31698.45</v>
      </c>
      <c r="K37" s="1">
        <v>10618</v>
      </c>
      <c r="AB37" s="1">
        <v>14317</v>
      </c>
      <c r="AC37" s="1">
        <v>14314.5</v>
      </c>
      <c r="AH37" s="1">
        <v>9728.1</v>
      </c>
      <c r="AI37" s="1">
        <v>10615.499999999998</v>
      </c>
      <c r="AK37" s="1">
        <v>31698.45</v>
      </c>
      <c r="AL37" s="1">
        <v>10615.499999999998</v>
      </c>
      <c r="BC37" s="1">
        <v>10618</v>
      </c>
      <c r="BD37" s="1">
        <v>9728.1</v>
      </c>
      <c r="BF37" s="1">
        <v>10615.499999999998</v>
      </c>
      <c r="BG37" s="1">
        <v>9728.1</v>
      </c>
      <c r="BL37" s="1">
        <v>31698.45</v>
      </c>
      <c r="BM37" s="1">
        <v>9728.1</v>
      </c>
      <c r="CD37" s="1">
        <v>10618</v>
      </c>
      <c r="CE37" s="1">
        <v>31698.45</v>
      </c>
      <c r="CG37" s="1">
        <v>10615.499999999998</v>
      </c>
      <c r="CH37" s="1">
        <v>31698.45</v>
      </c>
      <c r="CJ37" s="1">
        <v>9728.1</v>
      </c>
      <c r="CK37" s="1">
        <v>31698.45</v>
      </c>
    </row>
    <row r="38" spans="4:89" x14ac:dyDescent="0.2">
      <c r="D38" s="1">
        <v>13193.5</v>
      </c>
      <c r="E38" s="1">
        <v>13196</v>
      </c>
      <c r="G38" s="1">
        <v>22311.38</v>
      </c>
      <c r="H38" s="1">
        <v>11573</v>
      </c>
      <c r="J38" s="1">
        <v>42951.46</v>
      </c>
      <c r="K38" s="1">
        <v>11573</v>
      </c>
      <c r="AB38" s="1">
        <v>13196</v>
      </c>
      <c r="AC38" s="1">
        <v>13193.5</v>
      </c>
      <c r="AH38" s="1">
        <v>22311.38</v>
      </c>
      <c r="AI38" s="1">
        <v>11570.499999999998</v>
      </c>
      <c r="AK38" s="1">
        <v>42951.46</v>
      </c>
      <c r="AL38" s="1">
        <v>11570.499999999998</v>
      </c>
      <c r="BC38" s="1">
        <v>11573</v>
      </c>
      <c r="BD38" s="1">
        <v>22311.38</v>
      </c>
      <c r="BF38" s="1">
        <v>11570.499999999998</v>
      </c>
      <c r="BG38" s="1">
        <v>22311.38</v>
      </c>
      <c r="BL38" s="1">
        <v>42951.46</v>
      </c>
      <c r="BM38" s="1">
        <v>22311.38</v>
      </c>
      <c r="CD38" s="1">
        <v>11573</v>
      </c>
      <c r="CE38" s="1">
        <v>42951.46</v>
      </c>
      <c r="CG38" s="1">
        <v>11570.499999999998</v>
      </c>
      <c r="CH38" s="1">
        <v>42951.46</v>
      </c>
      <c r="CJ38" s="1">
        <v>22311.38</v>
      </c>
      <c r="CK38" s="1">
        <v>42951.46</v>
      </c>
    </row>
    <row r="39" spans="4:89" x14ac:dyDescent="0.2">
      <c r="D39" s="1">
        <v>8590.5</v>
      </c>
      <c r="E39" s="1">
        <v>8593</v>
      </c>
      <c r="G39" s="1">
        <v>55532.800000000003</v>
      </c>
      <c r="H39" s="1">
        <v>6996</v>
      </c>
      <c r="J39" s="1">
        <v>97535.040000000008</v>
      </c>
      <c r="K39" s="1">
        <v>6996</v>
      </c>
      <c r="AB39" s="1">
        <v>8593</v>
      </c>
      <c r="AC39" s="1">
        <v>8590.5</v>
      </c>
      <c r="AH39" s="1">
        <v>55532.800000000003</v>
      </c>
      <c r="AI39" s="1">
        <v>6993.5</v>
      </c>
      <c r="AK39" s="1">
        <v>97535.040000000008</v>
      </c>
      <c r="AL39" s="1">
        <v>6993.5</v>
      </c>
      <c r="BC39" s="1">
        <v>6996</v>
      </c>
      <c r="BD39" s="1">
        <v>55532.800000000003</v>
      </c>
      <c r="BF39" s="1">
        <v>6993.5</v>
      </c>
      <c r="BG39" s="1">
        <v>55532.800000000003</v>
      </c>
      <c r="BL39" s="1">
        <v>97535.040000000008</v>
      </c>
      <c r="BM39" s="1">
        <v>55532.800000000003</v>
      </c>
      <c r="CD39" s="1">
        <v>6996</v>
      </c>
      <c r="CE39" s="1">
        <v>97535.040000000008</v>
      </c>
      <c r="CG39" s="1">
        <v>6993.5</v>
      </c>
      <c r="CH39" s="1">
        <v>97535.040000000008</v>
      </c>
      <c r="CJ39" s="1">
        <v>55532.800000000003</v>
      </c>
      <c r="CK39" s="1">
        <v>97535.040000000008</v>
      </c>
    </row>
    <row r="40" spans="4:89" x14ac:dyDescent="0.2">
      <c r="D40" s="1">
        <v>12586.5</v>
      </c>
      <c r="E40" s="1">
        <v>12589</v>
      </c>
      <c r="G40" s="1">
        <v>1190.93</v>
      </c>
      <c r="H40" s="1">
        <v>3157</v>
      </c>
      <c r="J40" s="1">
        <v>7060.9900000000007</v>
      </c>
      <c r="K40" s="1">
        <v>3157</v>
      </c>
      <c r="AB40" s="1">
        <v>12589</v>
      </c>
      <c r="AC40" s="1">
        <v>12586.5</v>
      </c>
      <c r="AH40" s="1">
        <v>1190.93</v>
      </c>
      <c r="AI40" s="1">
        <v>3154.5000000000005</v>
      </c>
      <c r="AK40" s="1">
        <v>7060.9900000000007</v>
      </c>
      <c r="AL40" s="1">
        <v>3154.5000000000005</v>
      </c>
      <c r="BC40" s="1">
        <v>3157</v>
      </c>
      <c r="BD40" s="1">
        <v>1190.93</v>
      </c>
      <c r="BF40" s="1">
        <v>3154.5000000000005</v>
      </c>
      <c r="BG40" s="1">
        <v>1190.93</v>
      </c>
      <c r="BL40" s="1">
        <v>7060.9900000000007</v>
      </c>
      <c r="BM40" s="1">
        <v>1190.93</v>
      </c>
      <c r="CD40" s="1">
        <v>3157</v>
      </c>
      <c r="CE40" s="1">
        <v>7060.9900000000007</v>
      </c>
      <c r="CG40" s="1">
        <v>3154.5000000000005</v>
      </c>
      <c r="CH40" s="1">
        <v>7060.9900000000007</v>
      </c>
      <c r="CJ40" s="1">
        <v>1190.93</v>
      </c>
      <c r="CK40" s="1">
        <v>7060.9900000000007</v>
      </c>
    </row>
    <row r="41" spans="4:89" x14ac:dyDescent="0.2">
      <c r="D41" s="1">
        <v>10022.5</v>
      </c>
      <c r="E41" s="1">
        <v>10025</v>
      </c>
      <c r="G41" s="1">
        <v>998.23</v>
      </c>
      <c r="H41" s="1">
        <v>2546</v>
      </c>
      <c r="J41" s="1">
        <v>6335.84</v>
      </c>
      <c r="K41" s="1">
        <v>2546</v>
      </c>
      <c r="AB41" s="1">
        <v>10025</v>
      </c>
      <c r="AC41" s="1">
        <v>10022.5</v>
      </c>
      <c r="AH41" s="1">
        <v>998.23</v>
      </c>
      <c r="AI41" s="1">
        <v>2543.5</v>
      </c>
      <c r="AK41" s="1">
        <v>6335.84</v>
      </c>
      <c r="AL41" s="1">
        <v>2543.5</v>
      </c>
      <c r="BC41" s="1">
        <v>2546</v>
      </c>
      <c r="BD41" s="1">
        <v>998.23</v>
      </c>
      <c r="BF41" s="1">
        <v>2543.5</v>
      </c>
      <c r="BG41" s="1">
        <v>998.23</v>
      </c>
      <c r="BL41" s="1">
        <v>6335.84</v>
      </c>
      <c r="BM41" s="1">
        <v>998.23</v>
      </c>
      <c r="CD41" s="1">
        <v>2546</v>
      </c>
      <c r="CE41" s="1">
        <v>6335.84</v>
      </c>
      <c r="CG41" s="1">
        <v>2543.5</v>
      </c>
      <c r="CH41" s="1">
        <v>6335.84</v>
      </c>
      <c r="CJ41" s="1">
        <v>998.23</v>
      </c>
      <c r="CK41" s="1">
        <v>6335.84</v>
      </c>
    </row>
    <row r="42" spans="4:89" x14ac:dyDescent="0.2">
      <c r="D42" s="1">
        <v>10770.499999999998</v>
      </c>
      <c r="E42" s="1">
        <v>10773</v>
      </c>
      <c r="G42" s="1">
        <v>2277</v>
      </c>
      <c r="H42" s="1">
        <v>3970</v>
      </c>
      <c r="J42" s="1">
        <v>10741.31</v>
      </c>
      <c r="K42" s="1">
        <v>3970</v>
      </c>
      <c r="AB42" s="1">
        <v>10773</v>
      </c>
      <c r="AC42" s="1">
        <v>10770.499999999998</v>
      </c>
      <c r="AH42" s="1">
        <v>2277</v>
      </c>
      <c r="AI42" s="1">
        <v>3967.5</v>
      </c>
      <c r="AK42" s="1">
        <v>10741.31</v>
      </c>
      <c r="AL42" s="1">
        <v>3967.5</v>
      </c>
      <c r="BC42" s="1">
        <v>3970</v>
      </c>
      <c r="BD42" s="1">
        <v>2277</v>
      </c>
      <c r="BF42" s="1">
        <v>3967.5</v>
      </c>
      <c r="BG42" s="1">
        <v>2277</v>
      </c>
      <c r="BL42" s="1">
        <v>10741.31</v>
      </c>
      <c r="BM42" s="1">
        <v>2277</v>
      </c>
      <c r="CD42" s="1">
        <v>3970</v>
      </c>
      <c r="CE42" s="1">
        <v>10741.31</v>
      </c>
      <c r="CG42" s="1">
        <v>3967.5</v>
      </c>
      <c r="CH42" s="1">
        <v>10741.31</v>
      </c>
      <c r="CJ42" s="1">
        <v>2277</v>
      </c>
      <c r="CK42" s="1">
        <v>10741.31</v>
      </c>
    </row>
    <row r="43" spans="4:89" x14ac:dyDescent="0.2">
      <c r="D43" s="1">
        <v>8480.5</v>
      </c>
      <c r="E43" s="1">
        <v>8483</v>
      </c>
      <c r="G43" s="1">
        <v>3034.9799999999996</v>
      </c>
      <c r="H43" s="1">
        <v>3852</v>
      </c>
      <c r="J43" s="1">
        <v>14807.34</v>
      </c>
      <c r="K43" s="1">
        <v>3852</v>
      </c>
      <c r="AB43" s="1">
        <v>8483</v>
      </c>
      <c r="AC43" s="1">
        <v>8480.5</v>
      </c>
      <c r="AH43" s="1">
        <v>3034.9799999999996</v>
      </c>
      <c r="AI43" s="1">
        <v>3849.5000000000005</v>
      </c>
      <c r="AK43" s="1">
        <v>14807.34</v>
      </c>
      <c r="AL43" s="1">
        <v>3849.5000000000005</v>
      </c>
      <c r="BC43" s="1">
        <v>3852</v>
      </c>
      <c r="BD43" s="1">
        <v>3034.9799999999996</v>
      </c>
      <c r="BF43" s="1">
        <v>3849.5000000000005</v>
      </c>
      <c r="BG43" s="1">
        <v>3034.9799999999996</v>
      </c>
      <c r="BL43" s="1">
        <v>14807.34</v>
      </c>
      <c r="BM43" s="1">
        <v>3034.9799999999996</v>
      </c>
      <c r="CD43" s="1">
        <v>3852</v>
      </c>
      <c r="CE43" s="1">
        <v>14807.34</v>
      </c>
      <c r="CG43" s="1">
        <v>3849.5000000000005</v>
      </c>
      <c r="CH43" s="1">
        <v>14807.34</v>
      </c>
      <c r="CJ43" s="1">
        <v>3034.9799999999996</v>
      </c>
      <c r="CK43" s="1">
        <v>14807.34</v>
      </c>
    </row>
    <row r="44" spans="4:89" x14ac:dyDescent="0.2">
      <c r="D44" s="1">
        <v>10615.499999999998</v>
      </c>
      <c r="E44" s="1">
        <v>10618</v>
      </c>
      <c r="G44" s="1">
        <v>9270.3799999999992</v>
      </c>
      <c r="H44" s="1">
        <v>6342</v>
      </c>
      <c r="J44" s="1">
        <v>42210.19</v>
      </c>
      <c r="K44" s="1">
        <v>6342</v>
      </c>
      <c r="AB44" s="1">
        <v>10618</v>
      </c>
      <c r="AC44" s="1">
        <v>10615.499999999998</v>
      </c>
      <c r="AH44" s="1">
        <v>9270.3799999999992</v>
      </c>
      <c r="AI44" s="1">
        <v>6339.5</v>
      </c>
      <c r="AK44" s="1">
        <v>42210.19</v>
      </c>
      <c r="AL44" s="1">
        <v>6339.5</v>
      </c>
      <c r="BC44" s="1">
        <v>6342</v>
      </c>
      <c r="BD44" s="1">
        <v>9270.3799999999992</v>
      </c>
      <c r="BF44" s="1">
        <v>6339.5</v>
      </c>
      <c r="BG44" s="1">
        <v>9270.3799999999992</v>
      </c>
      <c r="BL44" s="1">
        <v>42210.19</v>
      </c>
      <c r="BM44" s="1">
        <v>9270.3799999999992</v>
      </c>
      <c r="CD44" s="1">
        <v>6342</v>
      </c>
      <c r="CE44" s="1">
        <v>42210.19</v>
      </c>
      <c r="CG44" s="1">
        <v>6339.5</v>
      </c>
      <c r="CH44" s="1">
        <v>42210.19</v>
      </c>
      <c r="CJ44" s="1">
        <v>9270.3799999999992</v>
      </c>
      <c r="CK44" s="1">
        <v>42210.19</v>
      </c>
    </row>
    <row r="45" spans="4:89" x14ac:dyDescent="0.2">
      <c r="D45" s="1">
        <v>11570.499999999998</v>
      </c>
      <c r="E45" s="1">
        <v>11573</v>
      </c>
      <c r="G45" s="1">
        <v>5038.74</v>
      </c>
      <c r="H45" s="1">
        <v>3794</v>
      </c>
      <c r="J45" s="1">
        <v>15598.17</v>
      </c>
      <c r="K45" s="1">
        <v>3794</v>
      </c>
      <c r="AB45" s="1">
        <v>11573</v>
      </c>
      <c r="AC45" s="1">
        <v>11570.499999999998</v>
      </c>
      <c r="AH45" s="1">
        <v>5038.74</v>
      </c>
      <c r="AI45" s="1">
        <v>3791.5</v>
      </c>
      <c r="AK45" s="1">
        <v>15598.17</v>
      </c>
      <c r="AL45" s="1">
        <v>3791.5</v>
      </c>
      <c r="BC45" s="1">
        <v>3794</v>
      </c>
      <c r="BD45" s="1">
        <v>5038.74</v>
      </c>
      <c r="BF45" s="1">
        <v>3791.5</v>
      </c>
      <c r="BG45" s="1">
        <v>5038.74</v>
      </c>
      <c r="BL45" s="1">
        <v>15598.17</v>
      </c>
      <c r="BM45" s="1">
        <v>5038.74</v>
      </c>
      <c r="CD45" s="1">
        <v>3794</v>
      </c>
      <c r="CE45" s="1">
        <v>15598.17</v>
      </c>
      <c r="CG45" s="1">
        <v>3791.5</v>
      </c>
      <c r="CH45" s="1">
        <v>15598.17</v>
      </c>
      <c r="CJ45" s="1">
        <v>5038.74</v>
      </c>
      <c r="CK45" s="1">
        <v>15598.17</v>
      </c>
    </row>
    <row r="46" spans="4:89" x14ac:dyDescent="0.2">
      <c r="D46" s="1">
        <v>6993.5</v>
      </c>
      <c r="E46" s="1">
        <v>6996</v>
      </c>
      <c r="AB46" s="1">
        <v>6996</v>
      </c>
      <c r="AC46" s="1">
        <v>6993.5</v>
      </c>
    </row>
    <row r="47" spans="4:89" x14ac:dyDescent="0.2">
      <c r="D47" s="1">
        <v>3154.5000000000005</v>
      </c>
      <c r="E47" s="1">
        <v>3157</v>
      </c>
      <c r="AB47" s="1">
        <v>3157</v>
      </c>
      <c r="AC47" s="1">
        <v>3154.5000000000005</v>
      </c>
    </row>
    <row r="48" spans="4:89" x14ac:dyDescent="0.2">
      <c r="D48" s="1">
        <v>2543.5</v>
      </c>
      <c r="E48" s="1">
        <v>2546</v>
      </c>
      <c r="AB48" s="1">
        <v>2546</v>
      </c>
      <c r="AC48" s="1">
        <v>2543.5</v>
      </c>
    </row>
    <row r="49" spans="4:29" x14ac:dyDescent="0.2">
      <c r="D49" s="1">
        <v>3967.5</v>
      </c>
      <c r="E49" s="1">
        <v>3970</v>
      </c>
      <c r="AB49" s="1">
        <v>3970</v>
      </c>
      <c r="AC49" s="1">
        <v>3967.5</v>
      </c>
    </row>
    <row r="50" spans="4:29" x14ac:dyDescent="0.2">
      <c r="D50" s="1">
        <v>3849.5000000000005</v>
      </c>
      <c r="E50" s="1">
        <v>3852</v>
      </c>
      <c r="AB50" s="1">
        <v>3852</v>
      </c>
      <c r="AC50" s="1">
        <v>3849.5000000000005</v>
      </c>
    </row>
    <row r="51" spans="4:29" x14ac:dyDescent="0.2">
      <c r="D51" s="1">
        <v>6339.5</v>
      </c>
      <c r="E51" s="1">
        <v>6342</v>
      </c>
      <c r="AB51" s="1">
        <v>6342</v>
      </c>
      <c r="AC51" s="1">
        <v>6339.5</v>
      </c>
    </row>
    <row r="52" spans="4:29" x14ac:dyDescent="0.2">
      <c r="D52" s="1">
        <v>3791.5</v>
      </c>
      <c r="E52" s="1">
        <v>3794</v>
      </c>
      <c r="AB52" s="1">
        <v>3794</v>
      </c>
      <c r="AC52" s="1">
        <v>3791.5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la49"/>
  <dimension ref="A1:B28"/>
  <sheetViews>
    <sheetView workbookViewId="0"/>
  </sheetViews>
  <sheetFormatPr defaultRowHeight="12.75" x14ac:dyDescent="0.2"/>
  <sheetData>
    <row r="1" spans="1:2" x14ac:dyDescent="0.2">
      <c r="A1" s="1">
        <v>1180</v>
      </c>
      <c r="B1" s="1">
        <v>72</v>
      </c>
    </row>
    <row r="2" spans="1:2" x14ac:dyDescent="0.2">
      <c r="A2" s="1">
        <v>850</v>
      </c>
      <c r="B2" s="1">
        <v>130</v>
      </c>
    </row>
    <row r="3" spans="1:2" x14ac:dyDescent="0.2">
      <c r="A3" s="1">
        <v>772</v>
      </c>
      <c r="B3" s="1">
        <v>6</v>
      </c>
    </row>
    <row r="4" spans="1:2" x14ac:dyDescent="0.2">
      <c r="A4" s="1">
        <v>908</v>
      </c>
      <c r="B4" s="1">
        <v>160</v>
      </c>
    </row>
    <row r="5" spans="1:2" x14ac:dyDescent="0.2">
      <c r="A5" s="1">
        <v>465</v>
      </c>
      <c r="B5" s="1">
        <v>48</v>
      </c>
    </row>
    <row r="6" spans="1:2" x14ac:dyDescent="0.2">
      <c r="A6" s="1">
        <v>435</v>
      </c>
      <c r="B6" s="1">
        <v>20</v>
      </c>
    </row>
    <row r="7" spans="1:2" x14ac:dyDescent="0.2">
      <c r="A7" s="1">
        <v>671</v>
      </c>
      <c r="B7" s="1">
        <v>14</v>
      </c>
    </row>
    <row r="8" spans="1:2" x14ac:dyDescent="0.2">
      <c r="A8" s="1">
        <v>279</v>
      </c>
      <c r="B8" s="1">
        <v>116</v>
      </c>
    </row>
    <row r="9" spans="1:2" x14ac:dyDescent="0.2">
      <c r="A9" s="1">
        <v>385</v>
      </c>
      <c r="B9" s="1">
        <v>317</v>
      </c>
    </row>
    <row r="10" spans="1:2" x14ac:dyDescent="0.2">
      <c r="A10" s="1">
        <v>662</v>
      </c>
      <c r="B10" s="1">
        <v>278</v>
      </c>
    </row>
    <row r="11" spans="1:2" x14ac:dyDescent="0.2">
      <c r="A11" s="1">
        <v>626</v>
      </c>
      <c r="B11" s="1">
        <v>123</v>
      </c>
    </row>
    <row r="12" spans="1:2" x14ac:dyDescent="0.2">
      <c r="A12" s="1">
        <v>867</v>
      </c>
      <c r="B12" s="1">
        <v>130</v>
      </c>
    </row>
    <row r="13" spans="1:2" x14ac:dyDescent="0.2">
      <c r="A13" s="1">
        <v>399</v>
      </c>
      <c r="B13" s="1">
        <v>268</v>
      </c>
    </row>
    <row r="14" spans="1:2" x14ac:dyDescent="0.2">
      <c r="A14" s="1">
        <v>786</v>
      </c>
      <c r="B14" s="1">
        <v>49</v>
      </c>
    </row>
    <row r="15" spans="1:2" x14ac:dyDescent="0.2">
      <c r="A15" s="1">
        <v>592</v>
      </c>
      <c r="B15" s="1">
        <v>115</v>
      </c>
    </row>
    <row r="16" spans="1:2" x14ac:dyDescent="0.2">
      <c r="A16" s="1">
        <v>557</v>
      </c>
      <c r="B16" s="1">
        <v>131</v>
      </c>
    </row>
    <row r="17" spans="1:2" x14ac:dyDescent="0.2">
      <c r="A17" s="1">
        <v>1215</v>
      </c>
      <c r="B17" s="1">
        <v>139</v>
      </c>
    </row>
    <row r="18" spans="1:2" x14ac:dyDescent="0.2">
      <c r="A18" s="1">
        <v>461</v>
      </c>
      <c r="B18" s="1">
        <v>154</v>
      </c>
    </row>
    <row r="19" spans="1:2" x14ac:dyDescent="0.2">
      <c r="A19" s="1">
        <v>789</v>
      </c>
      <c r="B19" s="1">
        <v>33</v>
      </c>
    </row>
    <row r="20" spans="1:2" x14ac:dyDescent="0.2">
      <c r="A20" s="1">
        <v>352</v>
      </c>
      <c r="B20" s="1">
        <v>61</v>
      </c>
    </row>
    <row r="21" spans="1:2" x14ac:dyDescent="0.2">
      <c r="A21" s="1">
        <v>267</v>
      </c>
      <c r="B21" s="1">
        <v>130</v>
      </c>
    </row>
    <row r="22" spans="1:2" x14ac:dyDescent="0.2">
      <c r="A22" s="1">
        <v>564</v>
      </c>
      <c r="B22" s="1">
        <v>42</v>
      </c>
    </row>
    <row r="23" spans="1:2" x14ac:dyDescent="0.2">
      <c r="A23" s="1">
        <v>375</v>
      </c>
      <c r="B23" s="1">
        <v>62</v>
      </c>
    </row>
    <row r="24" spans="1:2" x14ac:dyDescent="0.2">
      <c r="A24" s="1">
        <v>652</v>
      </c>
      <c r="B24" s="1">
        <v>178</v>
      </c>
    </row>
    <row r="25" spans="1:2" x14ac:dyDescent="0.2">
      <c r="A25" s="1">
        <v>454.9</v>
      </c>
      <c r="B25" s="1">
        <v>82.9</v>
      </c>
    </row>
    <row r="26" spans="1:2" x14ac:dyDescent="0.2">
      <c r="A26" s="1">
        <v>624.4</v>
      </c>
      <c r="B26" s="1">
        <v>113.3</v>
      </c>
    </row>
    <row r="27" spans="1:2" x14ac:dyDescent="0.2">
      <c r="A27" s="1">
        <v>669.4</v>
      </c>
      <c r="B27" s="1">
        <v>16.600000000000001</v>
      </c>
    </row>
    <row r="28" spans="1:2" x14ac:dyDescent="0.2">
      <c r="A28" s="1">
        <v>305.39999999999998</v>
      </c>
      <c r="B28" s="1">
        <v>107.4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42</vt:i4>
      </vt:variant>
    </vt:vector>
  </HeadingPairs>
  <TitlesOfParts>
    <vt:vector size="42" baseType="lpstr">
      <vt:lpstr>Correlation tests1_HID_HID</vt:lpstr>
      <vt:lpstr>Correlation tests1_HID</vt:lpstr>
      <vt:lpstr>Correlation tests8_HID_HID</vt:lpstr>
      <vt:lpstr>Correlation tests8_HID</vt:lpstr>
      <vt:lpstr>Fires data</vt:lpstr>
      <vt:lpstr>Datos2_HID</vt:lpstr>
      <vt:lpstr>Correlation tests9_HID_HID</vt:lpstr>
      <vt:lpstr>Correlation tests9_HID</vt:lpstr>
      <vt:lpstr>Correlation tests9_HID1</vt:lpstr>
      <vt:lpstr>Décadas_HID_HID</vt:lpstr>
      <vt:lpstr>Décadas_HID</vt:lpstr>
      <vt:lpstr>Decades</vt:lpstr>
      <vt:lpstr>Correlation tests_HID_HID</vt:lpstr>
      <vt:lpstr>Correlation tests_HID</vt:lpstr>
      <vt:lpstr>Correlation tests2_HID_HID</vt:lpstr>
      <vt:lpstr>Correlation tests2_HID</vt:lpstr>
      <vt:lpstr>Correlation tests3_HID_HID</vt:lpstr>
      <vt:lpstr>Correlation tests3_HID</vt:lpstr>
      <vt:lpstr>Correlation tests4_HID_HID</vt:lpstr>
      <vt:lpstr>Correlation tests4_HID</vt:lpstr>
      <vt:lpstr>Correlation tests6_HID_HID</vt:lpstr>
      <vt:lpstr>Correlation tests6_HID</vt:lpstr>
      <vt:lpstr>Correlation tests7_HID_HID</vt:lpstr>
      <vt:lpstr>Correlation tests7_HID</vt:lpstr>
      <vt:lpstr>Correlation tests7_HID1_HID</vt:lpstr>
      <vt:lpstr>Correlation tests7_HID1</vt:lpstr>
      <vt:lpstr>Correlation tests7_HID2_HID</vt:lpstr>
      <vt:lpstr>Correlation tests7_HID2</vt:lpstr>
      <vt:lpstr>Correlation tests7_HID3_HID</vt:lpstr>
      <vt:lpstr>Correlation tests7_HID3</vt:lpstr>
      <vt:lpstr>Summary 1968-2012</vt:lpstr>
      <vt:lpstr>Mediterraneo_HID_HID</vt:lpstr>
      <vt:lpstr>Mediterraneo_HID</vt:lpstr>
      <vt:lpstr>Mediterraneo_HID1_HID</vt:lpstr>
      <vt:lpstr>Mediterraneo_HID1</vt:lpstr>
      <vt:lpstr>Mediterranean</vt:lpstr>
      <vt:lpstr>South Europe</vt:lpstr>
      <vt:lpstr>precipitacion</vt:lpstr>
      <vt:lpstr>Forest inventories</vt:lpstr>
      <vt:lpstr>Correlation tests5_HID_HID</vt:lpstr>
      <vt:lpstr>Correlation tests5_HID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Cordero Rivera</dc:creator>
  <cp:lastModifiedBy>Macromia</cp:lastModifiedBy>
  <cp:lastPrinted>2016-03-08T09:54:22Z</cp:lastPrinted>
  <dcterms:created xsi:type="dcterms:W3CDTF">2006-11-22T18:45:44Z</dcterms:created>
  <dcterms:modified xsi:type="dcterms:W3CDTF">2017-10-01T07:29:28Z</dcterms:modified>
</cp:coreProperties>
</file>