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2680" yWindow="0" windowWidth="25360" windowHeight="14660" tabRatio="500"/>
  </bookViews>
  <sheets>
    <sheet name="W.A.I.R calculations" sheetId="2" r:id="rId1"/>
    <sheet name="Calculation of leaping height 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2" l="1"/>
  <c r="J3" i="2"/>
  <c r="I3" i="2"/>
  <c r="G3" i="2"/>
  <c r="H3" i="2"/>
  <c r="H11" i="2"/>
  <c r="G11" i="2"/>
  <c r="I11" i="2"/>
  <c r="L11" i="2"/>
  <c r="J11" i="2"/>
  <c r="H7" i="2"/>
  <c r="G7" i="2"/>
  <c r="I7" i="2"/>
  <c r="L7" i="2"/>
  <c r="J7" i="2"/>
  <c r="B12" i="1"/>
  <c r="B13" i="1"/>
  <c r="B11" i="1"/>
  <c r="C32" i="1"/>
  <c r="B32" i="1"/>
  <c r="L32" i="1"/>
  <c r="D12" i="1"/>
  <c r="L47" i="1"/>
  <c r="B6" i="1"/>
  <c r="D11" i="1"/>
  <c r="D13" i="1"/>
  <c r="D15" i="1"/>
  <c r="C22" i="1"/>
  <c r="B15" i="1"/>
  <c r="B16" i="1"/>
  <c r="B17" i="1"/>
  <c r="C47" i="1"/>
  <c r="G47" i="1"/>
  <c r="J47" i="1"/>
  <c r="K47" i="1"/>
  <c r="H47" i="1"/>
  <c r="B47" i="1"/>
  <c r="D47" i="1"/>
  <c r="E47" i="1"/>
  <c r="C31" i="1"/>
  <c r="B31" i="1"/>
  <c r="L31" i="1"/>
  <c r="L46" i="1"/>
  <c r="C46" i="1"/>
  <c r="G46" i="1"/>
  <c r="J46" i="1"/>
  <c r="K46" i="1"/>
  <c r="H46" i="1"/>
  <c r="B46" i="1"/>
  <c r="D46" i="1"/>
  <c r="E46" i="1"/>
  <c r="C30" i="1"/>
  <c r="B30" i="1"/>
  <c r="L30" i="1"/>
  <c r="L45" i="1"/>
  <c r="C45" i="1"/>
  <c r="G45" i="1"/>
  <c r="J45" i="1"/>
  <c r="K45" i="1"/>
  <c r="H45" i="1"/>
  <c r="B45" i="1"/>
  <c r="D45" i="1"/>
  <c r="E45" i="1"/>
  <c r="C29" i="1"/>
  <c r="B29" i="1"/>
  <c r="L29" i="1"/>
  <c r="L44" i="1"/>
  <c r="C44" i="1"/>
  <c r="G44" i="1"/>
  <c r="J44" i="1"/>
  <c r="K44" i="1"/>
  <c r="H44" i="1"/>
  <c r="B44" i="1"/>
  <c r="D44" i="1"/>
  <c r="E44" i="1"/>
  <c r="C28" i="1"/>
  <c r="B28" i="1"/>
  <c r="L28" i="1"/>
  <c r="L43" i="1"/>
  <c r="C43" i="1"/>
  <c r="G43" i="1"/>
  <c r="J43" i="1"/>
  <c r="K43" i="1"/>
  <c r="H43" i="1"/>
  <c r="B43" i="1"/>
  <c r="D43" i="1"/>
  <c r="E43" i="1"/>
  <c r="C27" i="1"/>
  <c r="B27" i="1"/>
  <c r="L27" i="1"/>
  <c r="L42" i="1"/>
  <c r="C42" i="1"/>
  <c r="G42" i="1"/>
  <c r="J42" i="1"/>
  <c r="K42" i="1"/>
  <c r="H42" i="1"/>
  <c r="B42" i="1"/>
  <c r="D42" i="1"/>
  <c r="E42" i="1"/>
  <c r="C26" i="1"/>
  <c r="B26" i="1"/>
  <c r="L26" i="1"/>
  <c r="L41" i="1"/>
  <c r="C41" i="1"/>
  <c r="G41" i="1"/>
  <c r="J41" i="1"/>
  <c r="K41" i="1"/>
  <c r="H41" i="1"/>
  <c r="B41" i="1"/>
  <c r="D41" i="1"/>
  <c r="E41" i="1"/>
  <c r="C25" i="1"/>
  <c r="B25" i="1"/>
  <c r="L25" i="1"/>
  <c r="L40" i="1"/>
  <c r="C40" i="1"/>
  <c r="G40" i="1"/>
  <c r="J40" i="1"/>
  <c r="K40" i="1"/>
  <c r="H40" i="1"/>
  <c r="B40" i="1"/>
  <c r="D40" i="1"/>
  <c r="E40" i="1"/>
  <c r="C24" i="1"/>
  <c r="B24" i="1"/>
  <c r="L24" i="1"/>
  <c r="L39" i="1"/>
  <c r="C39" i="1"/>
  <c r="G39" i="1"/>
  <c r="J39" i="1"/>
  <c r="K39" i="1"/>
  <c r="H39" i="1"/>
  <c r="B39" i="1"/>
  <c r="D39" i="1"/>
  <c r="E39" i="1"/>
  <c r="C23" i="1"/>
  <c r="B23" i="1"/>
  <c r="L23" i="1"/>
  <c r="L38" i="1"/>
  <c r="C38" i="1"/>
  <c r="G38" i="1"/>
  <c r="J38" i="1"/>
  <c r="K38" i="1"/>
  <c r="H38" i="1"/>
  <c r="B38" i="1"/>
  <c r="D38" i="1"/>
  <c r="E38" i="1"/>
  <c r="B22" i="1"/>
  <c r="L22" i="1"/>
  <c r="L37" i="1"/>
  <c r="C37" i="1"/>
  <c r="G37" i="1"/>
  <c r="J37" i="1"/>
  <c r="K37" i="1"/>
  <c r="H37" i="1"/>
  <c r="B37" i="1"/>
  <c r="D37" i="1"/>
  <c r="E37" i="1"/>
  <c r="G32" i="1"/>
  <c r="J32" i="1"/>
  <c r="K32" i="1"/>
  <c r="H32" i="1"/>
  <c r="I4" i="1"/>
  <c r="K4" i="1"/>
  <c r="I32" i="1"/>
  <c r="D32" i="1"/>
  <c r="E32" i="1"/>
  <c r="G31" i="1"/>
  <c r="J31" i="1"/>
  <c r="K31" i="1"/>
  <c r="H31" i="1"/>
  <c r="I31" i="1"/>
  <c r="D31" i="1"/>
  <c r="E31" i="1"/>
  <c r="G30" i="1"/>
  <c r="J30" i="1"/>
  <c r="K30" i="1"/>
  <c r="H30" i="1"/>
  <c r="I30" i="1"/>
  <c r="D30" i="1"/>
  <c r="E30" i="1"/>
  <c r="G29" i="1"/>
  <c r="J29" i="1"/>
  <c r="K29" i="1"/>
  <c r="H29" i="1"/>
  <c r="I29" i="1"/>
  <c r="D29" i="1"/>
  <c r="E29" i="1"/>
  <c r="G28" i="1"/>
  <c r="J28" i="1"/>
  <c r="K28" i="1"/>
  <c r="H28" i="1"/>
  <c r="I28" i="1"/>
  <c r="D28" i="1"/>
  <c r="E28" i="1"/>
  <c r="G27" i="1"/>
  <c r="J27" i="1"/>
  <c r="K27" i="1"/>
  <c r="H27" i="1"/>
  <c r="I27" i="1"/>
  <c r="D27" i="1"/>
  <c r="E27" i="1"/>
  <c r="G26" i="1"/>
  <c r="J26" i="1"/>
  <c r="K26" i="1"/>
  <c r="H26" i="1"/>
  <c r="I26" i="1"/>
  <c r="D26" i="1"/>
  <c r="E26" i="1"/>
  <c r="G25" i="1"/>
  <c r="J25" i="1"/>
  <c r="K25" i="1"/>
  <c r="H25" i="1"/>
  <c r="I25" i="1"/>
  <c r="D25" i="1"/>
  <c r="E25" i="1"/>
  <c r="G24" i="1"/>
  <c r="J24" i="1"/>
  <c r="K24" i="1"/>
  <c r="H24" i="1"/>
  <c r="I24" i="1"/>
  <c r="D24" i="1"/>
  <c r="E24" i="1"/>
  <c r="G23" i="1"/>
  <c r="J23" i="1"/>
  <c r="K23" i="1"/>
  <c r="H23" i="1"/>
  <c r="I23" i="1"/>
  <c r="D23" i="1"/>
  <c r="E23" i="1"/>
  <c r="G22" i="1"/>
  <c r="J22" i="1"/>
  <c r="K22" i="1"/>
  <c r="H22" i="1"/>
  <c r="I22" i="1"/>
  <c r="D22" i="1"/>
  <c r="E22" i="1"/>
  <c r="D17" i="1"/>
  <c r="D16" i="1"/>
  <c r="D14" i="1"/>
  <c r="B7" i="1"/>
  <c r="B9" i="1"/>
  <c r="I3" i="1"/>
  <c r="K3" i="1"/>
  <c r="K5" i="1"/>
  <c r="I5" i="1"/>
  <c r="H5" i="1"/>
</calcChain>
</file>

<file path=xl/sharedStrings.xml><?xml version="1.0" encoding="utf-8"?>
<sst xmlns="http://schemas.openxmlformats.org/spreadsheetml/2006/main" count="114" uniqueCount="72">
  <si>
    <t>Size and Planform</t>
  </si>
  <si>
    <t>Muscle Parameters</t>
  </si>
  <si>
    <r>
      <t>Body Mass (M</t>
    </r>
    <r>
      <rPr>
        <vertAlign val="subscript"/>
        <sz val="10"/>
        <rFont val="Times New Roman"/>
      </rPr>
      <t>B</t>
    </r>
    <r>
      <rPr>
        <sz val="10"/>
        <rFont val="Times New Roman"/>
        <family val="1"/>
      </rPr>
      <t xml:space="preserve"> )</t>
    </r>
  </si>
  <si>
    <t>kg</t>
  </si>
  <si>
    <t>prp Mass</t>
  </si>
  <si>
    <t>Mass (kg)</t>
  </si>
  <si>
    <t>anaerobic prp</t>
  </si>
  <si>
    <t>Power output (W)</t>
  </si>
  <si>
    <t>Hip height</t>
  </si>
  <si>
    <t>m</t>
  </si>
  <si>
    <t>Pectoral/Coracobr Muscle</t>
  </si>
  <si>
    <t>Span</t>
  </si>
  <si>
    <t xml:space="preserve">Hindlimb Muscle </t>
  </si>
  <si>
    <t>Aspect Ratio</t>
  </si>
  <si>
    <t>Total</t>
  </si>
  <si>
    <t>Wing Area (S)</t>
  </si>
  <si>
    <t>m^2</t>
  </si>
  <si>
    <t>Wing Loading (WL)</t>
  </si>
  <si>
    <t>N/m</t>
  </si>
  <si>
    <r>
      <t>Lift Coefficient (C</t>
    </r>
    <r>
      <rPr>
        <vertAlign val="subscript"/>
        <sz val="10"/>
        <rFont val="Times New Roman"/>
      </rPr>
      <t>L</t>
    </r>
    <r>
      <rPr>
        <sz val="10"/>
        <rFont val="Times New Roman"/>
        <family val="1"/>
      </rPr>
      <t>)</t>
    </r>
  </si>
  <si>
    <t>Stall Speed</t>
  </si>
  <si>
    <t>m/s</t>
  </si>
  <si>
    <t>launch time</t>
  </si>
  <si>
    <t>flap angle (rad)</t>
  </si>
  <si>
    <t>radians</t>
  </si>
  <si>
    <t>Unload distance</t>
  </si>
  <si>
    <t>flap time (climbout)</t>
  </si>
  <si>
    <t>seconds</t>
  </si>
  <si>
    <t>Flap time (min cruise)</t>
  </si>
  <si>
    <t>flap amplitude (tip)</t>
  </si>
  <si>
    <t>meters</t>
  </si>
  <si>
    <t>Launch Scalar</t>
  </si>
  <si>
    <t>wing speed (tip)</t>
  </si>
  <si>
    <t>meters/second</t>
  </si>
  <si>
    <t>downstroke force</t>
  </si>
  <si>
    <t>wing speed (50% spn)</t>
  </si>
  <si>
    <t>downstroke accel</t>
  </si>
  <si>
    <t>req glenoid height</t>
  </si>
  <si>
    <t>downstroke veloc gain</t>
  </si>
  <si>
    <t>initial upstroke time</t>
  </si>
  <si>
    <t>Leap Only</t>
  </si>
  <si>
    <t>Launch Angle and Velocity</t>
  </si>
  <si>
    <t>Degrees</t>
  </si>
  <si>
    <t>Radians</t>
  </si>
  <si>
    <t>ballistic velocity</t>
  </si>
  <si>
    <t>height gain</t>
  </si>
  <si>
    <t>true hip height</t>
  </si>
  <si>
    <t>acceleration (m/s^2)</t>
  </si>
  <si>
    <t>required power (W)</t>
  </si>
  <si>
    <t xml:space="preserve">required preload </t>
  </si>
  <si>
    <t>GRF</t>
  </si>
  <si>
    <t>acceleration (g mult)</t>
  </si>
  <si>
    <t>time to peak</t>
  </si>
  <si>
    <t>Wing Assist</t>
  </si>
  <si>
    <t>combined velocity</t>
  </si>
  <si>
    <t>wingstrokes</t>
  </si>
  <si>
    <t>Taxa</t>
  </si>
  <si>
    <t>Specimen</t>
  </si>
  <si>
    <t>wing length (m)</t>
  </si>
  <si>
    <t>span (m)</t>
  </si>
  <si>
    <t xml:space="preserve">mass (kg) </t>
  </si>
  <si>
    <t>Wing Area (m^2)</t>
  </si>
  <si>
    <t>flapping freq</t>
  </si>
  <si>
    <t>flap amplitude</t>
  </si>
  <si>
    <t>Strouhal No.</t>
  </si>
  <si>
    <t>Speed (m/s)</t>
  </si>
  <si>
    <t>Body Weights</t>
  </si>
  <si>
    <t>Anchiornis</t>
  </si>
  <si>
    <t>BMNHCPH828</t>
  </si>
  <si>
    <t>All</t>
  </si>
  <si>
    <t>GF</t>
  </si>
  <si>
    <t>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</si>
</sst>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imes New Roman"/>
      <family val="1"/>
    </font>
    <font>
      <vertAlign val="subscript"/>
      <sz val="10"/>
      <name val="Times New Roman"/>
    </font>
    <font>
      <b/>
      <sz val="10"/>
      <name val="Times New Roman"/>
    </font>
    <font>
      <sz val="12"/>
      <color theme="1"/>
      <name val="Calibri"/>
    </font>
    <font>
      <b/>
      <sz val="10"/>
      <color rgb="FF000000"/>
      <name val="Times New Roman"/>
    </font>
    <font>
      <b/>
      <sz val="10"/>
      <color indexed="8"/>
      <name val="Times New Roman"/>
    </font>
    <font>
      <sz val="10"/>
      <color indexed="8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</font>
    <font>
      <b/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rgb="FFDD0806"/>
      </top>
      <bottom/>
      <diagonal/>
    </border>
    <border>
      <left/>
      <right/>
      <top style="thin">
        <color indexed="10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/>
    <xf numFmtId="2" fontId="4" fillId="0" borderId="0" xfId="0" applyNumberFormat="1" applyFont="1" applyBorder="1" applyAlignment="1"/>
    <xf numFmtId="0" fontId="2" fillId="0" borderId="5" xfId="0" applyFont="1" applyBorder="1" applyAlignment="1"/>
    <xf numFmtId="16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4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2" fontId="2" fillId="0" borderId="7" xfId="0" applyNumberFormat="1" applyFont="1" applyBorder="1" applyAlignment="1"/>
    <xf numFmtId="164" fontId="2" fillId="0" borderId="0" xfId="0" applyNumberFormat="1" applyFont="1" applyAlignment="1">
      <alignment horizontal="center"/>
    </xf>
    <xf numFmtId="0" fontId="4" fillId="0" borderId="0" xfId="0" applyFont="1" applyAlignment="1"/>
    <xf numFmtId="164" fontId="4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2" fontId="0" fillId="0" borderId="0" xfId="0" applyNumberFormat="1" applyFill="1"/>
    <xf numFmtId="2" fontId="5" fillId="0" borderId="0" xfId="0" applyNumberFormat="1" applyFont="1" applyFill="1" applyBorder="1"/>
    <xf numFmtId="2" fontId="0" fillId="0" borderId="0" xfId="0" applyNumberFormat="1" applyFont="1" applyFill="1"/>
    <xf numFmtId="2" fontId="6" fillId="0" borderId="12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wrapText="1"/>
    </xf>
    <xf numFmtId="0" fontId="0" fillId="0" borderId="0" xfId="0" applyFill="1"/>
    <xf numFmtId="2" fontId="8" fillId="0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1" fontId="0" fillId="0" borderId="0" xfId="0" applyNumberFormat="1"/>
    <xf numFmtId="2" fontId="8" fillId="2" borderId="0" xfId="0" applyNumberFormat="1" applyFont="1" applyFill="1" applyBorder="1" applyAlignment="1">
      <alignment horizontal="center"/>
    </xf>
    <xf numFmtId="2" fontId="1" fillId="0" borderId="0" xfId="0" applyNumberFormat="1" applyFont="1"/>
    <xf numFmtId="0" fontId="11" fillId="0" borderId="0" xfId="0" applyFont="1" applyBorder="1" applyAlignment="1">
      <alignment vertical="center"/>
    </xf>
    <xf numFmtId="2" fontId="1" fillId="0" borderId="0" xfId="0" applyNumberFormat="1" applyFont="1" applyFill="1"/>
    <xf numFmtId="0" fontId="11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/>
    <xf numFmtId="2" fontId="12" fillId="0" borderId="0" xfId="0" applyNumberFormat="1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K22" sqref="K22"/>
    </sheetView>
  </sheetViews>
  <sheetFormatPr baseColWidth="10" defaultRowHeight="15" x14ac:dyDescent="0"/>
  <sheetData>
    <row r="1" spans="1:12">
      <c r="A1" t="s">
        <v>69</v>
      </c>
    </row>
    <row r="2" spans="1:12" s="46" customFormat="1" ht="25">
      <c r="A2" s="41" t="s">
        <v>56</v>
      </c>
      <c r="B2" s="42" t="s">
        <v>57</v>
      </c>
      <c r="C2" s="41" t="s">
        <v>58</v>
      </c>
      <c r="D2" s="41" t="s">
        <v>59</v>
      </c>
      <c r="E2" s="43" t="s">
        <v>60</v>
      </c>
      <c r="F2" s="41" t="s">
        <v>61</v>
      </c>
      <c r="G2" s="44" t="s">
        <v>23</v>
      </c>
      <c r="H2" s="44" t="s">
        <v>62</v>
      </c>
      <c r="I2" s="44" t="s">
        <v>63</v>
      </c>
      <c r="J2" s="44" t="s">
        <v>64</v>
      </c>
      <c r="K2" s="44" t="s">
        <v>65</v>
      </c>
      <c r="L2" s="45" t="s">
        <v>66</v>
      </c>
    </row>
    <row r="3" spans="1:12" s="46" customFormat="1">
      <c r="A3" s="53" t="s">
        <v>67</v>
      </c>
      <c r="B3" s="54" t="s">
        <v>68</v>
      </c>
      <c r="C3" s="53">
        <v>0.157</v>
      </c>
      <c r="D3" s="53">
        <v>0.32969999999999999</v>
      </c>
      <c r="E3" s="53">
        <v>9.4413775272301784E-2</v>
      </c>
      <c r="F3" s="53">
        <v>1.3286910000000001E-2</v>
      </c>
      <c r="G3" s="55">
        <f>RADIANS(90)</f>
        <v>1.5707963267948966</v>
      </c>
      <c r="H3" s="48">
        <f>10^((LOG(E3)*-0.38)+0.79)</f>
        <v>15.117729201982572</v>
      </c>
      <c r="I3" s="47">
        <f>G3*(C3)</f>
        <v>0.24661502330679877</v>
      </c>
      <c r="J3" s="47">
        <f>I3*(H3)/K3</f>
        <v>2.4855060929952031</v>
      </c>
      <c r="K3" s="56">
        <v>1.5</v>
      </c>
      <c r="L3" s="47">
        <f>0.5*1*((I3*H3)+K3)^2*1.23*F3/(E3*9.8)</f>
        <v>0.24140812344274501</v>
      </c>
    </row>
    <row r="5" spans="1:12">
      <c r="A5" t="s">
        <v>70</v>
      </c>
    </row>
    <row r="6" spans="1:12" s="46" customFormat="1" ht="25">
      <c r="A6" s="41" t="s">
        <v>56</v>
      </c>
      <c r="B6" s="42" t="s">
        <v>57</v>
      </c>
      <c r="C6" s="41" t="s">
        <v>58</v>
      </c>
      <c r="D6" s="41" t="s">
        <v>59</v>
      </c>
      <c r="E6" s="43" t="s">
        <v>60</v>
      </c>
      <c r="F6" s="41" t="s">
        <v>61</v>
      </c>
      <c r="G6" s="44" t="s">
        <v>23</v>
      </c>
      <c r="H6" s="44" t="s">
        <v>62</v>
      </c>
      <c r="I6" s="44" t="s">
        <v>63</v>
      </c>
      <c r="J6" s="44" t="s">
        <v>64</v>
      </c>
      <c r="K6" s="44" t="s">
        <v>65</v>
      </c>
      <c r="L6" s="45" t="s">
        <v>66</v>
      </c>
    </row>
    <row r="7" spans="1:12">
      <c r="A7" s="51" t="s">
        <v>67</v>
      </c>
      <c r="B7" s="52" t="s">
        <v>68</v>
      </c>
      <c r="C7" s="51">
        <v>0.157</v>
      </c>
      <c r="D7" s="51">
        <v>0.32969999999999999</v>
      </c>
      <c r="E7" s="51">
        <v>9.4413775272301784E-2</v>
      </c>
      <c r="F7" s="51">
        <v>1.3286910000000001E-2</v>
      </c>
      <c r="G7" s="55">
        <f t="shared" ref="G7" si="0">RADIANS(90)</f>
        <v>1.5707963267948966</v>
      </c>
      <c r="H7" s="49">
        <f>10^((LOG(E7)*-0.39)+0.75)</f>
        <v>14.116798251391245</v>
      </c>
      <c r="I7" s="50">
        <f>G7*(C7)</f>
        <v>0.24661502330679877</v>
      </c>
      <c r="J7" s="47">
        <f>I7*(H7)/K7</f>
        <v>2.320943019856152</v>
      </c>
      <c r="K7" s="57">
        <v>1.5</v>
      </c>
      <c r="L7" s="47">
        <f>0.5*1*((I7*H7)+K7)^2*1.23*F7/(E7*9.8)</f>
        <v>0.21915078762044221</v>
      </c>
    </row>
    <row r="9" spans="1:12">
      <c r="A9" t="s">
        <v>71</v>
      </c>
    </row>
    <row r="10" spans="1:12" s="46" customFormat="1" ht="25">
      <c r="A10" s="41" t="s">
        <v>56</v>
      </c>
      <c r="B10" s="42" t="s">
        <v>57</v>
      </c>
      <c r="C10" s="41" t="s">
        <v>58</v>
      </c>
      <c r="D10" s="41" t="s">
        <v>59</v>
      </c>
      <c r="E10" s="43" t="s">
        <v>60</v>
      </c>
      <c r="F10" s="41" t="s">
        <v>61</v>
      </c>
      <c r="G10" s="44" t="s">
        <v>23</v>
      </c>
      <c r="H10" s="44" t="s">
        <v>62</v>
      </c>
      <c r="I10" s="44" t="s">
        <v>63</v>
      </c>
      <c r="J10" s="44" t="s">
        <v>64</v>
      </c>
      <c r="K10" s="44" t="s">
        <v>65</v>
      </c>
      <c r="L10" s="45" t="s">
        <v>66</v>
      </c>
    </row>
    <row r="11" spans="1:12">
      <c r="A11" s="51" t="s">
        <v>67</v>
      </c>
      <c r="B11" s="52" t="s">
        <v>68</v>
      </c>
      <c r="C11" s="51">
        <v>0.157</v>
      </c>
      <c r="D11" s="51">
        <v>0.32969999999999999</v>
      </c>
      <c r="E11" s="51">
        <v>9.4413775272301784E-2</v>
      </c>
      <c r="F11" s="51">
        <v>1.3286910000000001E-2</v>
      </c>
      <c r="G11" s="55">
        <f t="shared" ref="G11" si="1">RADIANS(90)</f>
        <v>1.5707963267948966</v>
      </c>
      <c r="H11" s="49">
        <f>10^((-0.23235456)*LOG(E11) +0.91238698)</f>
        <v>14.143021026483032</v>
      </c>
      <c r="I11" s="50">
        <f>G11*(C11)</f>
        <v>0.24661502330679877</v>
      </c>
      <c r="J11" s="47">
        <f t="shared" ref="J11" si="2">I11*(H11)/K11</f>
        <v>2.3252543067164386</v>
      </c>
      <c r="K11" s="57">
        <v>1.5</v>
      </c>
      <c r="L11" s="47">
        <f>0.5*1*((I11*H11)+K11)^2*1.23*F11/(E11*9.8)</f>
        <v>0.21972016517063478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7" workbookViewId="0">
      <selection activeCell="C67" sqref="C67"/>
    </sheetView>
  </sheetViews>
  <sheetFormatPr baseColWidth="10" defaultColWidth="9.1640625" defaultRowHeight="13" customHeight="1" x14ac:dyDescent="0"/>
  <cols>
    <col min="1" max="1" width="16.6640625" style="5" customWidth="1"/>
    <col min="2" max="2" width="9.83203125" style="5" customWidth="1"/>
    <col min="3" max="3" width="16" style="5" customWidth="1"/>
    <col min="4" max="5" width="12.83203125" style="5" customWidth="1"/>
    <col min="6" max="6" width="2.33203125" style="5" customWidth="1"/>
    <col min="7" max="7" width="19.83203125" style="5" customWidth="1"/>
    <col min="8" max="8" width="15.1640625" style="5" customWidth="1"/>
    <col min="9" max="9" width="16.33203125" style="5" customWidth="1"/>
    <col min="10" max="10" width="12.5" style="5" customWidth="1"/>
    <col min="11" max="11" width="15.5" style="5" customWidth="1"/>
    <col min="12" max="16384" width="9.1640625" style="5"/>
  </cols>
  <sheetData>
    <row r="1" spans="1:11" thickBot="1">
      <c r="A1" s="1" t="s">
        <v>0</v>
      </c>
      <c r="B1" s="2"/>
      <c r="C1" s="3"/>
      <c r="D1" s="4"/>
      <c r="E1" s="4"/>
      <c r="G1" s="1" t="s">
        <v>1</v>
      </c>
      <c r="H1" s="2"/>
      <c r="I1" s="2"/>
      <c r="J1" s="2"/>
      <c r="K1" s="3"/>
    </row>
    <row r="2" spans="1:11" thickTop="1">
      <c r="A2" s="6" t="s">
        <v>2</v>
      </c>
      <c r="B2" s="7">
        <v>1</v>
      </c>
      <c r="C2" s="8" t="s">
        <v>3</v>
      </c>
      <c r="D2" s="9"/>
      <c r="E2" s="10"/>
      <c r="G2" s="6"/>
      <c r="H2" s="4" t="s">
        <v>4</v>
      </c>
      <c r="I2" s="4" t="s">
        <v>5</v>
      </c>
      <c r="J2" s="4" t="s">
        <v>6</v>
      </c>
      <c r="K2" s="11" t="s">
        <v>7</v>
      </c>
    </row>
    <row r="3" spans="1:11" ht="12">
      <c r="A3" s="6" t="s">
        <v>8</v>
      </c>
      <c r="B3" s="7">
        <v>0.15</v>
      </c>
      <c r="C3" s="8" t="s">
        <v>9</v>
      </c>
      <c r="D3" s="10"/>
      <c r="E3" s="10"/>
      <c r="G3" s="6" t="s">
        <v>10</v>
      </c>
      <c r="H3" s="12">
        <v>0.1</v>
      </c>
      <c r="I3" s="13">
        <f>H3*B2</f>
        <v>0.1</v>
      </c>
      <c r="J3" s="14">
        <v>0.5</v>
      </c>
      <c r="K3" s="15">
        <f>((150*(1-J3))+(400*J3))*I3</f>
        <v>27.5</v>
      </c>
    </row>
    <row r="4" spans="1:11" ht="12">
      <c r="A4" s="6" t="s">
        <v>11</v>
      </c>
      <c r="B4" s="7">
        <v>1</v>
      </c>
      <c r="C4" s="8" t="s">
        <v>9</v>
      </c>
      <c r="D4" s="10"/>
      <c r="E4" s="10"/>
      <c r="G4" s="6" t="s">
        <v>12</v>
      </c>
      <c r="H4" s="12">
        <v>0.3</v>
      </c>
      <c r="I4" s="13">
        <f>H4*B2</f>
        <v>0.3</v>
      </c>
      <c r="J4" s="14">
        <v>0.2</v>
      </c>
      <c r="K4" s="15">
        <f>((150*(1-J4))+(400*J4))*I4</f>
        <v>60</v>
      </c>
    </row>
    <row r="5" spans="1:11" ht="12">
      <c r="A5" s="5" t="s">
        <v>13</v>
      </c>
      <c r="B5" s="16">
        <v>6</v>
      </c>
      <c r="C5" s="8"/>
      <c r="D5" s="10"/>
      <c r="E5" s="10"/>
      <c r="G5" s="6" t="s">
        <v>14</v>
      </c>
      <c r="H5" s="17">
        <f>SUM(H3:H4)</f>
        <v>0.4</v>
      </c>
      <c r="I5" s="13">
        <f>SUM(I3:I4)</f>
        <v>0.4</v>
      </c>
      <c r="J5" s="4"/>
      <c r="K5" s="15">
        <f>SUM(K3:K4)</f>
        <v>87.5</v>
      </c>
    </row>
    <row r="6" spans="1:11" ht="12">
      <c r="A6" s="6" t="s">
        <v>15</v>
      </c>
      <c r="B6" s="18">
        <f>B4^2/B5</f>
        <v>0.16666666666666666</v>
      </c>
      <c r="C6" s="8" t="s">
        <v>16</v>
      </c>
      <c r="D6" s="10"/>
      <c r="E6" s="10"/>
      <c r="G6" s="19"/>
      <c r="H6" s="20"/>
      <c r="I6" s="20"/>
      <c r="J6" s="20"/>
      <c r="K6" s="21"/>
    </row>
    <row r="7" spans="1:11" ht="12">
      <c r="A7" s="6" t="s">
        <v>17</v>
      </c>
      <c r="B7" s="18">
        <f>B2*9.8/B6</f>
        <v>58.800000000000004</v>
      </c>
      <c r="C7" s="8" t="s">
        <v>18</v>
      </c>
      <c r="D7" s="10"/>
      <c r="E7" s="10"/>
      <c r="G7" s="10"/>
      <c r="H7" s="10"/>
      <c r="I7" s="10"/>
      <c r="J7" s="10"/>
      <c r="K7" s="10"/>
    </row>
    <row r="8" spans="1:11" ht="12">
      <c r="A8" s="6" t="s">
        <v>19</v>
      </c>
      <c r="B8" s="7">
        <v>1.5</v>
      </c>
      <c r="C8" s="8"/>
      <c r="D8" s="10"/>
      <c r="E8" s="10"/>
      <c r="G8" s="10"/>
      <c r="H8" s="10"/>
      <c r="I8" s="10"/>
    </row>
    <row r="9" spans="1:11" ht="12">
      <c r="A9" s="19" t="s">
        <v>20</v>
      </c>
      <c r="B9" s="22">
        <f>(2*B7*(1/(1.23*B8)))^0.5</f>
        <v>7.9837232791708148</v>
      </c>
      <c r="C9" s="21" t="s">
        <v>21</v>
      </c>
      <c r="D9" s="10"/>
      <c r="E9" s="10"/>
      <c r="G9" s="10"/>
      <c r="H9" s="10"/>
      <c r="I9" s="10"/>
    </row>
    <row r="10" spans="1:11" ht="12">
      <c r="A10" s="10"/>
      <c r="B10" s="18"/>
      <c r="C10" s="10"/>
      <c r="D10" s="10"/>
      <c r="E10" s="10"/>
      <c r="G10" s="10"/>
      <c r="H10" s="10"/>
      <c r="I10" s="10"/>
    </row>
    <row r="11" spans="1:11" ht="12">
      <c r="A11" s="10" t="s">
        <v>22</v>
      </c>
      <c r="B11" s="23">
        <f>B13*B14</f>
        <v>4.7738693467336682E-2</v>
      </c>
      <c r="C11" s="24" t="s">
        <v>23</v>
      </c>
      <c r="D11" s="25">
        <f>RADIANS(90)</f>
        <v>1.5707963267948966</v>
      </c>
      <c r="E11" s="26" t="s">
        <v>24</v>
      </c>
    </row>
    <row r="12" spans="1:11" ht="12">
      <c r="A12" s="5" t="s">
        <v>25</v>
      </c>
      <c r="B12" s="23">
        <f>0.75*B3</f>
        <v>0.11249999999999999</v>
      </c>
      <c r="C12" s="10" t="s">
        <v>26</v>
      </c>
      <c r="D12" s="13">
        <f>B13*0.5</f>
        <v>0.12562814070351758</v>
      </c>
      <c r="E12" s="27" t="s">
        <v>27</v>
      </c>
      <c r="G12" s="28"/>
      <c r="H12" s="28"/>
      <c r="J12" s="28"/>
      <c r="K12" s="29"/>
    </row>
    <row r="13" spans="1:11" ht="12">
      <c r="A13" s="5" t="s">
        <v>28</v>
      </c>
      <c r="B13" s="23">
        <f>1/(3.98*B2^-0.27)</f>
        <v>0.25125628140703515</v>
      </c>
      <c r="C13" s="10" t="s">
        <v>29</v>
      </c>
      <c r="D13" s="23">
        <f>D11*B4*0.5</f>
        <v>0.78539816339744828</v>
      </c>
      <c r="E13" s="27" t="s">
        <v>30</v>
      </c>
      <c r="J13" s="28"/>
      <c r="K13" s="30"/>
    </row>
    <row r="14" spans="1:11" ht="12">
      <c r="A14" s="24" t="s">
        <v>31</v>
      </c>
      <c r="B14" s="25">
        <v>0.19</v>
      </c>
      <c r="C14" s="5" t="s">
        <v>32</v>
      </c>
      <c r="D14" s="23">
        <f>D13/D12</f>
        <v>6.2517693806436885</v>
      </c>
      <c r="E14" s="27" t="s">
        <v>33</v>
      </c>
      <c r="J14" s="28"/>
      <c r="K14" s="28"/>
    </row>
    <row r="15" spans="1:11" ht="12">
      <c r="A15" s="5" t="s">
        <v>34</v>
      </c>
      <c r="B15" s="23">
        <f>0.5*B8*1.23*B6*((D15+C22)^2)</f>
        <v>4.6213264090591313</v>
      </c>
      <c r="C15" s="5" t="s">
        <v>35</v>
      </c>
      <c r="D15" s="23">
        <f>(D13*0.5)/D12</f>
        <v>3.1258846903218442</v>
      </c>
      <c r="E15" s="31" t="s">
        <v>33</v>
      </c>
      <c r="K15" s="28"/>
    </row>
    <row r="16" spans="1:11" ht="12">
      <c r="A16" s="5" t="s">
        <v>36</v>
      </c>
      <c r="B16" s="23">
        <f>B15/B2</f>
        <v>4.6213264090591313</v>
      </c>
      <c r="C16" s="5" t="s">
        <v>37</v>
      </c>
      <c r="D16" s="23">
        <f>D13*0.6</f>
        <v>0.47123889803846897</v>
      </c>
      <c r="E16" s="5" t="s">
        <v>30</v>
      </c>
      <c r="K16" s="28"/>
    </row>
    <row r="17" spans="1:12" ht="13" customHeight="1">
      <c r="A17" s="5" t="s">
        <v>38</v>
      </c>
      <c r="B17" s="23">
        <f>B16*(D12*0.6)</f>
        <v>0.3483411866124973</v>
      </c>
      <c r="C17" s="5" t="s">
        <v>39</v>
      </c>
      <c r="D17" s="23">
        <f>0.5/(((B2^(3/8))*9.8^0.5*(B3^(-23/24))*((B6*0.25)^(-1/3))*(1.23^(-3/8))))</f>
        <v>9.7145292287440441E-3</v>
      </c>
      <c r="E17" s="5" t="s">
        <v>27</v>
      </c>
      <c r="K17" s="28"/>
    </row>
    <row r="18" spans="1:12" ht="13" customHeight="1">
      <c r="D18" s="23"/>
      <c r="K18" s="28"/>
    </row>
    <row r="19" spans="1:12" ht="13" customHeight="1">
      <c r="A19" s="24" t="s">
        <v>40</v>
      </c>
      <c r="G19" s="28"/>
      <c r="I19" s="28"/>
      <c r="K19" s="28"/>
    </row>
    <row r="20" spans="1:12" ht="13" customHeight="1" thickBot="1">
      <c r="A20" s="1" t="s">
        <v>41</v>
      </c>
      <c r="B20" s="2"/>
      <c r="C20" s="2"/>
      <c r="D20" s="32"/>
      <c r="E20" s="4"/>
      <c r="H20" s="33"/>
      <c r="I20" s="34"/>
      <c r="K20" s="28"/>
    </row>
    <row r="21" spans="1:12" ht="13" customHeight="1" thickTop="1">
      <c r="A21" s="35" t="s">
        <v>42</v>
      </c>
      <c r="B21" s="36" t="s">
        <v>43</v>
      </c>
      <c r="C21" s="36" t="s">
        <v>44</v>
      </c>
      <c r="D21" s="37" t="s">
        <v>45</v>
      </c>
      <c r="E21" s="4" t="s">
        <v>46</v>
      </c>
      <c r="G21" s="38" t="s">
        <v>47</v>
      </c>
      <c r="H21" s="34" t="s">
        <v>48</v>
      </c>
      <c r="I21" s="28" t="s">
        <v>49</v>
      </c>
      <c r="J21" s="28" t="s">
        <v>50</v>
      </c>
      <c r="K21" s="34" t="s">
        <v>51</v>
      </c>
      <c r="L21" s="28" t="s">
        <v>52</v>
      </c>
    </row>
    <row r="22" spans="1:12" ht="13" customHeight="1">
      <c r="A22" s="39">
        <v>15</v>
      </c>
      <c r="B22" s="30">
        <f>RADIANS(A22)</f>
        <v>0.26179938779914941</v>
      </c>
      <c r="C22" s="17">
        <f>$B$12/$B$11</f>
        <v>2.3565789473684209</v>
      </c>
      <c r="D22" s="38">
        <f>C22^2*(SIN(B22))^2/(2*9.8)</f>
        <v>1.8980182191409907E-2</v>
      </c>
      <c r="E22" s="38">
        <f>D22+$B$3</f>
        <v>0.16898018219140989</v>
      </c>
      <c r="G22" s="38">
        <f>C22/$B$11</f>
        <v>49.364127423822715</v>
      </c>
      <c r="H22" s="30">
        <f>$B$2*C22*(G22+9.8)</f>
        <v>139.42493712640328</v>
      </c>
      <c r="I22" s="30">
        <f>H22/$K$4</f>
        <v>2.3237489521067212</v>
      </c>
      <c r="J22" s="30">
        <f>G22*$B$2</f>
        <v>49.364127423822715</v>
      </c>
      <c r="K22" s="30">
        <f>J22/(9.8*$B$2)</f>
        <v>5.0371558595737458</v>
      </c>
      <c r="L22" s="30">
        <f>0.5*(((C22^2)*SIN(2*B22)/9.8)/(C22*COS(B22)))</f>
        <v>6.2237501312918171E-2</v>
      </c>
    </row>
    <row r="23" spans="1:12" ht="13" customHeight="1">
      <c r="A23" s="39">
        <v>20</v>
      </c>
      <c r="B23" s="30">
        <f t="shared" ref="B23:B28" si="0">RADIANS(A23)</f>
        <v>0.3490658503988659</v>
      </c>
      <c r="C23" s="17">
        <f>$B$12/$B$11</f>
        <v>2.3565789473684209</v>
      </c>
      <c r="D23" s="38">
        <f>C23^2*(SIN(B23))^2/(2*9.8)</f>
        <v>3.3144485743774078E-2</v>
      </c>
      <c r="E23" s="38">
        <f t="shared" ref="E23:E28" si="1">D23+$B$3</f>
        <v>0.18314448574377407</v>
      </c>
      <c r="G23" s="38">
        <f>C23/$B$11</f>
        <v>49.364127423822715</v>
      </c>
      <c r="H23" s="30">
        <f>$B$2*C23*(G23+9.8)</f>
        <v>139.42493712640328</v>
      </c>
      <c r="I23" s="30">
        <f>H23/$K$4</f>
        <v>2.3237489521067212</v>
      </c>
      <c r="J23" s="30">
        <f t="shared" ref="J23:J28" si="2">G23*$B$2</f>
        <v>49.364127423822715</v>
      </c>
      <c r="K23" s="30">
        <f t="shared" ref="K23:K28" si="3">J23/(9.8*$B$2)</f>
        <v>5.0371558595737458</v>
      </c>
      <c r="L23" s="30">
        <f t="shared" ref="L23:L28" si="4">0.5*(((C23^2)*SIN(2*B23)/9.8)/(C23*COS(B23)))</f>
        <v>8.2244639728285773E-2</v>
      </c>
    </row>
    <row r="24" spans="1:12" ht="13" customHeight="1">
      <c r="A24" s="39">
        <v>25</v>
      </c>
      <c r="B24" s="30">
        <f t="shared" si="0"/>
        <v>0.43633231299858238</v>
      </c>
      <c r="C24" s="17">
        <f t="shared" ref="C24:C33" si="5">$B$12/$B$11</f>
        <v>2.3565789473684209</v>
      </c>
      <c r="D24" s="38">
        <f>C24^2*(SIN(B24))^2/(2*9.8)</f>
        <v>5.0606282390056656E-2</v>
      </c>
      <c r="E24" s="38">
        <f t="shared" si="1"/>
        <v>0.20060628239005665</v>
      </c>
      <c r="G24" s="38">
        <f t="shared" ref="G24:G29" si="6">C24/$B$11</f>
        <v>49.364127423822715</v>
      </c>
      <c r="H24" s="30">
        <f t="shared" ref="H24:H29" si="7">$B$2*C24*(G24+9.8)</f>
        <v>139.42493712640328</v>
      </c>
      <c r="I24" s="30">
        <f t="shared" ref="I24:I32" si="8">H24/$K$4</f>
        <v>2.3237489521067212</v>
      </c>
      <c r="J24" s="30">
        <f t="shared" si="2"/>
        <v>49.364127423822715</v>
      </c>
      <c r="K24" s="30">
        <f t="shared" si="3"/>
        <v>5.0371558595737458</v>
      </c>
      <c r="L24" s="30">
        <f t="shared" si="4"/>
        <v>0.10162584677464992</v>
      </c>
    </row>
    <row r="25" spans="1:12" ht="13" customHeight="1">
      <c r="A25" s="39">
        <v>30</v>
      </c>
      <c r="B25" s="30">
        <f t="shared" si="0"/>
        <v>0.52359877559829882</v>
      </c>
      <c r="C25" s="17">
        <f t="shared" si="5"/>
        <v>2.3565789473684209</v>
      </c>
      <c r="D25" s="38">
        <f>C25^2*(SIN(B25))^2/(2*9.8)</f>
        <v>7.0835004275255783E-2</v>
      </c>
      <c r="E25" s="38">
        <f t="shared" si="1"/>
        <v>0.22083500427525576</v>
      </c>
      <c r="G25" s="38">
        <f>C25/$B$11</f>
        <v>49.364127423822715</v>
      </c>
      <c r="H25" s="30">
        <f t="shared" si="7"/>
        <v>139.42493712640328</v>
      </c>
      <c r="I25" s="30">
        <f t="shared" si="8"/>
        <v>2.3237489521067212</v>
      </c>
      <c r="J25" s="30">
        <f>G25*$B$2</f>
        <v>49.364127423822715</v>
      </c>
      <c r="K25" s="30">
        <f>J25/(9.8*$B$2)</f>
        <v>5.0371558595737458</v>
      </c>
      <c r="L25" s="30">
        <f t="shared" si="4"/>
        <v>0.12023361976369491</v>
      </c>
    </row>
    <row r="26" spans="1:12" ht="13" customHeight="1">
      <c r="A26" s="39">
        <v>35</v>
      </c>
      <c r="B26" s="30">
        <f t="shared" si="0"/>
        <v>0.6108652381980153</v>
      </c>
      <c r="C26" s="17">
        <f t="shared" si="5"/>
        <v>2.3565789473684209</v>
      </c>
      <c r="D26" s="38">
        <f t="shared" ref="D26:D31" si="9">C26^2*(SIN(B26))^2/(2*9.8)</f>
        <v>9.3216011921116879E-2</v>
      </c>
      <c r="E26" s="38">
        <f t="shared" si="1"/>
        <v>0.24321601192111686</v>
      </c>
      <c r="G26" s="38">
        <f>C26/$B$11</f>
        <v>49.364127423822715</v>
      </c>
      <c r="H26" s="30">
        <f t="shared" si="7"/>
        <v>139.42493712640328</v>
      </c>
      <c r="I26" s="30">
        <f t="shared" si="8"/>
        <v>2.3237489521067212</v>
      </c>
      <c r="J26" s="30">
        <f t="shared" si="2"/>
        <v>49.364127423822715</v>
      </c>
      <c r="K26" s="30">
        <f t="shared" si="3"/>
        <v>5.0371558595737458</v>
      </c>
      <c r="L26" s="30">
        <f>0.5*(((C26^2)*SIN(2*B26)/9.8)/(C26*COS(B26)))</f>
        <v>0.13792634230729364</v>
      </c>
    </row>
    <row r="27" spans="1:12" ht="13" customHeight="1">
      <c r="A27" s="39">
        <v>40</v>
      </c>
      <c r="B27" s="30">
        <f t="shared" si="0"/>
        <v>0.69813170079773179</v>
      </c>
      <c r="C27" s="17">
        <f t="shared" si="5"/>
        <v>2.3565789473684209</v>
      </c>
      <c r="D27" s="38">
        <f t="shared" si="9"/>
        <v>0.11706926973565678</v>
      </c>
      <c r="E27" s="38">
        <f t="shared" si="1"/>
        <v>0.26706926973565676</v>
      </c>
      <c r="G27" s="38">
        <f t="shared" si="6"/>
        <v>49.364127423822715</v>
      </c>
      <c r="H27" s="30">
        <f t="shared" si="7"/>
        <v>139.42493712640328</v>
      </c>
      <c r="I27" s="30">
        <f t="shared" si="8"/>
        <v>2.3237489521067212</v>
      </c>
      <c r="J27" s="30">
        <f t="shared" si="2"/>
        <v>49.364127423822715</v>
      </c>
      <c r="K27" s="30">
        <f t="shared" si="3"/>
        <v>5.0371558595737458</v>
      </c>
      <c r="L27" s="30">
        <f t="shared" si="4"/>
        <v>0.15456936210373146</v>
      </c>
    </row>
    <row r="28" spans="1:12" ht="13" customHeight="1">
      <c r="A28" s="39">
        <v>45</v>
      </c>
      <c r="B28" s="30">
        <f t="shared" si="0"/>
        <v>0.78539816339744828</v>
      </c>
      <c r="C28" s="17">
        <f t="shared" si="5"/>
        <v>2.3565789473684209</v>
      </c>
      <c r="D28" s="38">
        <f t="shared" si="9"/>
        <v>0.14167000855051157</v>
      </c>
      <c r="E28" s="38">
        <f t="shared" si="1"/>
        <v>0.29167000855051156</v>
      </c>
      <c r="G28" s="38">
        <f t="shared" si="6"/>
        <v>49.364127423822715</v>
      </c>
      <c r="H28" s="30">
        <f t="shared" si="7"/>
        <v>139.42493712640328</v>
      </c>
      <c r="I28" s="30">
        <f t="shared" si="8"/>
        <v>2.3237489521067212</v>
      </c>
      <c r="J28" s="30">
        <f t="shared" si="2"/>
        <v>49.364127423822715</v>
      </c>
      <c r="K28" s="30">
        <f t="shared" si="3"/>
        <v>5.0371558595737458</v>
      </c>
      <c r="L28" s="30">
        <f t="shared" si="4"/>
        <v>0.17003601572302715</v>
      </c>
    </row>
    <row r="29" spans="1:12" ht="13" customHeight="1">
      <c r="A29" s="39">
        <v>50</v>
      </c>
      <c r="B29" s="30">
        <f>RADIANS(A29)</f>
        <v>0.87266462599716477</v>
      </c>
      <c r="C29" s="17">
        <f t="shared" si="5"/>
        <v>2.3565789473684209</v>
      </c>
      <c r="D29" s="38">
        <f>C29^2*(SIN(B29))^2/(2*9.8)</f>
        <v>0.16627074736536634</v>
      </c>
      <c r="E29" s="38">
        <f>D29+$B$3</f>
        <v>0.31627074736536631</v>
      </c>
      <c r="G29" s="38">
        <f>C29/$B$11</f>
        <v>49.364127423822715</v>
      </c>
      <c r="H29" s="30">
        <f>$B$2*C29*(G29+9.8)</f>
        <v>139.42493712640328</v>
      </c>
      <c r="I29" s="30">
        <f t="shared" si="8"/>
        <v>2.3237489521067212</v>
      </c>
      <c r="J29" s="30">
        <f>G29*$B$2</f>
        <v>49.364127423822715</v>
      </c>
      <c r="K29" s="30">
        <f>J29/(9.8*$B$2)</f>
        <v>5.0371558595737458</v>
      </c>
      <c r="L29" s="30">
        <f>0.5*(((C29^2)*SIN(2*B29)/9.8)/(C29*COS(B29)))</f>
        <v>0.18420859259211725</v>
      </c>
    </row>
    <row r="30" spans="1:12" ht="13" customHeight="1">
      <c r="A30" s="39">
        <v>55</v>
      </c>
      <c r="B30" s="30">
        <f>RADIANS(A30)</f>
        <v>0.95993108859688125</v>
      </c>
      <c r="C30" s="17">
        <f t="shared" si="5"/>
        <v>2.3565789473684209</v>
      </c>
      <c r="D30" s="38">
        <f>C30^2*(SIN(B30))^2/(2*9.8)</f>
        <v>0.19012400517990627</v>
      </c>
      <c r="E30" s="38">
        <f>D30+$B$3</f>
        <v>0.34012400517990626</v>
      </c>
      <c r="G30" s="38">
        <f>C30/$B$11</f>
        <v>49.364127423822715</v>
      </c>
      <c r="H30" s="30">
        <f>$B$2*C30*(G30+9.8)</f>
        <v>139.42493712640328</v>
      </c>
      <c r="I30" s="30">
        <f t="shared" si="8"/>
        <v>2.3237489521067212</v>
      </c>
      <c r="J30" s="30">
        <f>G30*$B$2</f>
        <v>49.364127423822715</v>
      </c>
      <c r="K30" s="30">
        <f>J30/(9.8*$B$2)</f>
        <v>5.0371558595737458</v>
      </c>
      <c r="L30" s="30">
        <f>0.5*(((C30^2)*SIN(2*B30)/9.8)/(C30*COS(B30)))</f>
        <v>0.19697923084339203</v>
      </c>
    </row>
    <row r="31" spans="1:12" ht="13" customHeight="1">
      <c r="A31" s="39">
        <v>60</v>
      </c>
      <c r="B31" s="30">
        <f>RADIANS(A31)</f>
        <v>1.0471975511965976</v>
      </c>
      <c r="C31" s="17">
        <f t="shared" si="5"/>
        <v>2.3565789473684209</v>
      </c>
      <c r="D31" s="38">
        <f>C31^2*(SIN(B31))^2/(2*9.8)</f>
        <v>0.21250501282576734</v>
      </c>
      <c r="E31" s="38">
        <f>D31+$B$3</f>
        <v>0.3625050128257673</v>
      </c>
      <c r="G31" s="38">
        <f>C31/$B$11</f>
        <v>49.364127423822715</v>
      </c>
      <c r="H31" s="30">
        <f>$B$2*C31*(G31+9.8)</f>
        <v>139.42493712640328</v>
      </c>
      <c r="I31" s="30">
        <f t="shared" si="8"/>
        <v>2.3237489521067212</v>
      </c>
      <c r="J31" s="30">
        <f>G31*$B$2</f>
        <v>49.364127423822715</v>
      </c>
      <c r="K31" s="30">
        <f>J31/(9.8*$B$2)</f>
        <v>5.0371558595737458</v>
      </c>
      <c r="L31" s="30">
        <f>0.5*(((C31^2)*SIN(2*B31)/9.8)/(C31*COS(B31)))</f>
        <v>0.2082507382086371</v>
      </c>
    </row>
    <row r="32" spans="1:12" ht="13" customHeight="1">
      <c r="A32" s="39">
        <v>65</v>
      </c>
      <c r="B32" s="30">
        <f>RADIANS(A32)</f>
        <v>1.1344640137963142</v>
      </c>
      <c r="C32" s="17">
        <f t="shared" si="5"/>
        <v>2.3565789473684209</v>
      </c>
      <c r="D32" s="38">
        <f>C32^2*(SIN(B32))^2/(2*9.8)</f>
        <v>0.23273373471096651</v>
      </c>
      <c r="E32" s="38">
        <f>D32+$B$3</f>
        <v>0.3827337347109665</v>
      </c>
      <c r="G32" s="38">
        <f>C32/$B$11</f>
        <v>49.364127423822715</v>
      </c>
      <c r="H32" s="30">
        <f>$B$2*C32*(G32+9.8)</f>
        <v>139.42493712640328</v>
      </c>
      <c r="I32" s="30">
        <f t="shared" si="8"/>
        <v>2.3237489521067212</v>
      </c>
      <c r="J32" s="30">
        <f>G32*$B$2</f>
        <v>49.364127423822715</v>
      </c>
      <c r="K32" s="30">
        <f>J32/(9.8*$B$2)</f>
        <v>5.0371558595737458</v>
      </c>
      <c r="L32" s="30">
        <f>0.5*(((C32^2)*SIN(2*B32)/9.8)/(C32*COS(B32)))</f>
        <v>0.21793733171088076</v>
      </c>
    </row>
    <row r="33" spans="1:12" ht="13" customHeight="1">
      <c r="D33" s="40"/>
      <c r="E33" s="40"/>
      <c r="K33" s="30"/>
      <c r="L33" s="28"/>
    </row>
    <row r="34" spans="1:12" ht="13" customHeight="1">
      <c r="A34" s="24" t="s">
        <v>53</v>
      </c>
      <c r="G34" s="28"/>
      <c r="I34" s="28"/>
      <c r="K34" s="30"/>
      <c r="L34" s="28"/>
    </row>
    <row r="35" spans="1:12" ht="13" customHeight="1" thickBot="1">
      <c r="A35" s="1" t="s">
        <v>41</v>
      </c>
      <c r="B35" s="2"/>
      <c r="C35" s="2"/>
      <c r="D35" s="3"/>
      <c r="E35" s="4"/>
      <c r="H35" s="33"/>
      <c r="I35" s="34"/>
      <c r="K35" s="30"/>
      <c r="L35" s="28"/>
    </row>
    <row r="36" spans="1:12" ht="13" customHeight="1" thickTop="1">
      <c r="A36" s="35" t="s">
        <v>42</v>
      </c>
      <c r="B36" s="36" t="s">
        <v>43</v>
      </c>
      <c r="C36" s="36" t="s">
        <v>54</v>
      </c>
      <c r="D36" s="37" t="s">
        <v>45</v>
      </c>
      <c r="E36" s="4" t="s">
        <v>46</v>
      </c>
      <c r="G36" s="38" t="s">
        <v>47</v>
      </c>
      <c r="H36" s="34" t="s">
        <v>48</v>
      </c>
      <c r="I36" s="28"/>
      <c r="J36" s="28" t="s">
        <v>50</v>
      </c>
      <c r="K36" s="34" t="s">
        <v>51</v>
      </c>
      <c r="L36" s="28" t="s">
        <v>55</v>
      </c>
    </row>
    <row r="37" spans="1:12" ht="13" customHeight="1">
      <c r="A37" s="39">
        <v>15</v>
      </c>
      <c r="B37" s="30">
        <f>RADIANS(A37)</f>
        <v>0.26179938779914941</v>
      </c>
      <c r="C37" s="17">
        <f>C22+(L37*$B$17)</f>
        <v>2.5291508324391656</v>
      </c>
      <c r="D37" s="38">
        <f>C37^2*(SIN(B37))^2/(2*9.8)</f>
        <v>2.1861796660843258E-2</v>
      </c>
      <c r="E37" s="38">
        <f>D37+$B$3</f>
        <v>0.17186179666084325</v>
      </c>
      <c r="G37" s="38">
        <f>C37/$B$11</f>
        <v>52.979054279515154</v>
      </c>
      <c r="H37" s="30">
        <f>$B$2*C37*(G37+9.8)</f>
        <v>158.77769739077931</v>
      </c>
      <c r="I37" s="30"/>
      <c r="J37" s="30">
        <f>G37*$B$2</f>
        <v>52.979054279515154</v>
      </c>
      <c r="K37" s="30">
        <f>J37/(9.8*$B$2)</f>
        <v>5.4060259468893008</v>
      </c>
      <c r="L37" s="30">
        <f>L22/$D$12</f>
        <v>0.49541051045082868</v>
      </c>
    </row>
    <row r="38" spans="1:12" ht="13" customHeight="1">
      <c r="A38" s="39">
        <v>20</v>
      </c>
      <c r="B38" s="30">
        <f t="shared" ref="B38:B47" si="10">RADIANS(A38)</f>
        <v>0.3490658503988659</v>
      </c>
      <c r="C38" s="17">
        <f t="shared" ref="C38:C47" si="11">C23+(L38*$B$17)</f>
        <v>2.5846265427163493</v>
      </c>
      <c r="D38" s="38">
        <f t="shared" ref="D38:D47" si="12">C38^2*(SIN(B38))^2/(2*9.8)</f>
        <v>3.9869693580769361E-2</v>
      </c>
      <c r="E38" s="38">
        <f t="shared" ref="E38:E47" si="13">D38+$B$3</f>
        <v>0.18986969358076936</v>
      </c>
      <c r="G38" s="38">
        <f>C38/$B$11</f>
        <v>54.141124421110895</v>
      </c>
      <c r="H38" s="30">
        <f t="shared" ref="H38:H47" si="14">$B$2*C38*(G38+9.8)</f>
        <v>165.26392734993181</v>
      </c>
      <c r="I38" s="30"/>
      <c r="J38" s="30">
        <f>G38*$B$2</f>
        <v>54.141124421110895</v>
      </c>
      <c r="K38" s="30">
        <f>J38/(9.8*$B$2)</f>
        <v>5.5246045327664177</v>
      </c>
      <c r="L38" s="30">
        <f t="shared" ref="L38:L47" si="15">L23/$D$12</f>
        <v>0.65466733223715479</v>
      </c>
    </row>
    <row r="39" spans="1:12" ht="13" customHeight="1">
      <c r="A39" s="39">
        <v>25</v>
      </c>
      <c r="B39" s="30">
        <f t="shared" si="10"/>
        <v>0.43633231299858238</v>
      </c>
      <c r="C39" s="17">
        <f t="shared" si="11"/>
        <v>2.6383666730940325</v>
      </c>
      <c r="D39" s="38">
        <f t="shared" si="12"/>
        <v>6.3432342881452664E-2</v>
      </c>
      <c r="E39" s="38">
        <f t="shared" si="13"/>
        <v>0.21343234288145266</v>
      </c>
      <c r="G39" s="38">
        <f>C39/$B$11</f>
        <v>55.266838731127628</v>
      </c>
      <c r="H39" s="30">
        <f t="shared" si="14"/>
        <v>171.67017883179116</v>
      </c>
      <c r="I39" s="30"/>
      <c r="J39" s="30">
        <f>G39*$B$2</f>
        <v>55.266838731127628</v>
      </c>
      <c r="K39" s="30">
        <f>J39/(9.8*$B$2)</f>
        <v>5.6394733399109818</v>
      </c>
      <c r="L39" s="30">
        <f t="shared" si="15"/>
        <v>0.80894174032621347</v>
      </c>
    </row>
    <row r="40" spans="1:12" ht="13" customHeight="1">
      <c r="A40" s="39">
        <v>30</v>
      </c>
      <c r="B40" s="30">
        <f t="shared" si="10"/>
        <v>0.52359877559829882</v>
      </c>
      <c r="C40" s="17">
        <f t="shared" si="11"/>
        <v>2.6899622287308631</v>
      </c>
      <c r="D40" s="38">
        <f t="shared" si="12"/>
        <v>9.229460193875906E-2</v>
      </c>
      <c r="E40" s="38">
        <f t="shared" si="13"/>
        <v>0.24229460193875907</v>
      </c>
      <c r="G40" s="38">
        <f>C40/$B$11</f>
        <v>56.347629843941242</v>
      </c>
      <c r="H40" s="30">
        <f t="shared" si="14"/>
        <v>177.93462580027236</v>
      </c>
      <c r="I40" s="30"/>
      <c r="J40" s="30">
        <f>G40*$B$2</f>
        <v>56.347629843941242</v>
      </c>
      <c r="K40" s="30">
        <f>J40/(9.8*$B$2)</f>
        <v>5.7497581473409429</v>
      </c>
      <c r="L40" s="30">
        <f t="shared" si="15"/>
        <v>0.95705961331901157</v>
      </c>
    </row>
    <row r="41" spans="1:12" ht="13" customHeight="1">
      <c r="A41" s="39">
        <v>35</v>
      </c>
      <c r="B41" s="30">
        <f t="shared" si="10"/>
        <v>0.6108652381980153</v>
      </c>
      <c r="C41" s="17">
        <f t="shared" si="11"/>
        <v>2.7390205362941966</v>
      </c>
      <c r="D41" s="38">
        <f t="shared" si="12"/>
        <v>0.12592649290587266</v>
      </c>
      <c r="E41" s="38">
        <f t="shared" si="13"/>
        <v>0.27592649290587268</v>
      </c>
      <c r="G41" s="38">
        <f>C41/$B$11</f>
        <v>57.375272286583701</v>
      </c>
      <c r="H41" s="30">
        <f t="shared" si="14"/>
        <v>183.99445032410719</v>
      </c>
      <c r="I41" s="30"/>
      <c r="J41" s="30">
        <f t="shared" ref="J41:J47" si="16">G41*$B$2</f>
        <v>57.375272286583701</v>
      </c>
      <c r="K41" s="30">
        <f t="shared" ref="K41:K47" si="17">J41/(9.8*$B$2)</f>
        <v>5.8546196210799692</v>
      </c>
      <c r="L41" s="30">
        <f t="shared" si="15"/>
        <v>1.0978936847660574</v>
      </c>
    </row>
    <row r="42" spans="1:12" ht="13" customHeight="1">
      <c r="A42" s="39">
        <v>40</v>
      </c>
      <c r="B42" s="30">
        <f t="shared" si="10"/>
        <v>0.69813170079773179</v>
      </c>
      <c r="C42" s="17">
        <f t="shared" si="11"/>
        <v>2.7851682324412597</v>
      </c>
      <c r="D42" s="38">
        <f t="shared" si="12"/>
        <v>0.16352410774030651</v>
      </c>
      <c r="E42" s="38">
        <f t="shared" si="13"/>
        <v>0.31352410774030648</v>
      </c>
      <c r="G42" s="38">
        <f t="shared" ref="G42:G47" si="18">C42/$B$11</f>
        <v>58.341945079559018</v>
      </c>
      <c r="H42" s="30">
        <f t="shared" si="14"/>
        <v>189.78678073234479</v>
      </c>
      <c r="I42" s="30"/>
      <c r="J42" s="30">
        <f t="shared" si="16"/>
        <v>58.341945079559018</v>
      </c>
      <c r="K42" s="30">
        <f t="shared" si="17"/>
        <v>5.953259701995818</v>
      </c>
      <c r="L42" s="30">
        <f t="shared" si="15"/>
        <v>1.2303721223457025</v>
      </c>
    </row>
    <row r="43" spans="1:12" ht="13" customHeight="1">
      <c r="A43" s="39">
        <v>45</v>
      </c>
      <c r="B43" s="30">
        <f t="shared" si="10"/>
        <v>0.78539816339744828</v>
      </c>
      <c r="C43" s="17">
        <f t="shared" si="11"/>
        <v>2.8280541053396324</v>
      </c>
      <c r="D43" s="38">
        <f t="shared" si="12"/>
        <v>0.20402780670225373</v>
      </c>
      <c r="E43" s="38">
        <f t="shared" si="13"/>
        <v>0.35402780670225376</v>
      </c>
      <c r="G43" s="38">
        <f t="shared" si="18"/>
        <v>59.240291259219667</v>
      </c>
      <c r="H43" s="30">
        <f t="shared" si="14"/>
        <v>195.24967912948014</v>
      </c>
      <c r="I43" s="30"/>
      <c r="J43" s="30">
        <f t="shared" si="16"/>
        <v>59.240291259219667</v>
      </c>
      <c r="K43" s="30">
        <f t="shared" si="17"/>
        <v>6.0449276795122104</v>
      </c>
      <c r="L43" s="30">
        <f t="shared" si="15"/>
        <v>1.3534866851552962</v>
      </c>
    </row>
    <row r="44" spans="1:12" ht="13" customHeight="1">
      <c r="A44" s="39">
        <v>50</v>
      </c>
      <c r="B44" s="30">
        <f t="shared" si="10"/>
        <v>0.87266462599716477</v>
      </c>
      <c r="C44" s="17">
        <f t="shared" si="11"/>
        <v>2.8673517676013605</v>
      </c>
      <c r="D44" s="38">
        <f t="shared" si="12"/>
        <v>0.24615791966884973</v>
      </c>
      <c r="E44" s="38">
        <f t="shared" si="13"/>
        <v>0.39615791966884972</v>
      </c>
      <c r="G44" s="38">
        <f t="shared" si="18"/>
        <v>60.063473868702182</v>
      </c>
      <c r="H44" s="30">
        <f t="shared" si="14"/>
        <v>200.32315528819467</v>
      </c>
      <c r="I44" s="30"/>
      <c r="J44" s="30">
        <f t="shared" si="16"/>
        <v>60.063473868702182</v>
      </c>
      <c r="K44" s="30">
        <f t="shared" si="17"/>
        <v>6.1289259049696101</v>
      </c>
      <c r="L44" s="30">
        <f t="shared" si="15"/>
        <v>1.4663003970332533</v>
      </c>
    </row>
    <row r="45" spans="1:12" ht="13" customHeight="1">
      <c r="A45" s="39">
        <v>55</v>
      </c>
      <c r="B45" s="30">
        <f t="shared" si="10"/>
        <v>0.95993108859688125</v>
      </c>
      <c r="C45" s="17">
        <f t="shared" si="11"/>
        <v>2.9027621402880546</v>
      </c>
      <c r="D45" s="38">
        <f t="shared" si="12"/>
        <v>0.288466820460544</v>
      </c>
      <c r="E45" s="38">
        <f t="shared" si="13"/>
        <v>0.43846682046054397</v>
      </c>
      <c r="G45" s="38">
        <f t="shared" si="18"/>
        <v>60.805227991297144</v>
      </c>
      <c r="H45" s="30">
        <f t="shared" si="14"/>
        <v>204.95018271954376</v>
      </c>
      <c r="I45" s="30"/>
      <c r="J45" s="30">
        <f t="shared" si="16"/>
        <v>60.805227991297144</v>
      </c>
      <c r="K45" s="30">
        <f t="shared" si="17"/>
        <v>6.2046151011527693</v>
      </c>
      <c r="L45" s="30">
        <f t="shared" si="15"/>
        <v>1.5679546775134008</v>
      </c>
    </row>
    <row r="46" spans="1:12" ht="13" customHeight="1">
      <c r="A46" s="39">
        <v>60</v>
      </c>
      <c r="B46" s="30">
        <f t="shared" si="10"/>
        <v>1.0471975511965976</v>
      </c>
      <c r="C46" s="17">
        <f t="shared" si="11"/>
        <v>2.9340157290822013</v>
      </c>
      <c r="D46" s="38">
        <f t="shared" si="12"/>
        <v>0.32940490938144484</v>
      </c>
      <c r="E46" s="38">
        <f t="shared" si="13"/>
        <v>0.47940490938144487</v>
      </c>
      <c r="G46" s="38">
        <f t="shared" si="18"/>
        <v>61.45990843024822</v>
      </c>
      <c r="H46" s="30">
        <f t="shared" si="14"/>
        <v>209.07769218730562</v>
      </c>
      <c r="I46" s="30"/>
      <c r="J46" s="30">
        <f t="shared" si="16"/>
        <v>61.45990843024822</v>
      </c>
      <c r="K46" s="30">
        <f t="shared" si="17"/>
        <v>6.2714192275763487</v>
      </c>
      <c r="L46" s="30">
        <f t="shared" si="15"/>
        <v>1.6576758761407515</v>
      </c>
    </row>
    <row r="47" spans="1:12" ht="13" customHeight="1">
      <c r="A47" s="39">
        <v>65</v>
      </c>
      <c r="B47" s="30">
        <f t="shared" si="10"/>
        <v>1.1344640137963142</v>
      </c>
      <c r="C47" s="17">
        <f t="shared" si="11"/>
        <v>2.9608746753016448</v>
      </c>
      <c r="D47" s="38">
        <f t="shared" si="12"/>
        <v>0.36739682805826412</v>
      </c>
      <c r="E47" s="38">
        <f t="shared" si="13"/>
        <v>0.51739682805826415</v>
      </c>
      <c r="G47" s="38">
        <f t="shared" si="18"/>
        <v>62.022532672108142</v>
      </c>
      <c r="H47" s="30">
        <f t="shared" si="14"/>
        <v>212.65751810486995</v>
      </c>
      <c r="I47" s="30"/>
      <c r="J47" s="30">
        <f t="shared" si="16"/>
        <v>62.022532672108142</v>
      </c>
      <c r="K47" s="30">
        <f t="shared" si="17"/>
        <v>6.3288298645008307</v>
      </c>
      <c r="L47" s="30">
        <f t="shared" si="15"/>
        <v>1.734781160418611</v>
      </c>
    </row>
  </sheetData>
  <mergeCells count="4">
    <mergeCell ref="A1:C1"/>
    <mergeCell ref="G1:K1"/>
    <mergeCell ref="A20:D20"/>
    <mergeCell ref="A35:D3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W.A.I.R calculations</vt:lpstr>
      <vt:lpstr>Calculation of leaping height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Alex.Dececchi</dc:creator>
  <cp:lastModifiedBy>Alex.Dececchi</cp:lastModifiedBy>
  <dcterms:created xsi:type="dcterms:W3CDTF">2015-06-04T02:01:32Z</dcterms:created>
  <dcterms:modified xsi:type="dcterms:W3CDTF">2015-06-04T02:08:20Z</dcterms:modified>
</cp:coreProperties>
</file>